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660" windowWidth="20235"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2 (2)" sheetId="185" r:id="rId34"/>
    <sheet name="SF&amp;QC Sec-3" sheetId="176" r:id="rId35"/>
    <sheet name="SSPAF" sheetId="177" r:id="rId36"/>
  </sheets>
  <definedNames>
    <definedName name="_xlnm.Print_Area" localSheetId="28">' SEFA'!$B$1:$M$45</definedName>
    <definedName name="_xlnm.Print_Area" localSheetId="29">' SEFA (2)'!$B$1:$M$45</definedName>
    <definedName name="_xlnm.Print_Area" localSheetId="30">' SEFA (3)'!$B$1:$M$45</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4">'SF&amp;QC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B4" i="185" l="1"/>
  <c r="K21" i="184"/>
  <c r="K22" i="184" s="1"/>
  <c r="J21" i="184"/>
  <c r="J22" i="184" s="1"/>
  <c r="I21" i="184"/>
  <c r="I22" i="184" s="1"/>
  <c r="H21" i="184"/>
  <c r="H22" i="184" s="1"/>
  <c r="G21" i="184"/>
  <c r="G22" i="184" s="1"/>
  <c r="F21" i="184"/>
  <c r="F22" i="184" s="1"/>
  <c r="E21" i="184"/>
  <c r="E22" i="184" s="1"/>
  <c r="K13" i="184" l="1"/>
  <c r="J13" i="184"/>
  <c r="I13" i="184"/>
  <c r="H13" i="184"/>
  <c r="G13" i="184"/>
  <c r="F13" i="184"/>
  <c r="E13" i="184"/>
  <c r="L26" i="184"/>
  <c r="L25" i="184"/>
  <c r="L24" i="184"/>
  <c r="L23" i="184"/>
  <c r="L22" i="184"/>
  <c r="L21" i="184"/>
  <c r="L20" i="184"/>
  <c r="L19" i="184"/>
  <c r="L18" i="184"/>
  <c r="L17" i="184"/>
  <c r="L16" i="184"/>
  <c r="L15" i="184"/>
  <c r="L12" i="184"/>
  <c r="K26" i="183"/>
  <c r="J26" i="183"/>
  <c r="I26" i="183"/>
  <c r="H26" i="183"/>
  <c r="G26" i="183"/>
  <c r="F26" i="183"/>
  <c r="E26" i="183"/>
  <c r="K21" i="183"/>
  <c r="J21" i="183"/>
  <c r="I21" i="183"/>
  <c r="H21" i="183"/>
  <c r="G21" i="183"/>
  <c r="F21" i="183"/>
  <c r="E21" i="183"/>
  <c r="K19" i="183"/>
  <c r="J19" i="183"/>
  <c r="I19" i="183"/>
  <c r="H19" i="183"/>
  <c r="G19" i="183"/>
  <c r="F19" i="183"/>
  <c r="E19" i="183"/>
  <c r="K14" i="184" l="1"/>
  <c r="L13" i="184"/>
  <c r="K16" i="183"/>
  <c r="J16" i="183"/>
  <c r="J14" i="184" s="1"/>
  <c r="J27" i="184" s="1"/>
  <c r="I16" i="183"/>
  <c r="L16" i="183" s="1"/>
  <c r="H16" i="183"/>
  <c r="H14" i="184" s="1"/>
  <c r="H27" i="184" s="1"/>
  <c r="G16" i="183"/>
  <c r="G14" i="184" s="1"/>
  <c r="F16" i="183"/>
  <c r="F14" i="184" s="1"/>
  <c r="E16" i="183"/>
  <c r="E14" i="184" s="1"/>
  <c r="L26" i="183"/>
  <c r="L25" i="183"/>
  <c r="L24" i="183"/>
  <c r="L23" i="183"/>
  <c r="L22" i="183"/>
  <c r="L21" i="183"/>
  <c r="L20" i="183"/>
  <c r="L19" i="183"/>
  <c r="L18" i="183"/>
  <c r="L17" i="183"/>
  <c r="L15" i="183"/>
  <c r="L14" i="183"/>
  <c r="L13" i="183"/>
  <c r="L11" i="184"/>
  <c r="B4" i="184"/>
  <c r="L27" i="183"/>
  <c r="B4" i="183"/>
  <c r="K25" i="179"/>
  <c r="J25" i="179"/>
  <c r="I25" i="179"/>
  <c r="H25" i="179"/>
  <c r="G25" i="179"/>
  <c r="F25" i="179"/>
  <c r="E25" i="179"/>
  <c r="K22" i="179"/>
  <c r="J22" i="179"/>
  <c r="I22" i="179"/>
  <c r="H22" i="179"/>
  <c r="G22" i="179"/>
  <c r="F22" i="179"/>
  <c r="E22" i="179"/>
  <c r="L20" i="179"/>
  <c r="K19" i="179"/>
  <c r="K26" i="179" s="1"/>
  <c r="J19" i="179"/>
  <c r="J26" i="179" s="1"/>
  <c r="I19" i="179"/>
  <c r="H19" i="179"/>
  <c r="H26" i="179" s="1"/>
  <c r="G19" i="179"/>
  <c r="G26" i="179" s="1"/>
  <c r="F19" i="179"/>
  <c r="F26" i="179" s="1"/>
  <c r="E19" i="179"/>
  <c r="L18" i="179"/>
  <c r="L17" i="179"/>
  <c r="L13" i="179"/>
  <c r="L14" i="184" l="1"/>
  <c r="G27" i="184"/>
  <c r="K27" i="184"/>
  <c r="I14" i="184"/>
  <c r="E26" i="179"/>
  <c r="E27" i="184" s="1"/>
  <c r="I26" i="179"/>
  <c r="L26" i="179" s="1"/>
  <c r="I27" i="184"/>
  <c r="L27" i="184" s="1"/>
  <c r="F27" i="184"/>
  <c r="D35" i="171" s="1"/>
  <c r="L19" i="179"/>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5" i="179"/>
  <c r="L24" i="179"/>
  <c r="L23" i="179"/>
  <c r="L22" i="179"/>
  <c r="L21" i="179"/>
  <c r="L16" i="179"/>
  <c r="L15" i="179"/>
  <c r="L14"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84"/>
  <c r="B2" i="183"/>
  <c r="B1" i="185"/>
  <c r="B1" i="184"/>
  <c r="B1" i="183"/>
  <c r="A2" i="170"/>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K67" i="29"/>
  <c r="K64" i="29"/>
  <c r="K59" i="29"/>
  <c r="E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0"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s="1"/>
  <c r="B5103" i="106"/>
  <c r="D5103" i="106"/>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s="1"/>
  <c r="B5115" i="106"/>
  <c r="D5115" i="106" s="1"/>
  <c r="B5116" i="106"/>
  <c r="D5116" i="106" s="1"/>
  <c r="B5117" i="106"/>
  <c r="D5117" i="106" s="1"/>
  <c r="B5118" i="106"/>
  <c r="D5118" i="106" s="1"/>
  <c r="B5119" i="106"/>
  <c r="D5119" i="106"/>
  <c r="B5122" i="106"/>
  <c r="D5122" i="106" s="1"/>
  <c r="B5123" i="106"/>
  <c r="D5123" i="106"/>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c r="B6303" i="106"/>
  <c r="D6303" i="106" s="1"/>
  <c r="B6304" i="106"/>
  <c r="D6304" i="106" s="1"/>
  <c r="B6305" i="106"/>
  <c r="D6305" i="106" s="1"/>
  <c r="B6307" i="106"/>
  <c r="D6307" i="106"/>
  <c r="B6308" i="106"/>
  <c r="D6308" i="106" s="1"/>
  <c r="B6309" i="106"/>
  <c r="D6309" i="106" s="1"/>
  <c r="B6310" i="106"/>
  <c r="D6310" i="106" s="1"/>
  <c r="B6311" i="106"/>
  <c r="D6311" i="106"/>
  <c r="B6312" i="106"/>
  <c r="D6312" i="106" s="1"/>
  <c r="B6313" i="106"/>
  <c r="D6313" i="106" s="1"/>
  <c r="B6314" i="106"/>
  <c r="D6314" i="106" s="1"/>
  <c r="B6315" i="106"/>
  <c r="D6315" i="106"/>
  <c r="B6316" i="106"/>
  <c r="D6316" i="106" s="1"/>
  <c r="B6317" i="106"/>
  <c r="D6317" i="106" s="1"/>
  <c r="B6319" i="106"/>
  <c r="D6319" i="106" s="1"/>
  <c r="B6320" i="106"/>
  <c r="D6320" i="106"/>
  <c r="B6321" i="106"/>
  <c r="D6321" i="106" s="1"/>
  <c r="B6322" i="106"/>
  <c r="D6322" i="106" s="1"/>
  <c r="B6323" i="106"/>
  <c r="D6323" i="106" s="1"/>
  <c r="B6324" i="106"/>
  <c r="D6324" i="106"/>
  <c r="B6325" i="106"/>
  <c r="D6325" i="106" s="1"/>
  <c r="B6326" i="106"/>
  <c r="D6326" i="106" s="1"/>
  <c r="B6327" i="106"/>
  <c r="D6327" i="106" s="1"/>
  <c r="B6328" i="106"/>
  <c r="D6328" i="106"/>
  <c r="B6329" i="106"/>
  <c r="D6329" i="106" s="1"/>
  <c r="B6330" i="106"/>
  <c r="D6330" i="106" s="1"/>
  <c r="B6331" i="106"/>
  <c r="D6331" i="106" s="1"/>
  <c r="B6332" i="106"/>
  <c r="D6332" i="106"/>
  <c r="B6333" i="106"/>
  <c r="D6333" i="106" s="1"/>
  <c r="B6334" i="106"/>
  <c r="D6334" i="106" s="1"/>
  <c r="B6335" i="106"/>
  <c r="D6335" i="106" s="1"/>
  <c r="B6336" i="106"/>
  <c r="D6336" i="106"/>
  <c r="B6337" i="106"/>
  <c r="D6337" i="106" s="1"/>
  <c r="B6338" i="106"/>
  <c r="D6338" i="106" s="1"/>
  <c r="B6339" i="106"/>
  <c r="D6339" i="106" s="1"/>
  <c r="B6340" i="106"/>
  <c r="D6340" i="106"/>
  <c r="B6341" i="106"/>
  <c r="D6341" i="106" s="1"/>
  <c r="B6342" i="106"/>
  <c r="D6342" i="106" s="1"/>
  <c r="B6343" i="106"/>
  <c r="D6343" i="106" s="1"/>
  <c r="B6344" i="106"/>
  <c r="D6344" i="106"/>
  <c r="B6345" i="106"/>
  <c r="D6345" i="106" s="1"/>
  <c r="B6346" i="106"/>
  <c r="D6346" i="106" s="1"/>
  <c r="B6347" i="106"/>
  <c r="D6347" i="106" s="1"/>
  <c r="B6348" i="106"/>
  <c r="D6348" i="106"/>
  <c r="B6349" i="106"/>
  <c r="D6349" i="106" s="1"/>
  <c r="B6350" i="106"/>
  <c r="D6350" i="106" s="1"/>
  <c r="B6353" i="106"/>
  <c r="D6353" i="106" s="1"/>
  <c r="B6354" i="106"/>
  <c r="D6354" i="106"/>
  <c r="B6355" i="106"/>
  <c r="D6355" i="106" s="1"/>
  <c r="B6356" i="106"/>
  <c r="D6356" i="106" s="1"/>
  <c r="B6358" i="106"/>
  <c r="D6358" i="106" s="1"/>
  <c r="B6359" i="106"/>
  <c r="D6359" i="106"/>
  <c r="B6360" i="106"/>
  <c r="D6360" i="106" s="1"/>
  <c r="B6361" i="106"/>
  <c r="D6361" i="106" s="1"/>
  <c r="B6362" i="106"/>
  <c r="D6362" i="106" s="1"/>
  <c r="B6363" i="106"/>
  <c r="D6363" i="106"/>
  <c r="B6364" i="106"/>
  <c r="D6364" i="106" s="1"/>
  <c r="B6365" i="106"/>
  <c r="D6365" i="106" s="1"/>
  <c r="B6366" i="106"/>
  <c r="D6366" i="106" s="1"/>
  <c r="B6367" i="106"/>
  <c r="D6367" i="106"/>
  <c r="B6368" i="106"/>
  <c r="D6368" i="106" s="1"/>
  <c r="B6369" i="106"/>
  <c r="D6369" i="106" s="1"/>
  <c r="B6370" i="106"/>
  <c r="D6370" i="106" s="1"/>
  <c r="B6371" i="106"/>
  <c r="D6371" i="106"/>
  <c r="B6372" i="106"/>
  <c r="D6372" i="106" s="1"/>
  <c r="B6373" i="106"/>
  <c r="D6373" i="106" s="1"/>
  <c r="B6374" i="106"/>
  <c r="D6374" i="106" s="1"/>
  <c r="B6375" i="106"/>
  <c r="D6375" i="106"/>
  <c r="B6376" i="106"/>
  <c r="D6376" i="106" s="1"/>
  <c r="B6377" i="106"/>
  <c r="D6377" i="106" s="1"/>
  <c r="B6378" i="106"/>
  <c r="D6378" i="106" s="1"/>
  <c r="B6379" i="106"/>
  <c r="D6379" i="106"/>
  <c r="B6380" i="106"/>
  <c r="D6380" i="106" s="1"/>
  <c r="B6381" i="106"/>
  <c r="D6381" i="106" s="1"/>
  <c r="B6382" i="106"/>
  <c r="D6382" i="106" s="1"/>
  <c r="B6383" i="106"/>
  <c r="D6383" i="106"/>
  <c r="B6384" i="106"/>
  <c r="D6384" i="106" s="1"/>
  <c r="B6385" i="106"/>
  <c r="D6385" i="106" s="1"/>
  <c r="B6386" i="106"/>
  <c r="D6386" i="106" s="1"/>
  <c r="B6387" i="106"/>
  <c r="D6387" i="106"/>
  <c r="B6388" i="106"/>
  <c r="D6388" i="106" s="1"/>
  <c r="B6389" i="106"/>
  <c r="D6389" i="106" s="1"/>
  <c r="B6390" i="106"/>
  <c r="D6390" i="106" s="1"/>
  <c r="B6391" i="106"/>
  <c r="D6391" i="106"/>
  <c r="B6392" i="106"/>
  <c r="D6392" i="106" s="1"/>
  <c r="B6393" i="106"/>
  <c r="D6393" i="106" s="1"/>
  <c r="B6394" i="106"/>
  <c r="D6394" i="106" s="1"/>
  <c r="B6395" i="106"/>
  <c r="D6395" i="106"/>
  <c r="B6398" i="106"/>
  <c r="D6398" i="106" s="1"/>
  <c r="B6399" i="106"/>
  <c r="D6399" i="106" s="1"/>
  <c r="B6401" i="106"/>
  <c r="D6401" i="106" s="1"/>
  <c r="B6402" i="106"/>
  <c r="D6402" i="106"/>
  <c r="B6403" i="106"/>
  <c r="D6403" i="106" s="1"/>
  <c r="B6404" i="106"/>
  <c r="D6404" i="106" s="1"/>
  <c r="B6405" i="106"/>
  <c r="D6405" i="106" s="1"/>
  <c r="B6406" i="106"/>
  <c r="D6406" i="106"/>
  <c r="B6407" i="106"/>
  <c r="D6407" i="106" s="1"/>
  <c r="B6408" i="106"/>
  <c r="D6408" i="106" s="1"/>
  <c r="B6410" i="106"/>
  <c r="D6410" i="106" s="1"/>
  <c r="B6411" i="106"/>
  <c r="D6411" i="106"/>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s="1"/>
  <c r="B6617" i="106"/>
  <c r="D6617" i="106" s="1"/>
  <c r="B6618" i="106"/>
  <c r="D6618" i="106"/>
  <c r="B6619" i="106"/>
  <c r="D6619" i="106" s="1"/>
  <c r="B6620" i="106"/>
  <c r="D6620" i="106" s="1"/>
  <c r="B6621" i="106"/>
  <c r="D6621" i="106" s="1"/>
  <c r="B6622" i="106"/>
  <c r="D6622" i="106"/>
  <c r="B6623" i="106"/>
  <c r="D6623" i="106" s="1"/>
  <c r="B6624" i="106"/>
  <c r="D6624" i="106" s="1"/>
  <c r="B6625" i="106"/>
  <c r="D6625" i="106" s="1"/>
  <c r="B6626" i="106"/>
  <c r="D6626" i="106"/>
  <c r="B6627" i="106"/>
  <c r="D6627" i="106" s="1"/>
  <c r="B6628" i="106"/>
  <c r="D6628" i="106" s="1"/>
  <c r="B6629" i="106"/>
  <c r="D6629" i="106" s="1"/>
  <c r="B6630" i="106"/>
  <c r="D6630" i="106"/>
  <c r="B6631" i="106"/>
  <c r="D6631" i="106" s="1"/>
  <c r="B6632" i="106"/>
  <c r="D6632" i="106" s="1"/>
  <c r="B6633" i="106"/>
  <c r="D6633" i="106" s="1"/>
  <c r="B6634" i="106"/>
  <c r="D6634" i="106"/>
  <c r="B6635" i="106"/>
  <c r="D6635" i="106" s="1"/>
  <c r="B6636" i="106"/>
  <c r="D6636" i="106" s="1"/>
  <c r="B6637" i="106"/>
  <c r="D6637" i="106" s="1"/>
  <c r="B6638" i="106"/>
  <c r="D6638" i="106"/>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3" i="127"/>
  <c r="B64" i="127"/>
  <c r="E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c r="D5112" i="106" s="1"/>
  <c r="C108" i="5"/>
  <c r="B5120" i="106" s="1"/>
  <c r="D5120" i="106" s="1"/>
  <c r="D108" i="5"/>
  <c r="B5355" i="106" s="1"/>
  <c r="D5355" i="106" s="1"/>
  <c r="E108" i="5"/>
  <c r="B5526" i="106"/>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B4357" i="106" s="1"/>
  <c r="D4357" i="106" s="1"/>
  <c r="G172" i="5"/>
  <c r="G173" i="5" s="1"/>
  <c r="B5778" i="106" s="1"/>
  <c r="D5778"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c r="D6400" i="106" s="1"/>
  <c r="K178" i="5"/>
  <c r="B4951" i="106"/>
  <c r="D4951" i="106" s="1"/>
  <c r="C184" i="5"/>
  <c r="B5232" i="106"/>
  <c r="D5232" i="106" s="1"/>
  <c r="D184" i="5"/>
  <c r="F127" i="34" s="1"/>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F128" i="34" s="1"/>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J22" i="37"/>
  <c r="L22" i="37"/>
  <c r="D24" i="37"/>
  <c r="B4270" i="106" s="1"/>
  <c r="D4270" i="106" s="1"/>
  <c r="L5" i="11"/>
  <c r="B2056" i="106" s="1"/>
  <c r="D2056" i="106" s="1"/>
  <c r="D5" i="7"/>
  <c r="B1761" i="106" s="1"/>
  <c r="D1761" i="106" s="1"/>
  <c r="D13" i="7"/>
  <c r="B3726" i="106" s="1"/>
  <c r="D3726" i="106" s="1"/>
  <c r="D9" i="7"/>
  <c r="B1767" i="106" s="1"/>
  <c r="D1767" i="106" s="1"/>
  <c r="F130" i="34"/>
  <c r="B5847" i="106"/>
  <c r="D5847" i="106" s="1"/>
  <c r="B5752" i="106"/>
  <c r="D5752" i="106" s="1"/>
  <c r="B5599" i="106"/>
  <c r="D5599" i="106" s="1"/>
  <c r="H173" i="5"/>
  <c r="B5906" i="106" s="1"/>
  <c r="D5906" i="106" s="1"/>
  <c r="F106" i="34"/>
  <c r="B1746" i="106"/>
  <c r="D1746" i="106" s="1"/>
  <c r="D17" i="7"/>
  <c r="B4104" i="106" s="1"/>
  <c r="D4104" i="106" s="1"/>
  <c r="D11" i="7"/>
  <c r="B1768" i="106" s="1"/>
  <c r="D1768" i="106" s="1"/>
  <c r="D15" i="7"/>
  <c r="B1772" i="106" s="1"/>
  <c r="D1772" i="106" s="1"/>
  <c r="I173" i="5" l="1"/>
  <c r="B4216" i="106" s="1"/>
  <c r="D4216" i="106" s="1"/>
  <c r="L342" i="29"/>
  <c r="F66" i="34"/>
  <c r="D7245" i="106"/>
  <c r="I342" i="29"/>
  <c r="B7222" i="106" s="1"/>
  <c r="D7222" i="106" s="1"/>
  <c r="B3658" i="106"/>
  <c r="D3658" i="106" s="1"/>
  <c r="H365" i="29"/>
  <c r="E14" i="145"/>
  <c r="G14" i="145" s="1"/>
  <c r="B1124" i="106"/>
  <c r="D1124" i="106" s="1"/>
  <c r="F15" i="145"/>
  <c r="F19" i="145" s="1"/>
  <c r="B1274" i="106"/>
  <c r="D1274" i="106" s="1"/>
  <c r="F111" i="34"/>
  <c r="F136" i="34"/>
  <c r="G109" i="5"/>
  <c r="B6024" i="106" s="1"/>
  <c r="D6024" i="106" s="1"/>
  <c r="B3670" i="106"/>
  <c r="D3670" i="106" s="1"/>
  <c r="K352" i="29"/>
  <c r="K13" i="4" s="1"/>
  <c r="B3572" i="106" s="1"/>
  <c r="D3572" i="106" s="1"/>
  <c r="B3565" i="106"/>
  <c r="D3565" i="106" s="1"/>
  <c r="K41" i="3"/>
  <c r="K274" i="5"/>
  <c r="F131" i="34"/>
  <c r="D5" i="4"/>
  <c r="B3406" i="106" s="1"/>
  <c r="D3406" i="106" s="1"/>
  <c r="D109" i="5"/>
  <c r="B5356" i="106" s="1"/>
  <c r="D5356" i="106" s="1"/>
  <c r="D12" i="7"/>
  <c r="B1769" i="106" s="1"/>
  <c r="D1769" i="106" s="1"/>
  <c r="H6" i="4"/>
  <c r="B2656" i="106" s="1"/>
  <c r="D2656" i="106" s="1"/>
  <c r="H109" i="5"/>
  <c r="B5770" i="106"/>
  <c r="D5770" i="106" s="1"/>
  <c r="D4" i="7"/>
  <c r="B1760" i="106" s="1"/>
  <c r="D1760" i="106" s="1"/>
  <c r="B7041" i="106"/>
  <c r="D7041" i="106" s="1"/>
  <c r="E109" i="5"/>
  <c r="E4" i="4" s="1"/>
  <c r="B2630" i="106" s="1"/>
  <c r="D2630" i="106" s="1"/>
  <c r="L312" i="29"/>
  <c r="F49" i="34"/>
  <c r="F35" i="34"/>
  <c r="B6191" i="106"/>
  <c r="D6191" i="106" s="1"/>
  <c r="J41" i="3"/>
  <c r="B3619" i="106"/>
  <c r="D3619" i="106" s="1"/>
  <c r="C352" i="29"/>
  <c r="F21" i="8"/>
  <c r="B3689" i="106"/>
  <c r="D3689" i="106" s="1"/>
  <c r="L15" i="11"/>
  <c r="B3459" i="106" s="1"/>
  <c r="D3459" i="106" s="1"/>
  <c r="G15" i="145"/>
  <c r="K76" i="4"/>
  <c r="B3586" i="106" s="1"/>
  <c r="D3586" i="106" s="1"/>
  <c r="B3649" i="106"/>
  <c r="D3649" i="106" s="1"/>
  <c r="G367" i="29"/>
  <c r="D54" i="36"/>
  <c r="L13" i="11"/>
  <c r="B2060" i="106" s="1"/>
  <c r="D2060" i="106" s="1"/>
  <c r="D69" i="36"/>
  <c r="F19" i="7"/>
  <c r="B1807" i="106" s="1"/>
  <c r="D1807" i="106" s="1"/>
  <c r="D26" i="108"/>
  <c r="F26" i="108"/>
  <c r="F41" i="108" s="1"/>
  <c r="G43" i="108" s="1"/>
  <c r="F38" i="34"/>
  <c r="C172" i="5"/>
  <c r="B5214" i="106" s="1"/>
  <c r="D5214" i="106" s="1"/>
  <c r="C109" i="5"/>
  <c r="B5121" i="106" s="1"/>
  <c r="D5121" i="106" s="1"/>
  <c r="B1410" i="106"/>
  <c r="D1410" i="106" s="1"/>
  <c r="G4" i="4"/>
  <c r="B2603" i="106" s="1"/>
  <c r="D2603" i="106" s="1"/>
  <c r="K184" i="29"/>
  <c r="F13" i="4" s="1"/>
  <c r="B2596" i="106" s="1"/>
  <c r="D2596" i="106" s="1"/>
  <c r="D7" i="7"/>
  <c r="B1763" i="106" s="1"/>
  <c r="D1763" i="106" s="1"/>
  <c r="B1329" i="106"/>
  <c r="D1329" i="106" s="1"/>
  <c r="F61" i="34"/>
  <c r="D4" i="4"/>
  <c r="B2564" i="106" s="1"/>
  <c r="D256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B3447" i="106"/>
  <c r="D3447" i="106" s="1"/>
  <c r="B7270" i="106"/>
  <c r="B3621" i="106" l="1"/>
  <c r="D3621" i="106" s="1"/>
  <c r="C367" i="29"/>
  <c r="B3622" i="106" s="1"/>
  <c r="D3622" i="106" s="1"/>
  <c r="H367" i="29"/>
  <c r="B3660" i="106" s="1"/>
  <c r="D3660" i="106" s="1"/>
  <c r="B7242" i="106"/>
  <c r="D7242" i="106" s="1"/>
  <c r="D274" i="5"/>
  <c r="D7254" i="106"/>
  <c r="D7250" i="106"/>
  <c r="K342" i="29"/>
  <c r="F13" i="34" s="1"/>
  <c r="B3568" i="106"/>
  <c r="D3568" i="106" s="1"/>
  <c r="D52" i="36"/>
  <c r="D7255" i="106"/>
  <c r="D7252" i="106"/>
  <c r="B1879" i="106"/>
  <c r="D1879" i="106" s="1"/>
  <c r="H22" i="37"/>
  <c r="B6025" i="106"/>
  <c r="D6025" i="106" s="1"/>
  <c r="H4" i="4"/>
  <c r="L16" i="11"/>
  <c r="B2061" i="106" s="1"/>
  <c r="D2061" i="106" s="1"/>
  <c r="C114" i="29"/>
  <c r="B757" i="106" s="1"/>
  <c r="D757" i="106" s="1"/>
  <c r="C173" i="5"/>
  <c r="C4" i="4"/>
  <c r="B2551" i="106" s="1"/>
  <c r="D2551" i="106" s="1"/>
  <c r="D44" i="36"/>
  <c r="D19" i="7"/>
  <c r="B1775" i="106" s="1"/>
  <c r="D1775" i="106" s="1"/>
  <c r="F274" i="5"/>
  <c r="F275" i="5" s="1"/>
  <c r="B5720" i="106" s="1"/>
  <c r="D5720" i="106" s="1"/>
  <c r="F6" i="4"/>
  <c r="B2593" i="106" s="1"/>
  <c r="D2593" i="106" s="1"/>
  <c r="B1317" i="106"/>
  <c r="D131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F8" i="4" s="1"/>
  <c r="G22" i="108"/>
  <c r="B1119" i="106"/>
  <c r="D1119" i="106" s="1"/>
  <c r="E22" i="108"/>
  <c r="G12" i="145"/>
  <c r="G19" i="145" s="1"/>
  <c r="J20" i="145" s="1"/>
  <c r="E19" i="145"/>
  <c r="B5915" i="106"/>
  <c r="D5915" i="106" s="1"/>
  <c r="B6222" i="106"/>
  <c r="D6222" i="106" s="1"/>
  <c r="J8" i="4"/>
  <c r="D7" i="4"/>
  <c r="D275" i="5"/>
  <c r="B5507" i="106"/>
  <c r="D5507" i="106" s="1"/>
  <c r="B7298" i="106"/>
  <c r="B7299" i="106"/>
  <c r="B2655" i="106" l="1"/>
  <c r="D2655" i="106" s="1"/>
  <c r="H8" i="4"/>
  <c r="B5223" i="106"/>
  <c r="D5223" i="106" s="1"/>
  <c r="C6" i="4"/>
  <c r="B2553" i="106" s="1"/>
  <c r="D2553" i="106" s="1"/>
  <c r="G41" i="108"/>
  <c r="G44" i="108" s="1"/>
  <c r="G45" i="108" s="1"/>
  <c r="E41" i="108"/>
  <c r="E44" i="108" s="1"/>
  <c r="E45" i="108" s="1"/>
  <c r="B2594" i="106"/>
  <c r="D259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B2658" i="106"/>
  <c r="D2658" i="106" s="1"/>
  <c r="H10" i="4"/>
  <c r="B4127" i="106" s="1"/>
  <c r="D4127"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<sst xmlns="http://schemas.openxmlformats.org/spreadsheetml/2006/main" count="5365" uniqueCount="2205">
  <si>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</si>
  <si>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</si>
  <si>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</si>
  <si>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</si>
  <si>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</si>
  <si>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</si>
  <si>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</si>
  <si>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</si>
  <si>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</si>
  <si>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</si>
  <si>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</si>
  <si>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</si>
  <si>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</si>
  <si>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</si>
  <si>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</si>
  <si>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</si>
  <si>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</si>
  <si>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</si>
  <si>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</si>
  <si>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</si>
  <si>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</si>
  <si>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</si>
  <si>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</si>
  <si>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</si>
  <si>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</si>
  <si>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</si>
  <si>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</si>
  <si>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</si>
  <si>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</si>
  <si>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</si>
  <si>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</si>
  <si>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</si>
  <si>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</si>
  <si>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</si>
  <si>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</si>
  <si>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</si>
  <si>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</si>
  <si>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</si>
  <si>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</si>
  <si>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</si>
  <si>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</si>
  <si>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</si>
  <si>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</si>
  <si>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</si>
  <si>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</si>
  <si>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</si>
  <si>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</si>
  <si>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</si>
  <si>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</si>
  <si>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</si>
  <si>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</si>
  <si>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</si>
  <si>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</si>
  <si>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</si>
  <si>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</si>
  <si>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</si>
  <si>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</si>
  <si>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</si>
  <si>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</si>
  <si>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</si>
  <si>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</si>
  <si>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</si>
  <si>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</si>
  <si>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</si>
  <si>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</si>
  <si>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</si>
  <si>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</si>
  <si>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</si>
  <si>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</si>
  <si>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</si>
  <si>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</si>
  <si>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</si>
  <si>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</si>
  <si>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</si>
  <si>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</si>
  <si>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</si>
  <si>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</si>
  <si>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</si>
  <si>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</si>
  <si>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</si>
  <si>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</si>
  <si>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</si>
  <si>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</si>
  <si>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</si>
  <si>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</si>
  <si>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</si>
  <si>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</si>
  <si>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</si>
  <si>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</si>
  <si>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</si>
  <si>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</si>
  <si>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</si>
  <si>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</si>
  <si>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</si>
  <si>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</si>
  <si>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</si>
  <si>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</si>
  <si>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</si>
  <si>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</si>
  <si>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</si>
  <si>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</si>
  <si>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</si>
  <si>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</si>
  <si>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</si>
  <si>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</si>
  <si>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</si>
  <si>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</si>
  <si>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</si>
  <si>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</si>
  <si>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</si>
  <si>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</si>
  <si>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</si>
  <si>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</si>
  <si>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</si>
  <si>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</si>
  <si>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</si>
  <si>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</si>
  <si>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</si>
  <si>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</si>
  <si>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</si>
  <si>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</si>
  <si>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</si>
  <si>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</si>
  <si>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</si>
  <si>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</si>
  <si>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</si>
  <si>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</si>
  <si>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</si>
  <si>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</si>
  <si>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</si>
  <si>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</si>
  <si>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</si>
  <si>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</si>
  <si>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</si>
  <si>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</si>
  <si>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</si>
  <si>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</si>
  <si>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</si>
  <si>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</si>
  <si>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</si>
  <si>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</si>
  <si>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</si>
  <si>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</si>
  <si>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</si>
  <si>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</si>
  <si>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</si>
  <si>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</si>
  <si>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</si>
  <si>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</si>
  <si>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</si>
  <si>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</si>
  <si>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</si>
  <si>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</si>
  <si>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</si>
  <si>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</si>
  <si>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</si>
  <si>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</si>
  <si>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</si>
  <si>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</si>
  <si>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</si>
  <si>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</si>
  <si>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</si>
  <si>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</si>
  <si>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</si>
  <si>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</si>
  <si>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</si>
  <si>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</si>
  <si>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</si>
  <si>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</si>
  <si>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</si>
  <si>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</si>
  <si>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</si>
  <si>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</si>
  <si>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</si>
  <si>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</si>
  <si>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</si>
  <si>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</si>
  <si>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</si>
  <si>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</si>
  <si>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</si>
  <si>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</si>
  <si>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</si>
  <si>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</si>
  <si>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</si>
  <si>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</si>
  <si>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</si>
  <si>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</si>
  <si>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</si>
  <si>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</si>
  <si>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</si>
  <si>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</si>
  <si>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</si>
  <si>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</si>
  <si>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</si>
  <si>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</si>
  <si>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</si>
  <si>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</si>
  <si>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</si>
  <si>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</si>
  <si>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</si>
  <si>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</si>
  <si>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</si>
  <si>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</si>
  <si>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</si>
  <si>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</si>
  <si>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</si>
  <si>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</si>
  <si>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</si>
  <si>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</si>
  <si>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</si>
  <si>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</si>
  <si>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</si>
  <si>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</si>
  <si>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</si>
  <si>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</si>
  <si>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</si>
  <si>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</si>
  <si>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</si>
  <si>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</si>
  <si>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</si>
  <si>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</si>
  <si>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</si>
  <si>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</si>
  <si>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</si>
  <si>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</si>
  <si>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</si>
  <si>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</si>
  <si>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</si>
  <si>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</si>
  <si>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</si>
  <si>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</si>
  <si>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</si>
  <si>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</si>
  <si>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</si>
  <si>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</si>
  <si>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</si>
  <si>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</si>
  <si>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</si>
  <si>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</si>
  <si>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</si>
  <si>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</si>
  <si>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</si>
  <si>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</si>
  <si>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</si>
  <si>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</si>
  <si>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</si>
  <si>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</si>
  <si>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</si>
  <si>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</si>
  <si>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</si>
  <si>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</si>
  <si>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</si>
  <si>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</si>
  <si>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</si>
  <si>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</si>
  <si>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</si>
  <si>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</si>
  <si>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</si>
  <si>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</si>
  <si>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</si>
  <si>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</si>
  <si>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</si>
  <si>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</si>
  <si>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</si>
  <si>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</si>
  <si>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</si>
  <si>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</si>
  <si>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</si>
  <si>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</si>
  <si>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</si>
  <si>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</si>
  <si>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</si>
  <si>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</si>
  <si>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</si>
  <si>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</si>
  <si>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</si>
  <si>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</si>
  <si>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</si>
  <si>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</si>
  <si>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</si>
  <si>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</si>
  <si>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</si>
  <si>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</si>
  <si>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</si>
  <si>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</si>
  <si>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</si>
  <si>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</si>
  <si>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</si>
  <si>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</si>
  <si>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</si>
  <si>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</si>
  <si>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</si>
  <si>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</si>
  <si>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</si>
  <si>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</si>
  <si>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</si>
  <si>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</si>
  <si>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</si>
  <si>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</si>
  <si>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</si>
  <si>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</si>
  <si>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</si>
  <si>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</si>
  <si>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</si>
  <si>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</si>
  <si>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</si>
  <si>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</si>
  <si>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</si>
  <si>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</si>
  <si>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</si>
  <si>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</si>
  <si>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</si>
  <si>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</si>
  <si>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</si>
  <si>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</si>
  <si>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</si>
  <si>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</si>
  <si>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</si>
  <si>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</si>
  <si>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</si>
  <si>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</si>
  <si>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</si>
  <si>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</si>
  <si>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</si>
  <si>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</si>
  <si>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</si>
  <si>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</si>
  <si>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</si>
  <si>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</si>
  <si>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</si>
  <si>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</si>
  <si>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</si>
  <si>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</si>
  <si>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</si>
  <si>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</si>
  <si>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</si>
  <si>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</si>
  <si>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</si>
  <si>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</si>
  <si>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</si>
  <si>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</si>
  <si>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</si>
  <si>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</si>
  <si>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</si>
  <si>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</si>
  <si>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</si>
  <si>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</si>
  <si>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</si>
  <si>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</si>
  <si>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</si>
  <si>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</si>
  <si>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</si>
  <si>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</si>
  <si>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</si>
  <si>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</si>
  <si>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</si>
  <si>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</si>
  <si>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</si>
  <si>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</si>
  <si>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</si>
  <si>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</si>
  <si>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</si>
  <si>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</si>
  <si>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</si>
  <si>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</si>
  <si>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</si>
  <si>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</si>
  <si>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</si>
  <si>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</si>
  <si>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</si>
  <si>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</si>
  <si>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</si>
  <si>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</si>
  <si>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</si>
  <si>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</si>
  <si>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</si>
  <si>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</si>
  <si>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</si>
  <si>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</si>
  <si>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</si>
  <si>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</si>
  <si>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</si>
  <si>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</si>
  <si>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</si>
  <si>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</si>
  <si>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</si>
  <si>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</si>
  <si>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</si>
  <si>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</si>
  <si>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</si>
  <si>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</si>
  <si>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</si>
  <si>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</si>
  <si>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</si>
  <si>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</si>
  <si>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</si>
  <si>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</si>
  <si>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</si>
  <si>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</si>
  <si>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</si>
  <si>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</si>
  <si>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</si>
  <si>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</si>
  <si>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</si>
  <si>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</si>
  <si>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</si>
  <si>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</si>
  <si>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</si>
  <si>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</si>
  <si>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</si>
  <si>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</si>
  <si>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</si>
  <si>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</si>
  <si>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</si>
  <si>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</si>
  <si>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</si>
  <si>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</si>
  <si>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</si>
  <si>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</si>
  <si>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</si>
  <si>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</si>
  <si>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</si>
  <si>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</si>
  <si>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</si>
  <si>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</si>
  <si>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</si>
  <si>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</si>
  <si>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</si>
  <si>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</si>
  <si>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</si>
  <si>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</si>
  <si>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</si>
  <si>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</si>
  <si>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</si>
  <si>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</si>
  <si>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</si>
  <si>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</si>
  <si>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</si>
  <si>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</si>
  <si>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</si>
  <si>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</si>
  <si>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</si>
  <si>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</si>
  <si>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</si>
  <si>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</si>
  <si>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</si>
  <si>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</si>
  <si>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</si>
  <si>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</si>
  <si>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</si>
  <si>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</si>
  <si>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</si>
  <si>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</si>
  <si>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</si>
  <si>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</si>
  <si>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</si>
  <si>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</si>
  <si>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</si>
  <si>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</si>
  <si>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</si>
  <si>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</si>
  <si>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</si>
  <si>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</si>
  <si>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</si>
  <si>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</si>
  <si>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</si>
  <si>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</si>
  <si>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</si>
  <si>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</si>
  <si>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</si>
  <si>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</si>
  <si>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</si>
  <si>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</si>
  <si>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</si>
  <si>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</si>
  <si>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</si>
  <si>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</si>
  <si>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</si>
  <si>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</si>
  <si>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</si>
  <si>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</si>
  <si>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</si>
  <si>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</si>
  <si>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</si>
  <si>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</si>
  <si>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</si>
  <si>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</si>
  <si>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</si>
  <si>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</si>
  <si>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</si>
  <si>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</si>
  <si>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</si>
  <si>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</si>
  <si>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</si>
  <si>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</si>
  <si>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</si>
  <si>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</si>
  <si>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</si>
  <si>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</si>
  <si>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</si>
  <si>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</si>
  <si>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</si>
  <si>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</si>
  <si>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</si>
  <si>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</si>
  <si>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</si>
  <si>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</si>
  <si>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</si>
  <si>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</si>
  <si>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</si>
  <si>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</si>
  <si>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</si>
  <si>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</si>
  <si>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</si>
  <si>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</si>
  <si>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</si>
  <si>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</si>
  <si>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</si>
  <si>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</si>
  <si>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</si>
  <si>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</si>
  <si>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</si>
  <si>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</si>
  <si>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</si>
  <si>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</si>
  <si>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</si>
  <si>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</si>
  <si>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</si>
  <si>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</si>
  <si>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</si>
  <si>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</si>
  <si>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</si>
  <si>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</si>
  <si>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</si>
  <si>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</si>
  <si>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</si>
  <si>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</si>
  <si>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</si>
  <si>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</si>
  <si>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</si>
  <si>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</si>
  <si>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</si>
  <si>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</si>
  <si>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</si>
  <si>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</si>
  <si>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</si>
  <si>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</si>
  <si>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</si>
  <si>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</si>
  <si>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</si>
  <si>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</si>
  <si>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</si>
  <si>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</si>
  <si>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</si>
  <si>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</si>
  <si>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</si>
  <si>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</si>
  <si>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</si>
  <si>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</si>
  <si>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</si>
  <si>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</si>
  <si>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</si>
  <si>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</si>
  <si>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</si>
  <si>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</si>
  <si>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</si>
  <si>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</si>
  <si>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</si>
  <si>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</si>
  <si>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</si>
  <si>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</si>
  <si>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</si>
  <si>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</si>
  <si>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</si>
  <si>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</si>
  <si>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</si>
  <si>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</si>
  <si>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</si>
  <si>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</si>
  <si>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</si>
  <si>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</si>
  <si>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</si>
  <si>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</si>
  <si>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</si>
  <si>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</si>
  <si>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</si>
  <si>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</si>
  <si>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</si>
  <si>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</si>
  <si>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</si>
  <si>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</si>
  <si>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</si>
  <si>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</si>
  <si>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</si>
  <si>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</si>
  <si>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</si>
  <si>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</si>
  <si>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</si>
  <si>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</si>
  <si>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</si>
  <si>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</si>
  <si>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</si>
  <si>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</si>
  <si>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</si>
  <si>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</si>
  <si>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</si>
  <si>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</si>
  <si>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</si>
  <si>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</si>
  <si>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</si>
  <si>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</si>
  <si>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</si>
  <si>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</si>
  <si>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</si>
  <si>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</si>
  <si>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</si>
  <si>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</si>
  <si>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</si>
  <si>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</si>
  <si>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</si>
  <si>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</si>
  <si>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</si>
  <si>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</si>
  <si>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</si>
  <si>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</si>
  <si>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</si>
  <si>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</si>
  <si>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</si>
  <si>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</si>
  <si>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</si>
  <si>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</si>
  <si>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</si>
  <si>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</si>
  <si>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</si>
  <si>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</si>
  <si>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</si>
  <si>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</si>
  <si>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</si>
  <si>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</si>
  <si>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</si>
  <si>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</si>
  <si>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</si>
  <si>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</si>
  <si>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</si>
  <si>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</si>
  <si>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</si>
  <si>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</si>
  <si>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</si>
  <si>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</si>
  <si>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</si>
  <si>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</si>
  <si>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</si>
  <si>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</si>
  <si>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</si>
  <si>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</si>
  <si>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</si>
  <si>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</si>
  <si>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</si>
  <si>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</si>
  <si>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</si>
  <si>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</si>
  <si>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</si>
  <si>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</si>
  <si>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</si>
  <si>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</si>
  <si>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</si>
  <si>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</si>
  <si>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</si>
  <si>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</si>
  <si>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</si>
  <si>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</si>
  <si>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</si>
  <si>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</si>
  <si>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</si>
  <si>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</si>
  <si>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</si>
  <si>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</si>
  <si>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</si>
  <si>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</si>
  <si>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</si>
  <si>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</si>
  <si>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</si>
  <si>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</si>
  <si>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</si>
  <si>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</si>
  <si>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</si>
  <si>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</si>
  <si>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</si>
  <si>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</si>
  <si>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</si>
  <si>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</si>
  <si>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</si>
  <si>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</si>
  <si>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</si>
  <si>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</si>
  <si>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</si>
  <si>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</si>
  <si>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</si>
  <si>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</si>
  <si>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</si>
  <si>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</si>
  <si>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</si>
  <si>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</si>
  <si>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</si>
  <si>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</si>
  <si>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</si>
  <si>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</si>
  <si>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</si>
  <si>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</si>
  <si>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</si>
  <si>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</si>
  <si>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</si>
  <si>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</si>
  <si>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</si>
  <si>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</si>
  <si>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</si>
  <si>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</si>
  <si>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</si>
  <si>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</si>
  <si>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</si>
  <si>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</si>
  <si>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</si>
  <si>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</si>
  <si>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</si>
  <si>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</si>
  <si>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</si>
  <si>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</si>
  <si>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</si>
  <si>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</si>
  <si>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</si>
  <si>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</si>
  <si>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</si>
  <si>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</si>
  <si>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</si>
  <si>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</si>
  <si>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</si>
  <si>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</si>
  <si>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</si>
  <si>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</si>
  <si>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</si>
  <si>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</si>
  <si>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</si>
  <si>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</si>
  <si>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</si>
  <si>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</si>
  <si>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</si>
  <si>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</si>
  <si>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</si>
  <si>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</si>
  <si>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</si>
  <si>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</si>
  <si>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</si>
  <si>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</si>
  <si>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</si>
  <si>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</si>
  <si>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</si>
  <si>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</si>
  <si>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</si>
  <si>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</si>
  <si>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</si>
  <si>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</si>
  <si>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</si>
  <si>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</si>
  <si>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</si>
  <si>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</si>
  <si>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</si>
  <si>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</si>
  <si>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</si>
  <si>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</si>
  <si>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</si>
  <si>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</si>
  <si>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</si>
  <si>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</si>
  <si>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</si>
  <si>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</si>
  <si>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</si>
  <si>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</si>
  <si>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</si>
  <si>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</si>
  <si>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</si>
  <si>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</si>
  <si>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</si>
  <si>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</si>
  <si>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</si>
  <si>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</si>
  <si>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</si>
  <si>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</si>
  <si>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</si>
  <si>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</si>
  <si>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</si>
  <si>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</si>
  <si>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</si>
  <si>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</si>
  <si>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</si>
  <si>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</si>
  <si>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</si>
  <si>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</si>
  <si>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</si>
  <si>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</si>
  <si>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</si>
  <si>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</si>
  <si>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</si>
  <si>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</si>
  <si>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</si>
  <si>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</si>
  <si>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</si>
  <si>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</si>
  <si>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</si>
  <si>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</si>
  <si>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</si>
  <si>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</si>
  <si>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</si>
  <si>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</si>
  <si>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</si>
  <si>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</si>
  <si>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</si>
  <si>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</si>
  <si>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</si>
  <si>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</si>
  <si>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</si>
  <si>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</si>
  <si>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</si>
  <si>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</si>
  <si>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</si>
  <si>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</si>
  <si>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</si>
  <si>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</si>
  <si>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</si>
  <si>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</si>
  <si>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</si>
  <si>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</si>
  <si>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</si>
  <si>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</si>
  <si>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</si>
  <si>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</si>
  <si>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</si>
  <si>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</si>
  <si>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</si>
  <si>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</si>
  <si>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</si>
  <si>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</si>
  <si>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</si>
  <si>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</si>
  <si>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</si>
  <si>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</si>
  <si>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</si>
  <si>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</si>
  <si>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</si>
  <si>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</si>
  <si>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</si>
  <si>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</si>
  <si>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</si>
  <si>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</si>
  <si>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</si>
  <si>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</si>
  <si>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</si>
  <si>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</si>
  <si>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</si>
  <si>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</si>
  <si>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</si>
  <si>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</si>
  <si>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</si>
  <si>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</si>
  <si>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</si>
  <si>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</si>
  <si>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</si>
  <si>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</si>
  <si>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</si>
  <si>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</si>
  <si>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</si>
  <si>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</si>
  <si>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</si>
  <si>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</si>
  <si>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</si>
  <si>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</si>
  <si>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</si>
  <si>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</si>
  <si>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</si>
  <si>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</si>
  <si>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</si>
  <si>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</si>
  <si>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</si>
  <si>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</si>
  <si>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</si>
  <si>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</si>
  <si>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</si>
  <si>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</si>
  <si>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</si>
  <si>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</si>
  <si>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</si>
  <si>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</si>
  <si>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</si>
  <si>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</si>
  <si>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</si>
  <si>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</si>
  <si>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</si>
  <si>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</si>
  <si>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</si>
  <si>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</si>
  <si>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</si>
  <si>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</si>
  <si>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</si>
  <si>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</si>
  <si>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</si>
  <si>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</si>
  <si>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</si>
  <si>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</si>
  <si>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</si>
  <si>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</si>
  <si>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</si>
  <si>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</si>
  <si>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</si>
  <si>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</si>
  <si>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</si>
  <si>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</si>
  <si>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</si>
  <si>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</si>
  <si>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</si>
  <si>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</si>
  <si>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</si>
  <si>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</si>
  <si>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</si>
  <si>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</si>
  <si>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</si>
  <si>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</si>
  <si>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</si>
  <si>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</si>
  <si>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</si>
  <si>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</si>
  <si>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</si>
  <si>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</si>
  <si>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</si>
  <si>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</si>
  <si>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</si>
  <si>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</si>
  <si>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</si>
  <si>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</si>
  <si>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</si>
  <si>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</si>
  <si>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</si>
  <si>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</si>
  <si>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</si>
  <si>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</si>
  <si>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</si>
  <si>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</si>
  <si>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</si>
  <si>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</si>
  <si>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</si>
  <si>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</si>
  <si>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</si>
  <si>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</si>
  <si>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</si>
  <si>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</si>
  <si>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</si>
  <si>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</si>
  <si>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</si>
  <si>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</si>
  <si>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</si>
  <si>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</si>
  <si>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</si>
  <si>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</si>
  <si>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</si>
  <si>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</si>
  <si>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</si>
  <si>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</si>
  <si>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</si>
  <si>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</si>
  <si>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</si>
  <si>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</si>
  <si>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</si>
  <si>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</si>
  <si>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</si>
  <si>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</si>
  <si>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</si>
  <si>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</si>
  <si>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</si>
  <si>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</si>
  <si>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</si>
  <si>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</si>
  <si>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</si>
  <si>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</si>
  <si>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</si>
  <si>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</si>
  <si>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</si>
  <si>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</si>
  <si>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</si>
  <si>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</si>
  <si>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</si>
  <si>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</si>
  <si>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</si>
  <si>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</si>
  <si>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</si>
  <si>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</si>
  <si>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</si>
  <si>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</si>
  <si>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</si>
  <si>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</si>
  <si>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</si>
  <si>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</si>
  <si>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</si>
  <si>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</si>
  <si>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</si>
  <si>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</si>
  <si>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</si>
  <si>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</si>
  <si>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</si>
  <si>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</si>
  <si>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</si>
  <si>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</si>
  <si>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</si>
  <si>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</si>
  <si>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</si>
  <si>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</si>
  <si>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</si>
  <si>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</si>
  <si>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</si>
  <si>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</si>
  <si>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</si>
  <si>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</si>
  <si>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</si>
  <si>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</si>
  <si>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</si>
  <si>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</si>
  <si>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</si>
  <si>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</si>
  <si>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</si>
  <si>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</si>
  <si>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</si>
  <si>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</si>
  <si>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</si>
  <si>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</si>
  <si>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</si>
  <si>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</si>
  <si>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</si>
  <si>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</si>
  <si>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</si>
  <si>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</si>
  <si>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</si>
  <si>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</si>
  <si>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</si>
  <si>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</si>
  <si>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</si>
  <si>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</si>
  <si>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</si>
  <si>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</si>
  <si>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</si>
  <si>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</si>
  <si>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</si>
  <si>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</si>
  <si>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</si>
  <si>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</si>
  <si>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</si>
  <si>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</si>
  <si>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</si>
  <si>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</si>
  <si>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</si>
  <si>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</si>
  <si>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</si>
  <si>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</si>
  <si>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</si>
  <si>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</si>
  <si>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</si>
  <si>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</si>
  <si>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</si>
  <si>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</si>
  <si>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</si>
  <si>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</si>
  <si>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</si>
  <si>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</si>
  <si>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</si>
  <si>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</si>
  <si>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</si>
  <si>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</si>
  <si>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</si>
  <si>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</si>
  <si>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</si>
  <si>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</si>
  <si>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</si>
  <si>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</si>
  <si>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</si>
  <si>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</si>
  <si>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</si>
  <si>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</si>
  <si>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</si>
  <si>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</si>
  <si>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</si>
  <si>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</si>
  <si>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</si>
  <si>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</si>
  <si>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</si>
  <si>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</si>
  <si>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</si>
  <si>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</si>
  <si>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</si>
  <si>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</si>
  <si>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</si>
  <si>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</si>
  <si>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</si>
  <si>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</si>
  <si>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</si>
  <si>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</si>
  <si>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</si>
  <si>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</si>
  <si>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</si>
  <si>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</si>
  <si>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</si>
  <si>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</si>
  <si>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</si>
  <si>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</si>
  <si>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</si>
  <si>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</si>
  <si>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</si>
  <si>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</si>
  <si>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</si>
  <si>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</si>
  <si>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</si>
  <si>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</si>
  <si>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</si>
  <si>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</si>
  <si>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</si>
  <si>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</si>
  <si>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</si>
  <si>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</si>
  <si>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</si>
  <si>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</si>
  <si>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</si>
  <si>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</si>
  <si>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</si>
  <si>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</si>
  <si>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</si>
  <si>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</si>
  <si>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</si>
  <si>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</si>
  <si>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</si>
  <si>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</si>
  <si>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</si>
  <si>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</si>
  <si>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</si>
  <si>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</si>
  <si>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</si>
  <si>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</si>
  <si>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</si>
  <si>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</si>
  <si>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</si>
  <si>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</si>
  <si>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</si>
  <si>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</si>
  <si>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</si>
  <si>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</si>
  <si>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</si>
  <si>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</si>
  <si>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</si>
  <si>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</si>
  <si>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</si>
  <si>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</si>
  <si>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</si>
  <si>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</si>
  <si>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</si>
  <si>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</si>
  <si>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</si>
  <si>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</si>
  <si>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</si>
  <si>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</si>
  <si>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</si>
  <si>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</si>
  <si>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</si>
  <si>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</si>
  <si>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</si>
  <si>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</si>
  <si>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</si>
  <si>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</si>
  <si>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</si>
  <si>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</si>
  <si>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</si>
  <si>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</si>
  <si>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</si>
  <si>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</si>
  <si>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</si>
  <si>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</si>
  <si>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</si>
  <si>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</si>
  <si>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</si>
  <si>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</si>
  <si>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</si>
  <si>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</si>
  <si>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</si>
  <si>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</si>
  <si>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</si>
  <si>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</si>
  <si>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</si>
  <si>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</si>
  <si>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</si>
  <si>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</si>
  <si>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</si>
  <si>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</si>
  <si>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</si>
  <si>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</si>
  <si>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</si>
  <si>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</si>
  <si>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</si>
  <si>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</si>
  <si>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</si>
  <si>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</si>
  <si>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</si>
  <si>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</si>
  <si>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</si>
  <si>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</si>
  <si>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</si>
  <si>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</si>
  <si>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</si>
  <si>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</si>
  <si>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</si>
  <si>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</si>
  <si>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</si>
  <si>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</si>
  <si>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</si>
  <si>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</si>
  <si>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</si>
  <si>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</si>
  <si>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</si>
  <si>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</si>
  <si>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</si>
  <si>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</si>
  <si>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</si>
  <si>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</si>
  <si>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</si>
  <si>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</si>
  <si>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</si>
  <si>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</si>
  <si>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</si>
  <si>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</si>
  <si>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</si>
  <si>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</si>
  <si>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</si>
  <si>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</si>
  <si>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</si>
  <si>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</si>
  <si>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</si>
  <si>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</si>
  <si>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</si>
  <si>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</si>
  <si>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</si>
  <si>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</si>
  <si>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</si>
  <si>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</si>
  <si>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</si>
  <si>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</si>
  <si>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</si>
  <si>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</si>
  <si>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</si>
  <si>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</si>
  <si>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</si>
  <si>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</si>
  <si>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</si>
  <si>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</si>
  <si>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</si>
  <si>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</si>
  <si>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</si>
  <si>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</si>
  <si>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</si>
  <si>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</si>
  <si>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</si>
  <si>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</si>
  <si>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</si>
  <si>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</si>
  <si>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</si>
  <si>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</si>
  <si>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</si>
  <si>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</si>
  <si>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</si>
  <si>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</si>
  <si>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</si>
  <si>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</si>
  <si>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</si>
  <si>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</si>
  <si>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</si>
  <si>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</si>
  <si>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</si>
  <si>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</si>
  <si>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</si>
  <si>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</si>
  <si>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</si>
  <si>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</si>
  <si>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</si>
  <si>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</si>
  <si>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</si>
  <si>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</si>
  <si>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</si>
  <si>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</si>
  <si>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</si>
  <si>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</si>
  <si>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</si>
  <si>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</si>
  <si>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</si>
  <si>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</si>
  <si>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</si>
  <si>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</si>
  <si>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</si>
  <si>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</si>
  <si>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</si>
  <si>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</si>
  <si>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</si>
  <si>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</si>
  <si>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</si>
  <si>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</si>
  <si>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</si>
  <si>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</si>
  <si>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</si>
  <si>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</si>
  <si>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</si>
  <si>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</si>
  <si>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</si>
  <si>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</si>
  <si>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</si>
  <si>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</si>
  <si>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</si>
  <si>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</si>
  <si>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</si>
  <si>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</si>
  <si>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</si>
  <si>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</si>
  <si>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</si>
  <si>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</si>
  <si>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</si>
  <si>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</si>
  <si>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</si>
  <si>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</si>
  <si>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</si>
  <si>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</si>
  <si>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</si>
  <si>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</si>
  <si>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</si>
  <si>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</si>
  <si>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</si>
  <si>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</si>
  <si>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</si>
  <si>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</si>
  <si>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</si>
  <si>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</si>
  <si>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</si>
  <si>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</si>
  <si>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</si>
  <si>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</si>
  <si>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</si>
  <si>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</si>
  <si>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</si>
  <si>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</si>
  <si>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</si>
  <si>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</si>
  <si>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</si>
  <si>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</si>
  <si>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</si>
  <si>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</si>
  <si>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</si>
  <si>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</si>
  <si>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</si>
  <si>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</si>
  <si>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</si>
  <si>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</si>
  <si>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</si>
  <si>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</si>
  <si>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</si>
  <si>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</si>
  <si>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</si>
  <si>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</si>
  <si>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</si>
  <si>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</si>
  <si>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</si>
  <si>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</si>
  <si>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</si>
  <si>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</si>
  <si>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</si>
  <si>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</si>
  <si>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</si>
  <si>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</si>
  <si>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</si>
  <si>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</si>
  <si>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</si>
  <si>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</si>
  <si>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</si>
  <si>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</si>
  <si>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</si>
  <si>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</si>
  <si>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</si>
  <si>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</si>
  <si>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</si>
  <si>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</si>
  <si>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</si>
  <si>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</si>
  <si>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</si>
  <si>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</si>
  <si>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</si>
  <si>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</si>
  <si>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</si>
  <si>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</si>
  <si>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</si>
  <si>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</si>
  <si>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</si>
  <si>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</si>
  <si>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</si>
  <si>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</si>
  <si>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</si>
  <si>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</si>
  <si>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</si>
  <si>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</si>
  <si>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</si>
  <si>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</si>
  <si>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</si>
  <si>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</si>
  <si>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</si>
  <si>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</si>
  <si>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</si>
  <si>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</si>
  <si>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</si>
  <si>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</si>
  <si>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</si>
  <si>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</si>
  <si>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</si>
  <si>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</si>
  <si>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</si>
  <si>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</si>
  <si>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</si>
  <si>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</si>
  <si>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</si>
  <si>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</si>
  <si>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</si>
  <si>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</si>
  <si>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</si>
  <si>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</si>
  <si>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</si>
  <si>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</si>
  <si>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</si>
  <si>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</si>
  <si>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</si>
  <si>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</si>
  <si>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</si>
  <si>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</si>
  <si>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</si>
  <si>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</si>
  <si>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</si>
  <si>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</si>
  <si>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</si>
  <si>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</si>
  <si>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</si>
  <si>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</si>
  <si>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</si>
  <si>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</si>
  <si>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</si>
  <si>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</si>
  <si>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</si>
  <si>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</si>
  <si>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</si>
  <si>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</si>
  <si>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</si>
  <si>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</si>
  <si>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</si>
  <si>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</si>
  <si>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</si>
  <si>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</si>
  <si>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</si>
  <si>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</si>
  <si>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</si>
  <si>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</si>
  <si>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</si>
  <si>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</si>
  <si>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</si>
  <si>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</si>
  <si>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</si>
  <si>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</si>
  <si>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</si>
  <si>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</si>
  <si>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</si>
  <si>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</si>
  <si>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</si>
  <si>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</si>
  <si>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</si>
  <si>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</si>
  <si>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</si>
  <si>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</si>
  <si>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</si>
  <si>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</si>
  <si>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</si>
  <si>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</si>
  <si>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</si>
  <si>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</si>
  <si>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</si>
  <si>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</si>
  <si>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</si>
  <si>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</si>
  <si>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</si>
  <si>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</si>
  <si>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</si>
  <si>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</si>
  <si>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</si>
  <si>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</si>
  <si>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</si>
  <si>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</si>
  <si>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</si>
  <si>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</si>
  <si>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</si>
  <si>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</si>
  <si>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</si>
  <si>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</si>
  <si>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</si>
  <si>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</si>
  <si>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</si>
  <si>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</si>
  <si>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</si>
  <si>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</si>
  <si>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</si>
  <si>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</si>
  <si>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</si>
  <si>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</si>
  <si>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</si>
  <si>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</si>
  <si>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</si>
  <si>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</si>
  <si>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</si>
  <si>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</si>
  <si>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</si>
  <si>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</si>
  <si>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</si>
  <si>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</si>
  <si>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</si>
  <si>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</si>
  <si>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</si>
  <si>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</si>
  <si>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</si>
  <si>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</si>
  <si>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</si>
  <si>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</si>
  <si>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</si>
  <si>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</si>
  <si>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</si>
  <si>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</si>
  <si>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</si>
  <si>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</si>
  <si>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</si>
  <si>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</si>
  <si>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</si>
  <si>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</si>
  <si>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</si>
  <si>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</si>
  <si>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</si>
  <si>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</si>
  <si>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</si>
  <si>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</si>
  <si>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</si>
  <si>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</si>
  <si>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</si>
  <si>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</si>
  <si>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</si>
  <si>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</si>
  <si>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</si>
  <si>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</si>
  <si>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</si>
  <si>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</si>
  <si>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</si>
  <si>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</si>
  <si>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</si>
  <si>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</si>
  <si>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</si>
  <si>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</si>
  <si>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</si>
  <si>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</si>
  <si>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</si>
  <si>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</si>
  <si>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</si>
  <si>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</si>
  <si>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</si>
  <si>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</si>
  <si>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</si>
  <si>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</si>
  <si>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</si>
  <si>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</si>
  <si>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</si>
  <si>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</si>
  <si>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</si>
  <si>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</si>
  <si>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</si>
  <si>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</si>
  <si>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</si>
  <si>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</si>
  <si>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</si>
  <si>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</si>
  <si>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</si>
  <si>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</si>
  <si>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</si>
  <si>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</si>
  <si>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</si>
  <si>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</si>
  <si>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</si>
  <si>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</si>
  <si>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</si>
  <si>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</si>
  <si>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</si>
  <si>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</si>
  <si>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</si>
  <si>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</si>
  <si>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</si>
  <si>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</si>
  <si>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</si>
  <si>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</si>
  <si>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</si>
  <si>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</si>
  <si>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</si>
  <si>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</si>
  <si>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</si>
  <si>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</si>
  <si>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</si>
  <si>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</si>
  <si>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</si>
  <si>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</si>
  <si>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</si>
  <si>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</si>
  <si>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</si>
  <si>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</si>
  <si>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</si>
  <si>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</si>
  <si>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</si>
  <si>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</si>
  <si>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</si>
  <si>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</si>
  <si>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</si>
  <si>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</si>
  <si>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</si>
  <si>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</si>
  <si>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</si>
  <si>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</si>
  <si>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</si>
  <si>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</si>
  <si>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</si>
  <si>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</si>
  <si>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</si>
  <si>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</si>
  <si>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</si>
  <si>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</si>
  <si>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</si>
  <si>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</si>
  <si>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</si>
  <si>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</si>
  <si>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</si>
  <si>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</si>
  <si>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</si>
  <si>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</si>
  <si>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</si>
  <si>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</si>
  <si>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</si>
  <si>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</si>
  <si>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</si>
  <si>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</si>
  <si>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</si>
  <si>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</si>
  <si>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</si>
  <si>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</si>
  <si>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</si>
  <si>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</si>
  <si>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</si>
  <si>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</si>
  <si>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</si>
  <si>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</si>
  <si>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</si>
  <si>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</si>
  <si>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</si>
  <si>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</si>
  <si>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</si>
  <si>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</si>
  <si>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</si>
  <si>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</si>
  <si>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</si>
  <si>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</si>
  <si>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</si>
  <si>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</si>
  <si>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</si>
  <si>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</si>
  <si>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</si>
  <si>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</si>
  <si>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</si>
  <si>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</si>
  <si>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</si>
  <si>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</si>
  <si>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</si>
  <si>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</si>
  <si>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</si>
  <si>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</si>
  <si>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</si>
  <si>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</si>
  <si>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</si>
  <si>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</si>
  <si>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</si>
  <si>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</si>
  <si>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</si>
  <si>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</si>
  <si>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</si>
  <si>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</si>
  <si>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</si>
  <si>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</si>
  <si>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</si>
  <si>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</si>
  <si>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</si>
  <si>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</si>
  <si>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</si>
  <si>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</si>
  <si>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</si>
  <si>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</si>
  <si>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</si>
  <si>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</si>
  <si>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</si>
  <si>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</si>
  <si>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</si>
  <si>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</si>
  <si>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</si>
  <si>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</si>
  <si>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</si>
  <si>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</si>
  <si>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</si>
  <si>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</si>
  <si>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</si>
  <si>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</si>
  <si>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</si>
  <si>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</si>
  <si>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</si>
  <si>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</si>
  <si>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</si>
  <si>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</si>
  <si>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</si>
  <si>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</si>
  <si>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</si>
  <si>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</si>
  <si>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</si>
  <si>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</si>
  <si>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</si>
  <si>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</si>
  <si>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</si>
  <si>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</si>
  <si>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</si>
  <si>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</si>
  <si>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</si>
  <si>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</si>
  <si>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</si>
  <si>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</si>
  <si>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</si>
  <si>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</si>
  <si>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</si>
  <si>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</si>
  <si>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</si>
  <si>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</si>
  <si>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</si>
  <si>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</si>
  <si>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</si>
  <si>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</si>
  <si>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</si>
  <si>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</si>
  <si>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</si>
  <si>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</si>
  <si>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</si>
  <si>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</si>
  <si>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</si>
  <si>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</si>
  <si>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</si>
  <si>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</si>
  <si>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</si>
  <si>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</si>
  <si>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</si>
  <si>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</si>
  <si>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</si>
  <si>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</si>
  <si>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</si>
  <si>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</si>
  <si>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</si>
  <si>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</si>
  <si>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</si>
  <si>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</si>
  <si>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</si>
  <si>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</si>
  <si>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</si>
  <si>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</si>
  <si>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</si>
  <si>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</si>
  <si>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</si>
  <si>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</si>
  <si>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</si>
  <si>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</si>
  <si>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</si>
  <si>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</si>
  <si>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</si>
  <si>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</si>
  <si>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</si>
  <si>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</si>
  <si>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</si>
  <si>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</si>
  <si>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</si>
  <si>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</si>
  <si>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</si>
  <si>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</si>
  <si>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</si>
  <si>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</si>
  <si>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</si>
  <si>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</si>
  <si>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</si>
  <si>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</si>
  <si>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</si>
  <si>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</si>
  <si>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</si>
  <si>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</si>
  <si>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</si>
  <si>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</si>
  <si>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</si>
  <si>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</si>
  <si>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</si>
  <si>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</si>
  <si>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</si>
  <si>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</si>
  <si>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</si>
  <si>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</si>
  <si>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</si>
  <si>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</si>
  <si>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</si>
  <si>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</si>
  <si>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</si>
  <si>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</si>
  <si>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</si>
  <si>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</si>
  <si>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</si>
  <si>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</si>
  <si>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</si>
  <si>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</si>
  <si>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</si>
  <si>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</si>
  <si>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</si>
  <si>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</si>
  <si>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</si>
  <si>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</si>
  <si>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</si>
  <si>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</si>
  <si>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</si>
  <si>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</si>
  <si>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</si>
  <si>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</si>
  <si>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</si>
  <si>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</si>
  <si>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</si>
  <si>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</si>
  <si>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</si>
  <si>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</si>
  <si>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</si>
  <si>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</si>
  <si>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</si>
  <si>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</si>
  <si>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</si>
  <si>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</si>
  <si>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</si>
  <si>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</si>
  <si>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</si>
  <si>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</si>
  <si>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</si>
  <si>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</si>
  <si>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</si>
  <si>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</si>
  <si>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</si>
  <si>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</si>
  <si>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</si>
  <si>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</si>
  <si>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</si>
  <si>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</si>
  <si>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</si>
  <si>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</si>
  <si>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</si>
  <si>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</si>
  <si>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</si>
  <si>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</si>
  <si>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</si>
  <si>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</si>
  <si>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</si>
  <si>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</si>
  <si>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</si>
  <si>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</si>
  <si>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</si>
  <si>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</si>
  <si>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</si>
  <si>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</si>
  <si>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</si>
  <si>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</si>
  <si>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</si>
  <si>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</si>
  <si>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</si>
  <si>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</si>
  <si>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</si>
  <si>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</si>
  <si>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</si>
  <si>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</si>
  <si>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</si>
  <si>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</si>
  <si>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</si>
  <si>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</si>
  <si>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</si>
  <si>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</si>
  <si>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</si>
  <si>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</si>
  <si>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</si>
  <si>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</si>
  <si>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</si>
  <si>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</si>
  <si>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</si>
  <si>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</si>
  <si>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</si>
  <si>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</si>
  <si>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</si>
  <si>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</si>
  <si>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</si>
  <si>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</si>
  <si>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</si>
  <si>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</si>
  <si>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</si>
  <si>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</si>
  <si>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</si>
  <si>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</si>
  <si>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</si>
  <si>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</si>
  <si>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</si>
  <si>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</si>
  <si>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</si>
  <si>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</si>
  <si>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</si>
  <si>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</si>
  <si>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</si>
  <si>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</si>
  <si>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</si>
  <si>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</si>
  <si>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</si>
  <si>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</si>
  <si>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</si>
  <si>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</si>
  <si>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</si>
  <si>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</si>
  <si>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</si>
  <si>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</si>
  <si>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</si>
  <si>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</si>
  <si>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</si>
  <si>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</si>
  <si>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</si>
  <si>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</si>
  <si>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</si>
  <si>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</si>
  <si>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</si>
  <si>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</si>
  <si>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</si>
  <si>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</si>
  <si>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</si>
  <si>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</si>
  <si>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</si>
  <si>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</si>
  <si>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</si>
  <si>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</si>
  <si>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</si>
  <si>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</si>
  <si>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</si>
  <si>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</si>
  <si>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</si>
  <si>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</si>
  <si>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</si>
  <si>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</si>
  <si>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</si>
  <si>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</si>
  <si>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</si>
  <si>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</si>
  <si>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</si>
  <si>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</si>
  <si>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</si>
  <si>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</si>
  <si>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</si>
  <si>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</si>
  <si>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</si>
  <si>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</si>
  <si>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</si>
  <si>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</si>
  <si>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</si>
  <si>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</si>
  <si>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</si>
  <si>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</si>
  <si>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</si>
  <si>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</si>
  <si>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</si>
  <si>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</si>
  <si>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</si>
  <si>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</si>
  <si>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</si>
  <si>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</si>
  <si>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</si>
  <si>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</si>
  <si>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</si>
  <si>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</si>
  <si>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</si>
  <si>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</si>
  <si>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</si>
  <si>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</si>
  <si>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</si>
  <si>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</si>
  <si>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</si>
  <si>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</si>
  <si>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</si>
  <si>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</si>
  <si>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</si>
  <si>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</si>
  <si>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</si>
  <si>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</si>
  <si>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</si>
  <si>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</si>
  <si>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</si>
  <si>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</si>
  <si>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</si>
  <si>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</si>
  <si>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</si>
  <si>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</si>
  <si>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</si>
  <si>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</si>
  <si>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</si>
  <si>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</si>
  <si>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</si>
  <si>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</si>
  <si>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</si>
  <si>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</si>
  <si>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</si>
  <si>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</si>
  <si>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</si>
  <si>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</si>
  <si>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</si>
  <si>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</si>
  <si>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</si>
  <si>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</si>
  <si>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</si>
  <si>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</si>
  <si>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</si>
  <si>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</si>
  <si>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</si>
  <si>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</si>
  <si>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</si>
  <si>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</si>
  <si>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</si>
  <si>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</si>
  <si>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</si>
  <si>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</si>
  <si>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</si>
  <si>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</si>
  <si>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</si>
  <si>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</si>
  <si>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</si>
  <si>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</si>
  <si>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</si>
  <si>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</si>
  <si>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</si>
  <si>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</si>
  <si>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</si>
  <si>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</si>
  <si>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</si>
  <si>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</si>
  <si>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</si>
  <si>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</si>
  <si>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</si>
  <si>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</si>
  <si>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</si>
  <si>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</si>
  <si>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</si>
  <si>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</si>
  <si>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</si>
  <si>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</si>
  <si>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</si>
  <si>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</si>
  <si>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</si>
  <si>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</si>
  <si>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</si>
  <si>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</si>
  <si>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</si>
  <si>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</si>
  <si>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Winnebago</t>
  </si>
  <si>
    <t>Kinnikinnick Community Consolidated School District #131</t>
  </si>
  <si>
    <t>5410 Pine Lane</t>
  </si>
  <si>
    <t>Roscoe</t>
  </si>
  <si>
    <t xml:space="preserve">Ms. Keli Freedlund </t>
  </si>
  <si>
    <t>kfreedlund@kinnschools.org</t>
  </si>
  <si>
    <t>lfanello@kidsroe.org</t>
  </si>
  <si>
    <t xml:space="preserve">Benning Group, LLC </t>
  </si>
  <si>
    <t>Jenny L. Blocker</t>
  </si>
  <si>
    <t>50 W Douglas Street, Suite 801</t>
  </si>
  <si>
    <t>Freeport</t>
  </si>
  <si>
    <t>IL</t>
  </si>
  <si>
    <t>066-004238</t>
  </si>
  <si>
    <t>jblocker@benninggroup.com</t>
  </si>
  <si>
    <t>G.O. Limited Refunding School Bonds, Series 2010A</t>
  </si>
  <si>
    <t>G.O. Refunding School Bonds, Series 2010B</t>
  </si>
  <si>
    <t>Capital Lease Obligation</t>
  </si>
  <si>
    <t xml:space="preserve">Note 1 </t>
  </si>
  <si>
    <t>Prairie State Insurance Cooperative (140+ Members)</t>
  </si>
  <si>
    <t>Joint waste disposal services with Rockton SD#140</t>
  </si>
  <si>
    <t xml:space="preserve">Note 2 </t>
  </si>
  <si>
    <t>Joint bus contract with Prairie Hill CCSD #122, Rockton #140,</t>
  </si>
  <si>
    <t xml:space="preserve">Honenegah CHSD #207 and County of Winnebago SD #320 </t>
  </si>
  <si>
    <t xml:space="preserve">None </t>
  </si>
  <si>
    <t xml:space="preserve">Note 1: Food services - joint bid for dairy and bread products with Shirland CCSD #134, Prairie Hill CCSD #133, Rockton SD #140, Hononegah CHSD #207, County of Winnebago SD #320, and North Boone SD #200
</t>
  </si>
  <si>
    <t xml:space="preserve">Note 2: Special Education services: received from special education cooperative that serves other districts - Shirland CCSD #134, Prairie Hill SD #133, Rockton SD #140, Hononegah CHSD #207,
</t>
  </si>
  <si>
    <t>County of Winnebago SD #320, Pecatonica CUSD #321, Durand SD #322, and Winnebago CUSD #323</t>
  </si>
  <si>
    <t>Account</t>
  </si>
  <si>
    <t xml:space="preserve">Page </t>
  </si>
  <si>
    <t xml:space="preserve">Fund </t>
  </si>
  <si>
    <t>Line #</t>
  </si>
  <si>
    <t>Lori Fanello</t>
  </si>
  <si>
    <t>X</t>
  </si>
  <si>
    <t>BENNING GROUP, LLC</t>
  </si>
  <si>
    <t>Capital Lease - Computer</t>
  </si>
  <si>
    <t>Registration Fees, Tech Fees, &amp; Kids Care Fees</t>
  </si>
  <si>
    <t>Student Supply Fees</t>
  </si>
  <si>
    <t>Bond Fees</t>
  </si>
  <si>
    <t xml:space="preserve">Support Services </t>
  </si>
  <si>
    <t>Team Building Trip</t>
  </si>
  <si>
    <t xml:space="preserve">IMRF, FICA and Medicare Support Services </t>
  </si>
  <si>
    <t>Homeless Supply Fees</t>
  </si>
  <si>
    <t>N/A</t>
  </si>
  <si>
    <t>None</t>
  </si>
  <si>
    <r>
      <t xml:space="preserve">The accompanying Schedule of Expenditures of Federal Awards includes the federal grant activity of </t>
    </r>
    <r>
      <rPr>
        <b/>
        <sz val="9"/>
        <rFont val="Calibri"/>
        <family val="2"/>
        <scheme val="minor"/>
      </rPr>
      <t>Kinnikinnick Community Consolidated School District #131</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 purpose</t>
    </r>
    <r>
      <rPr>
        <sz val="9"/>
        <rFont val="Calibri"/>
        <family val="2"/>
        <scheme val="minor"/>
      </rPr>
      <t xml:space="preserve"> financial statements.</t>
    </r>
  </si>
  <si>
    <r>
      <t xml:space="preserve">The following amounts were expended in the form of non-cash assistance by </t>
    </r>
    <r>
      <rPr>
        <b/>
        <sz val="9"/>
        <rFont val="Calibri"/>
        <family val="2"/>
        <scheme val="minor"/>
      </rPr>
      <t>Kinnikinnick Community Consolidated School District #131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</si>
  <si>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US DEPARTMENT OF AGRICULTURE:</t>
  </si>
  <si>
    <t xml:space="preserve"> Through Illinois State Board of Education:</t>
  </si>
  <si>
    <t xml:space="preserve">  DoD Fresh Fruits and Vegetables Program (non-cash)</t>
  </si>
  <si>
    <t xml:space="preserve">  National School Lunch Program</t>
  </si>
  <si>
    <t xml:space="preserve">  School Breakfast Program</t>
  </si>
  <si>
    <t xml:space="preserve">  Special Milk Program</t>
  </si>
  <si>
    <t xml:space="preserve">   Subtotal 10.555</t>
  </si>
  <si>
    <t xml:space="preserve">   Subtotal 10.556</t>
  </si>
  <si>
    <t xml:space="preserve">   Subtotal 10.553</t>
  </si>
  <si>
    <t xml:space="preserve">  TOTAL THROUGH USDA PROGRAMS</t>
  </si>
  <si>
    <t xml:space="preserve"> Through Illinois State Board of Education</t>
  </si>
  <si>
    <t xml:space="preserve">  Title I - Low Income</t>
  </si>
  <si>
    <t>84.010A</t>
  </si>
  <si>
    <t xml:space="preserve">   Subtotal 84.010A</t>
  </si>
  <si>
    <t xml:space="preserve">  Title II - Teacher Quality</t>
  </si>
  <si>
    <t>84.367A</t>
  </si>
  <si>
    <t xml:space="preserve">   Subtotal 84.367A</t>
  </si>
  <si>
    <t>Title IV - Student Support and Enrichment</t>
  </si>
  <si>
    <t>84.424A</t>
  </si>
  <si>
    <t xml:space="preserve">   Subtotal 84.424A</t>
  </si>
  <si>
    <t>US DEPARTMENT OF EDUCATION:</t>
  </si>
  <si>
    <t xml:space="preserve">  Fed. Sp. Ed. IDEA Flow-Through</t>
  </si>
  <si>
    <t>84.027A</t>
  </si>
  <si>
    <t>17-4620-00</t>
  </si>
  <si>
    <t>16-4300-00</t>
  </si>
  <si>
    <t>17-4300-00</t>
  </si>
  <si>
    <t>18-4300-00</t>
  </si>
  <si>
    <t>17-4932-00</t>
  </si>
  <si>
    <t>18-4932-00</t>
  </si>
  <si>
    <t>18-4400-00</t>
  </si>
  <si>
    <t>17-4210-00</t>
  </si>
  <si>
    <t>18-4210-00</t>
  </si>
  <si>
    <t>17-4215-00</t>
  </si>
  <si>
    <t>18-4215-00</t>
  </si>
  <si>
    <t>17-4220-00</t>
  </si>
  <si>
    <t>18-4220-00</t>
  </si>
  <si>
    <t>18-4620-00</t>
  </si>
  <si>
    <t xml:space="preserve">   Subtotal 84.027A</t>
  </si>
  <si>
    <t xml:space="preserve">  Fed. Sp. Ed. IDEA Pre-School Flow-Through</t>
  </si>
  <si>
    <t>84.173A</t>
  </si>
  <si>
    <t>17-4600-00</t>
  </si>
  <si>
    <t>18-4600-00</t>
  </si>
  <si>
    <t xml:space="preserve">  TOTAL THROUGH USDE PROGRAMS</t>
  </si>
  <si>
    <t>US DEPARTMENT OF HEALTH AND HUMAN SERVICES:</t>
  </si>
  <si>
    <t xml:space="preserve"> Through Illinois Dept. of Healthcare and Family Services:</t>
  </si>
  <si>
    <t xml:space="preserve">  Medicaid Administrative Outreach</t>
  </si>
  <si>
    <t>16-4991</t>
  </si>
  <si>
    <t>17-4991</t>
  </si>
  <si>
    <t>18-4991</t>
  </si>
  <si>
    <t xml:space="preserve">   Subtotal 93.778</t>
  </si>
  <si>
    <t xml:space="preserve">  TOTAL THROUGH USDHHS PROGRAMS</t>
  </si>
  <si>
    <t>TOTAL FEDERAL AWARDS</t>
  </si>
  <si>
    <t>Adverse - GAAP / Unmodified - Cash Basis</t>
  </si>
  <si>
    <t>Unmodified</t>
  </si>
  <si>
    <t xml:space="preserve">  Fed. Sp. Ed. IDEA Flow-Through (M)</t>
  </si>
  <si>
    <t xml:space="preserve">  Fed. Sp. Ed. IDEA Pre-School Flow-Through (M)</t>
  </si>
  <si>
    <t>IDEA Flow-Through - Special Education Cluster</t>
  </si>
  <si>
    <t>IDEA Pre-School Flow-Through - Special Education Cluster</t>
  </si>
  <si>
    <t>One or more custodians of funds failed to comply with the bonding requirements pursuant to Illinois School Code [105 IL CS 5/8-20.19;19-6]</t>
  </si>
  <si>
    <t>ED-Instruction-Purchased Service</t>
  </si>
  <si>
    <t>Technology Resource Advisors</t>
  </si>
  <si>
    <t>10-1000-300</t>
  </si>
  <si>
    <t>ED-General Admin.-Purchased Service</t>
  </si>
  <si>
    <t>10-2300-300</t>
  </si>
  <si>
    <t>Single Path</t>
  </si>
  <si>
    <t>TR-Pupil Transportation-Purchased Service</t>
  </si>
  <si>
    <t>40-2550-300</t>
  </si>
  <si>
    <t>First Student</t>
  </si>
  <si>
    <t xml:space="preserve"> Through Winnebago County Special Education Cooperative (04-101-1400-61):</t>
  </si>
  <si>
    <r>
      <t>One or more school board members, administrators, certified school business officals, or other qualifying district employees failed to file economic interest statements pursuant to the</t>
    </r>
    <r>
      <rPr>
        <i/>
        <sz val="10"/>
        <rFont val="Calibri"/>
        <family val="2"/>
        <scheme val="minor"/>
      </rPr>
      <t xml:space="preserve"> </t>
    </r>
    <r>
      <rPr>
        <sz val="10"/>
        <rFont val="Calibri"/>
        <family val="2"/>
        <scheme val="minor"/>
      </rPr>
      <t>Illinois Government Ethics Act [5 ILCS 420/4A-101].</t>
    </r>
  </si>
  <si>
    <t>The economic interest statement was not filed timely by one administrator.</t>
  </si>
  <si>
    <t xml:space="preserve">Statements of economic interest are required to be filed with the County Clerk's office by May 1 each year for current board members and certain administrative personnel of school districts in Illinois. The administrator in question did not file the required statement until May 17. </t>
  </si>
  <si>
    <t>Economic interest statement was not filed timely by an administrator.</t>
  </si>
  <si>
    <t>Potential financial conflicts of interest may not be identified for persons who fail to file the required statement.</t>
  </si>
  <si>
    <t>The District should incorporate internal controls appropriately to ensure all indviduals required to file an economic interest statement have done so by May 1.</t>
  </si>
  <si>
    <t xml:space="preserve">Month end balances for two months in fiscal year 2018 exceeded the treasurer's bond in force for the year ended June 30, 2018. </t>
  </si>
  <si>
    <t xml:space="preserve">Illinois School Code requires each District Treasurer to be bonded to at least 25% of the total funds in his or her custody. </t>
  </si>
  <si>
    <t xml:space="preserve">The District was not in compliance with Illinois School Code for two months in fiscal year 2018. </t>
  </si>
  <si>
    <t xml:space="preserve">District personnel failed to identify an increase in cash and investments balances in excess of the level covered by the existing treasurer's bond. </t>
  </si>
  <si>
    <t xml:space="preserve">We recommend the District increase the level of the treasurer's bond to satisfy the 25% bonding requirement and implement monitoring procedures to identify funds held in excess of the bonded amount in the future. </t>
  </si>
  <si>
    <r>
      <t xml:space="preserve">Of the federal expenditures presented in the schedule, </t>
    </r>
    <r>
      <rPr>
        <b/>
        <sz val="9"/>
        <rFont val="Calibri"/>
        <family val="2"/>
        <scheme val="minor"/>
      </rPr>
      <t xml:space="preserve">Kinnikinnick Community Consolidated School District #131 </t>
    </r>
    <r>
      <rPr>
        <sz val="9"/>
        <rFont val="Calibri"/>
        <family val="2"/>
        <scheme val="minor"/>
      </rPr>
      <t>provided federal awards to subrecipients as follows:</t>
    </r>
  </si>
  <si>
    <t xml:space="preserve">  Commodities Program (non-cash)</t>
  </si>
  <si>
    <t xml:space="preserve">The District Office will establish a tickler system whereby all administrators will be reminded of the filing requirement prior to the May 1 deadline. </t>
  </si>
  <si>
    <t xml:space="preserve">The treasurer's bond was increased as of July 1, 2018 to ensure compliance.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</si>
</sst>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1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74" fillId="0" borderId="0" xfId="0" applyFont="1" applyAlignment="1">
      <alignment horizontal="center"/>
    </xf>
    <xf numFmtId="0" fontId="56" fillId="0" borderId="0" xfId="0" applyFont="1" applyAlignment="1">
      <alignment horizontal="center"/>
    </xf>
    <xf numFmtId="181" fontId="56" fillId="0" borderId="166" xfId="19" applyNumberFormat="1" applyFont="1" applyBorder="1" applyAlignment="1">
      <alignment horizontal="right"/>
    </xf>
    <xf numFmtId="0" fontId="56" fillId="0" borderId="0" xfId="0" applyFont="1" applyAlignment="1">
      <alignment horizontal="right"/>
    </xf>
    <xf numFmtId="0" fontId="53" fillId="0" borderId="0" xfId="3" applyFont="1" applyAlignment="1" applyProtection="1">
      <alignment horizontal="center" vertical="center"/>
    </xf>
    <xf numFmtId="3" fontId="97" fillId="0" borderId="22" xfId="3" applyNumberFormat="1" applyFont="1" applyBorder="1" applyAlignment="1" applyProtection="1">
      <alignment horizontal="center"/>
      <protection locked="0"/>
    </xf>
    <xf numFmtId="3" fontId="97" fillId="0" borderId="8" xfId="3" applyNumberFormat="1" applyFont="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97" fillId="0" borderId="22" xfId="3" applyNumberFormat="1" applyFont="1" applyFill="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Fill="1" applyBorder="1" applyAlignment="1" applyProtection="1">
      <alignment horizontal="left" vertical="top" wrapText="1"/>
      <protection locked="0"/>
    </xf>
    <xf numFmtId="0" fontId="56" fillId="0" borderId="0" xfId="3" applyFont="1" applyFill="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0" fontId="56" fillId="0" borderId="0" xfId="3" applyFont="1" applyAlignment="1" applyProtection="1">
      <alignment horizontal="left" vertical="top" wrapText="1"/>
      <protection locked="0"/>
    </xf>
    <xf numFmtId="8" fontId="56" fillId="0" borderId="0" xfId="3" applyNumberFormat="1" applyFont="1" applyAlignment="1" applyProtection="1">
      <alignment horizontal="left" vertical="top" wrapText="1"/>
      <protection locked="0"/>
    </xf>
    <xf numFmtId="0" fontId="56" fillId="0" borderId="0" xfId="3" applyFont="1" applyBorder="1" applyAlignment="1" applyProtection="1">
      <alignment horizontal="left" vertical="top" wrapText="1"/>
      <protection locked="0"/>
    </xf>
    <xf numFmtId="8" fontId="56" fillId="0" borderId="0" xfId="3" applyNumberFormat="1" applyFont="1" applyFill="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3706091</xdr:colOff>
          <xdr:row>3</xdr:row>
          <xdr:rowOff>17318</xdr:rowOff>
        </xdr:from>
        <xdr:to>
          <xdr:col>3</xdr:col>
          <xdr:colOff>28575</xdr:colOff>
          <xdr:row>7</xdr:row>
          <xdr:rowOff>141143</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1" t="s">
        <v>425</v>
      </c>
      <c r="J1" s="2012"/>
      <c r="K1" s="2012"/>
      <c r="L1" s="2012"/>
      <c r="M1" s="2012"/>
      <c r="N1" s="2012"/>
      <c r="O1" s="2012"/>
      <c r="P1" s="2012"/>
      <c r="Q1" s="2012"/>
      <c r="R1" s="2012"/>
      <c r="S1" s="2012"/>
    </row>
    <row r="2" spans="1:28" ht="12" customHeight="1" x14ac:dyDescent="0.2">
      <c r="A2" s="47" t="s">
        <v>1684</v>
      </c>
      <c r="D2" s="48"/>
      <c r="I2" s="2013" t="s">
        <v>1036</v>
      </c>
      <c r="J2" s="2012"/>
      <c r="K2" s="2012"/>
      <c r="L2" s="2012"/>
      <c r="M2" s="2012"/>
      <c r="N2" s="2012"/>
      <c r="O2" s="2012"/>
      <c r="P2" s="2012"/>
      <c r="Q2" s="2012"/>
      <c r="R2" s="2012"/>
      <c r="S2" s="2012"/>
    </row>
    <row r="3" spans="1:28" ht="12" customHeight="1" x14ac:dyDescent="0.2">
      <c r="A3" s="155" t="s">
        <v>1685</v>
      </c>
      <c r="B3" s="156"/>
      <c r="C3" s="156"/>
      <c r="D3" s="157"/>
      <c r="I3" s="2013" t="s">
        <v>54</v>
      </c>
      <c r="J3" s="2012"/>
      <c r="K3" s="2012"/>
      <c r="L3" s="2012"/>
      <c r="M3" s="2012"/>
      <c r="N3" s="2012"/>
      <c r="O3" s="2012"/>
      <c r="P3" s="2012"/>
      <c r="Q3" s="2012"/>
      <c r="R3" s="2012"/>
      <c r="S3" s="2012"/>
    </row>
    <row r="4" spans="1:28" ht="12" customHeight="1" x14ac:dyDescent="0.2">
      <c r="A4" s="37"/>
      <c r="I4" s="2013" t="s">
        <v>545</v>
      </c>
      <c r="J4" s="2012"/>
      <c r="K4" s="2012"/>
      <c r="L4" s="2012"/>
      <c r="M4" s="2012"/>
      <c r="N4" s="2012"/>
      <c r="O4" s="2012"/>
      <c r="P4" s="2012"/>
      <c r="Q4" s="2012"/>
      <c r="R4" s="2012"/>
      <c r="S4" s="2012"/>
    </row>
    <row r="5" spans="1:28" ht="14.1" customHeight="1" x14ac:dyDescent="0.2">
      <c r="B5" s="104" t="s">
        <v>2074</v>
      </c>
      <c r="C5" s="26" t="s">
        <v>966</v>
      </c>
      <c r="D5" s="84"/>
      <c r="E5" s="84"/>
      <c r="H5" s="38"/>
      <c r="I5" s="2021" t="s">
        <v>701</v>
      </c>
      <c r="J5" s="2020"/>
      <c r="K5" s="2020"/>
      <c r="L5" s="2020"/>
      <c r="M5" s="2020"/>
      <c r="N5" s="2020"/>
      <c r="O5" s="2020"/>
      <c r="P5" s="2020"/>
      <c r="Q5" s="2020"/>
      <c r="R5" s="2020"/>
      <c r="S5" s="2020"/>
    </row>
    <row r="6" spans="1:28" ht="14.1" customHeight="1" x14ac:dyDescent="0.2">
      <c r="B6" s="104"/>
      <c r="C6" s="26" t="s">
        <v>967</v>
      </c>
      <c r="D6" s="84"/>
      <c r="E6" s="84"/>
      <c r="I6" s="2019" t="s">
        <v>938</v>
      </c>
      <c r="J6" s="2020"/>
      <c r="K6" s="2020"/>
      <c r="L6" s="2020"/>
      <c r="M6" s="2020"/>
      <c r="N6" s="2020"/>
      <c r="O6" s="2020"/>
      <c r="P6" s="2020"/>
      <c r="Q6" s="2020"/>
      <c r="R6" s="2020"/>
      <c r="S6" s="2020"/>
    </row>
    <row r="7" spans="1:28" ht="12.2" customHeight="1" x14ac:dyDescent="0.2">
      <c r="I7" s="2014">
        <v>43281</v>
      </c>
      <c r="J7" s="2015"/>
      <c r="K7" s="2015"/>
      <c r="L7" s="2015"/>
      <c r="M7" s="2015"/>
      <c r="N7" s="2015"/>
      <c r="O7" s="2015"/>
      <c r="P7" s="2015"/>
      <c r="Q7" s="2015"/>
      <c r="R7" s="2015"/>
      <c r="S7" s="201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6" t="s">
        <v>695</v>
      </c>
      <c r="J9" s="2017"/>
      <c r="K9" s="2017"/>
      <c r="L9" s="2017"/>
      <c r="M9" s="2017"/>
      <c r="N9" s="2017"/>
      <c r="O9" s="2017"/>
      <c r="P9" s="2017"/>
      <c r="Q9" s="2017"/>
      <c r="R9" s="2017"/>
      <c r="S9" s="2018"/>
      <c r="T9" s="2032" t="s">
        <v>554</v>
      </c>
      <c r="U9" s="2033"/>
      <c r="V9" s="2033"/>
      <c r="W9" s="2033"/>
      <c r="X9" s="2033"/>
      <c r="Y9" s="2033"/>
      <c r="Z9" s="2033"/>
      <c r="AA9" s="2034"/>
    </row>
    <row r="10" spans="1:28" ht="13.5" customHeight="1" x14ac:dyDescent="0.2">
      <c r="A10" s="2039" t="s">
        <v>696</v>
      </c>
      <c r="B10" s="2040"/>
      <c r="C10" s="2040"/>
      <c r="D10" s="2040"/>
      <c r="E10" s="2040"/>
      <c r="F10" s="2040"/>
      <c r="G10" s="2040"/>
      <c r="H10" s="2041"/>
      <c r="I10" s="29"/>
      <c r="J10" s="30"/>
      <c r="K10" s="28"/>
      <c r="R10" s="30"/>
      <c r="S10" s="30"/>
      <c r="T10" s="2035"/>
      <c r="U10" s="2020"/>
      <c r="V10" s="2020"/>
      <c r="W10" s="2020"/>
      <c r="X10" s="2020"/>
      <c r="Y10" s="2020"/>
      <c r="Z10" s="2020"/>
      <c r="AA10" s="2026"/>
    </row>
    <row r="11" spans="1:28" ht="14.25" customHeight="1" x14ac:dyDescent="0.2">
      <c r="A11" s="2042" t="s">
        <v>1012</v>
      </c>
      <c r="B11" s="2043"/>
      <c r="C11" s="2043"/>
      <c r="D11" s="2043"/>
      <c r="E11" s="2043"/>
      <c r="F11" s="2043"/>
      <c r="G11" s="2043"/>
      <c r="H11" s="2044"/>
      <c r="I11" s="27"/>
      <c r="J11" s="74"/>
      <c r="K11" s="27"/>
      <c r="O11" s="148" t="s">
        <v>2074</v>
      </c>
      <c r="P11" s="100" t="s">
        <v>210</v>
      </c>
      <c r="Q11" s="30"/>
      <c r="R11" s="28"/>
      <c r="S11" s="27"/>
      <c r="T11" s="2036"/>
      <c r="U11" s="2037"/>
      <c r="V11" s="2037"/>
      <c r="W11" s="2037"/>
      <c r="X11" s="2037"/>
      <c r="Y11" s="2037"/>
      <c r="Z11" s="2037"/>
      <c r="AA11" s="203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6">
        <v>4101131004</v>
      </c>
      <c r="B13" s="2047"/>
      <c r="C13" s="2047"/>
      <c r="D13" s="2047"/>
      <c r="E13" s="2047"/>
      <c r="F13" s="2047"/>
      <c r="G13" s="2047"/>
      <c r="H13" s="2048"/>
      <c r="I13" s="31"/>
      <c r="J13" s="30"/>
      <c r="K13" s="28"/>
      <c r="L13" s="30"/>
      <c r="M13" s="30"/>
      <c r="N13" s="30"/>
      <c r="O13" s="30"/>
      <c r="P13" s="30"/>
      <c r="Q13" s="30"/>
      <c r="R13" s="30"/>
      <c r="S13" s="30"/>
      <c r="T13" s="2051" t="s">
        <v>2082</v>
      </c>
      <c r="U13" s="2052"/>
      <c r="V13" s="2052"/>
      <c r="W13" s="2052"/>
      <c r="X13" s="2052"/>
      <c r="Y13" s="2053"/>
      <c r="Z13" s="2053"/>
      <c r="AA13" s="205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5" t="s">
        <v>2075</v>
      </c>
      <c r="B15" s="2049"/>
      <c r="C15" s="2049"/>
      <c r="D15" s="2049"/>
      <c r="E15" s="2049"/>
      <c r="F15" s="2049"/>
      <c r="G15" s="2049"/>
      <c r="H15" s="2050"/>
      <c r="T15" s="2055" t="s">
        <v>2083</v>
      </c>
      <c r="U15" s="1999"/>
      <c r="V15" s="1999"/>
      <c r="W15" s="1999"/>
      <c r="X15" s="1999"/>
      <c r="Y15" s="2056"/>
      <c r="Z15" s="2056"/>
      <c r="AA15" s="205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5" t="s">
        <v>2076</v>
      </c>
      <c r="B17" s="2006"/>
      <c r="C17" s="2006"/>
      <c r="D17" s="2006"/>
      <c r="E17" s="2006"/>
      <c r="F17" s="2006"/>
      <c r="G17" s="2006"/>
      <c r="H17" s="2031"/>
      <c r="T17" s="2062" t="s">
        <v>2084</v>
      </c>
      <c r="U17" s="2063"/>
      <c r="V17" s="2063"/>
      <c r="W17" s="2063"/>
      <c r="X17" s="2063"/>
      <c r="Y17" s="2063"/>
      <c r="Z17" s="2063"/>
      <c r="AA17" s="2064"/>
    </row>
    <row r="18" spans="1:27" ht="13.5" customHeight="1" x14ac:dyDescent="0.2">
      <c r="A18" s="85" t="s">
        <v>551</v>
      </c>
      <c r="B18" s="76"/>
      <c r="C18" s="72"/>
      <c r="D18" s="76"/>
      <c r="E18" s="76"/>
      <c r="F18" s="76"/>
      <c r="G18" s="76"/>
      <c r="H18" s="56"/>
      <c r="I18" s="2030" t="s">
        <v>697</v>
      </c>
      <c r="J18" s="1981"/>
      <c r="K18" s="1981"/>
      <c r="L18" s="1981"/>
      <c r="M18" s="1981"/>
      <c r="N18" s="1981"/>
      <c r="O18" s="1981"/>
      <c r="P18" s="1981"/>
      <c r="Q18" s="1981"/>
      <c r="R18" s="1981"/>
      <c r="S18" s="1982"/>
      <c r="T18" s="85" t="s">
        <v>735</v>
      </c>
      <c r="U18" s="51"/>
      <c r="V18" s="72"/>
      <c r="W18" s="50"/>
      <c r="X18" s="85" t="s">
        <v>284</v>
      </c>
      <c r="Y18" s="81"/>
      <c r="Z18" s="159" t="s">
        <v>698</v>
      </c>
      <c r="AA18" s="46"/>
    </row>
    <row r="19" spans="1:27" ht="13.5" customHeight="1" x14ac:dyDescent="0.2">
      <c r="A19" s="2045" t="s">
        <v>2077</v>
      </c>
      <c r="B19" s="1991"/>
      <c r="C19" s="1991"/>
      <c r="D19" s="1991"/>
      <c r="E19" s="1991"/>
      <c r="F19" s="1991"/>
      <c r="G19" s="1991"/>
      <c r="H19" s="1971"/>
      <c r="I19" s="30"/>
      <c r="J19" s="99"/>
      <c r="K19" s="40"/>
      <c r="L19" s="38"/>
      <c r="M19" s="112" t="s">
        <v>333</v>
      </c>
      <c r="P19" s="27"/>
      <c r="Q19" s="27"/>
      <c r="R19" s="27"/>
      <c r="S19" s="31"/>
      <c r="T19" s="2045" t="s">
        <v>2085</v>
      </c>
      <c r="U19" s="1970"/>
      <c r="V19" s="1970"/>
      <c r="W19" s="1971"/>
      <c r="X19" s="2060" t="s">
        <v>2086</v>
      </c>
      <c r="Y19" s="2061"/>
      <c r="Z19" s="2058">
        <v>61032</v>
      </c>
      <c r="AA19" s="205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9" t="s">
        <v>2078</v>
      </c>
      <c r="B21" s="1970"/>
      <c r="C21" s="1970"/>
      <c r="D21" s="1970"/>
      <c r="E21" s="1970"/>
      <c r="F21" s="1970"/>
      <c r="G21" s="1970"/>
      <c r="H21" s="1971"/>
      <c r="I21" s="2025" t="s">
        <v>699</v>
      </c>
      <c r="J21" s="2020"/>
      <c r="K21" s="2020"/>
      <c r="L21" s="2020"/>
      <c r="M21" s="2020"/>
      <c r="N21" s="2020"/>
      <c r="O21" s="2020"/>
      <c r="P21" s="2020"/>
      <c r="Q21" s="2020"/>
      <c r="R21" s="2020"/>
      <c r="S21" s="2026"/>
      <c r="T21" s="2069">
        <v>8152353157</v>
      </c>
      <c r="U21" s="2070"/>
      <c r="V21" s="2070"/>
      <c r="W21" s="2070"/>
      <c r="X21" s="2075">
        <v>8152353158</v>
      </c>
      <c r="Y21" s="2076"/>
      <c r="Z21" s="2076"/>
      <c r="AA21" s="2077"/>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2"/>
      <c r="B23" s="2023"/>
      <c r="C23" s="2023"/>
      <c r="D23" s="2023"/>
      <c r="E23" s="2023"/>
      <c r="F23" s="2023"/>
      <c r="G23" s="2023"/>
      <c r="H23" s="2024"/>
      <c r="T23" s="2005" t="s">
        <v>2087</v>
      </c>
      <c r="U23" s="2068"/>
      <c r="V23" s="2068"/>
      <c r="W23" s="2068"/>
      <c r="X23" s="2072">
        <v>43434</v>
      </c>
      <c r="Y23" s="2073"/>
      <c r="Z23" s="2073"/>
      <c r="AA23" s="2074"/>
    </row>
    <row r="24" spans="1:27" ht="14.1" customHeight="1" x14ac:dyDescent="0.2">
      <c r="A24" s="88" t="s">
        <v>698</v>
      </c>
      <c r="B24" s="49"/>
      <c r="C24" s="49"/>
      <c r="D24" s="49"/>
      <c r="E24" s="49"/>
      <c r="F24" s="49"/>
      <c r="G24" s="49"/>
      <c r="H24" s="61"/>
      <c r="J24" s="1992">
        <f>IF(B5="x",IF(AUDITCHECK!D29="AFR form Incomplete.","",IF(AUDITCHECK!D29="Deficit reduction plan is required.","School District must complete a deficit reduction plan in the 2018-2019 Budget",)),"")</f>
        <v>0</v>
      </c>
      <c r="K24" s="1992"/>
      <c r="L24" s="1992"/>
      <c r="M24" s="1992"/>
      <c r="N24" s="1992"/>
      <c r="O24" s="1992"/>
      <c r="P24" s="1992"/>
      <c r="Q24" s="1992"/>
      <c r="R24" s="1992"/>
      <c r="S24" s="1993"/>
      <c r="T24" s="105" t="s">
        <v>552</v>
      </c>
      <c r="U24" s="106"/>
      <c r="V24" s="106"/>
      <c r="W24" s="106"/>
      <c r="X24" s="107"/>
      <c r="Y24" s="107"/>
      <c r="Z24" s="107"/>
      <c r="AA24" s="108"/>
    </row>
    <row r="25" spans="1:27" ht="14.1" customHeight="1" x14ac:dyDescent="0.2">
      <c r="A25" s="1969">
        <v>61073</v>
      </c>
      <c r="B25" s="1970"/>
      <c r="C25" s="1970"/>
      <c r="D25" s="1970"/>
      <c r="E25" s="1970"/>
      <c r="F25" s="1970"/>
      <c r="G25" s="1970"/>
      <c r="H25" s="1971"/>
      <c r="I25" s="113"/>
      <c r="J25" s="1994"/>
      <c r="K25" s="1994"/>
      <c r="L25" s="1994"/>
      <c r="M25" s="1994"/>
      <c r="N25" s="1994"/>
      <c r="O25" s="1994"/>
      <c r="P25" s="1994"/>
      <c r="Q25" s="1994"/>
      <c r="R25" s="1994"/>
      <c r="S25" s="1995"/>
      <c r="T25" s="2065" t="s">
        <v>2088</v>
      </c>
      <c r="U25" s="2066"/>
      <c r="V25" s="2066"/>
      <c r="W25" s="2066"/>
      <c r="X25" s="2066"/>
      <c r="Y25" s="2066"/>
      <c r="Z25" s="2066"/>
      <c r="AA25" s="20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0" t="s">
        <v>1591</v>
      </c>
      <c r="J27" s="1981"/>
      <c r="K27" s="1981"/>
      <c r="L27" s="1981"/>
      <c r="M27" s="1981"/>
      <c r="N27" s="1981"/>
      <c r="O27" s="1981"/>
      <c r="P27" s="1981"/>
      <c r="Q27" s="1981"/>
      <c r="R27" s="1981"/>
      <c r="S27" s="198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1"/>
      <c r="Q35" s="1970"/>
      <c r="R35" s="197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5" t="s">
        <v>2079</v>
      </c>
      <c r="B38" s="2006"/>
      <c r="C38" s="2006"/>
      <c r="D38" s="2006"/>
      <c r="E38" s="2006"/>
      <c r="F38" s="1970"/>
      <c r="G38" s="1970"/>
      <c r="H38" s="1971"/>
      <c r="I38" s="1998"/>
      <c r="J38" s="1999"/>
      <c r="K38" s="1999"/>
      <c r="L38" s="1999"/>
      <c r="M38" s="1999"/>
      <c r="N38" s="1999"/>
      <c r="O38" s="1999"/>
      <c r="P38" s="2000"/>
      <c r="Q38" s="2000"/>
      <c r="R38" s="2000"/>
      <c r="S38" s="2001"/>
      <c r="T38" s="2055" t="s">
        <v>2106</v>
      </c>
      <c r="U38" s="1999"/>
      <c r="V38" s="1999"/>
      <c r="W38" s="1999"/>
      <c r="X38" s="2000"/>
      <c r="Y38" s="2000"/>
      <c r="Z38" s="2000"/>
      <c r="AA38" s="2001"/>
    </row>
    <row r="39" spans="1:27" ht="12" customHeight="1" x14ac:dyDescent="0.2">
      <c r="A39" s="1975" t="s">
        <v>552</v>
      </c>
      <c r="B39" s="1976"/>
      <c r="C39" s="72"/>
      <c r="D39" s="69"/>
      <c r="E39" s="69"/>
      <c r="F39" s="79"/>
      <c r="G39" s="69"/>
      <c r="H39" s="56"/>
      <c r="I39" s="1975" t="s">
        <v>552</v>
      </c>
      <c r="J39" s="1976"/>
      <c r="K39" s="1976"/>
      <c r="L39" s="1976"/>
      <c r="M39" s="1976"/>
      <c r="N39" s="67"/>
      <c r="O39" s="72"/>
      <c r="P39" s="72"/>
      <c r="Q39" s="78"/>
      <c r="R39" s="72"/>
      <c r="S39" s="56"/>
      <c r="T39" s="72" t="s">
        <v>552</v>
      </c>
      <c r="U39" s="51"/>
      <c r="V39" s="72"/>
      <c r="W39" s="50"/>
      <c r="X39" s="78"/>
      <c r="Y39" s="45"/>
      <c r="Z39" s="45"/>
      <c r="AA39" s="46"/>
    </row>
    <row r="40" spans="1:27" ht="13.5" customHeight="1" x14ac:dyDescent="0.2">
      <c r="A40" s="1983" t="s">
        <v>2080</v>
      </c>
      <c r="B40" s="1984"/>
      <c r="C40" s="1985"/>
      <c r="D40" s="1985"/>
      <c r="E40" s="1985"/>
      <c r="F40" s="1986"/>
      <c r="G40" s="1986"/>
      <c r="H40" s="1987"/>
      <c r="I40" s="2008"/>
      <c r="J40" s="2009"/>
      <c r="K40" s="2009"/>
      <c r="L40" s="2009"/>
      <c r="M40" s="2009"/>
      <c r="N40" s="2009"/>
      <c r="O40" s="2009"/>
      <c r="P40" s="2009"/>
      <c r="Q40" s="2009"/>
      <c r="R40" s="2009"/>
      <c r="S40" s="2010"/>
      <c r="T40" s="2008" t="s">
        <v>2081</v>
      </c>
      <c r="U40" s="2071"/>
      <c r="V40" s="2009"/>
      <c r="W40" s="2009"/>
      <c r="X40" s="2009"/>
      <c r="Y40" s="2009"/>
      <c r="Z40" s="2009"/>
      <c r="AA40" s="201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7">
        <v>8156232837</v>
      </c>
      <c r="B42" s="1989"/>
      <c r="C42" s="1990"/>
      <c r="D42" s="1988">
        <v>8156239285</v>
      </c>
      <c r="E42" s="1989"/>
      <c r="F42" s="1989"/>
      <c r="G42" s="1989"/>
      <c r="H42" s="1990"/>
      <c r="I42" s="1972"/>
      <c r="J42" s="1973"/>
      <c r="K42" s="1973"/>
      <c r="L42" s="1973"/>
      <c r="M42" s="1973"/>
      <c r="N42" s="1973"/>
      <c r="O42" s="1974"/>
      <c r="P42" s="2007"/>
      <c r="Q42" s="1973"/>
      <c r="R42" s="1973"/>
      <c r="S42" s="1974"/>
      <c r="T42" s="1972">
        <v>8156363060</v>
      </c>
      <c r="U42" s="1973"/>
      <c r="V42" s="1973"/>
      <c r="W42" s="1974"/>
      <c r="X42" s="2007">
        <v>8156363069</v>
      </c>
      <c r="Y42" s="1973"/>
      <c r="Z42" s="1973"/>
      <c r="AA42" s="197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2"/>
      <c r="B44" s="2003"/>
      <c r="C44" s="2003"/>
      <c r="D44" s="2003"/>
      <c r="E44" s="2003"/>
      <c r="F44" s="2003"/>
      <c r="G44" s="2003"/>
      <c r="H44" s="2004"/>
      <c r="I44" s="1977"/>
      <c r="J44" s="1978"/>
      <c r="K44" s="1978"/>
      <c r="L44" s="1978"/>
      <c r="M44" s="1978"/>
      <c r="N44" s="1978"/>
      <c r="O44" s="1978"/>
      <c r="P44" s="1978"/>
      <c r="Q44" s="1978"/>
      <c r="R44" s="1978"/>
      <c r="S44" s="1979"/>
      <c r="T44" s="1977"/>
      <c r="U44" s="1996"/>
      <c r="V44" s="1996"/>
      <c r="W44" s="1996"/>
      <c r="X44" s="1996"/>
      <c r="Y44" s="1996"/>
      <c r="Z44" s="1978"/>
      <c r="AA44" s="197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1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1" t="s">
        <v>1902</v>
      </c>
      <c r="B2" s="1550" t="s">
        <v>2034</v>
      </c>
      <c r="C2" s="715" t="s">
        <v>1907</v>
      </c>
      <c r="D2" s="715" t="s">
        <v>1908</v>
      </c>
      <c r="E2" s="715" t="s">
        <v>1909</v>
      </c>
      <c r="F2" s="715" t="s">
        <v>1910</v>
      </c>
    </row>
    <row r="3" spans="1:6" ht="12" customHeight="1" x14ac:dyDescent="0.2">
      <c r="A3" s="2212"/>
      <c r="B3" s="1547"/>
      <c r="C3" s="1548"/>
      <c r="D3" s="1549" t="s">
        <v>274</v>
      </c>
      <c r="E3" s="1548"/>
      <c r="F3" s="1549" t="s">
        <v>275</v>
      </c>
    </row>
    <row r="4" spans="1:6" ht="13.7" customHeight="1" x14ac:dyDescent="0.2">
      <c r="A4" s="716" t="s">
        <v>1217</v>
      </c>
      <c r="B4" s="1771">
        <f>'Revenues 9-14'!C5</f>
        <v>9865054</v>
      </c>
      <c r="C4" s="1546">
        <v>5362498</v>
      </c>
      <c r="D4" s="1774">
        <f>B4-C4</f>
        <v>4502556</v>
      </c>
      <c r="E4" s="1546">
        <v>9852257</v>
      </c>
      <c r="F4" s="1774">
        <f>E4-C4</f>
        <v>4489759</v>
      </c>
    </row>
    <row r="5" spans="1:6" ht="13.7" customHeight="1" x14ac:dyDescent="0.2">
      <c r="A5" s="716" t="s">
        <v>925</v>
      </c>
      <c r="B5" s="1772">
        <f>'Revenues 9-14'!D5</f>
        <v>1285882</v>
      </c>
      <c r="C5" s="585">
        <v>697806</v>
      </c>
      <c r="D5" s="1775">
        <f t="shared" ref="D5:D18" si="0">B5-C5</f>
        <v>588076</v>
      </c>
      <c r="E5" s="585">
        <v>1282051</v>
      </c>
      <c r="F5" s="1775">
        <f>E5-C5</f>
        <v>584245</v>
      </c>
    </row>
    <row r="6" spans="1:6" ht="13.7" customHeight="1" x14ac:dyDescent="0.2">
      <c r="A6" s="716" t="s">
        <v>431</v>
      </c>
      <c r="B6" s="1772">
        <f>'Revenues 9-14'!E5</f>
        <v>903698</v>
      </c>
      <c r="C6" s="585">
        <v>451919</v>
      </c>
      <c r="D6" s="1775">
        <f t="shared" si="0"/>
        <v>451779</v>
      </c>
      <c r="E6" s="585">
        <v>830281</v>
      </c>
      <c r="F6" s="1775">
        <f t="shared" ref="F6:F18" si="1">E6-C6</f>
        <v>378362</v>
      </c>
    </row>
    <row r="7" spans="1:6" ht="13.7" customHeight="1" x14ac:dyDescent="0.2">
      <c r="A7" s="716" t="s">
        <v>157</v>
      </c>
      <c r="B7" s="1772">
        <f>'Revenues 9-14'!F5</f>
        <v>442936</v>
      </c>
      <c r="C7" s="585">
        <v>249215</v>
      </c>
      <c r="D7" s="1775">
        <f t="shared" si="0"/>
        <v>193721</v>
      </c>
      <c r="E7" s="585">
        <v>457875</v>
      </c>
      <c r="F7" s="1775">
        <f t="shared" si="1"/>
        <v>208660</v>
      </c>
    </row>
    <row r="8" spans="1:6" ht="13.7" customHeight="1" x14ac:dyDescent="0.2">
      <c r="A8" s="716" t="s">
        <v>1241</v>
      </c>
      <c r="B8" s="1772">
        <f>'Revenues 9-14'!G5</f>
        <v>181892</v>
      </c>
      <c r="C8" s="585">
        <v>116305</v>
      </c>
      <c r="D8" s="1775">
        <f t="shared" si="0"/>
        <v>65587</v>
      </c>
      <c r="E8" s="585">
        <v>213675</v>
      </c>
      <c r="F8" s="1775">
        <f t="shared" si="1"/>
        <v>97370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83072</v>
      </c>
      <c r="C13" s="585">
        <v>83072</v>
      </c>
      <c r="D13" s="1775">
        <f t="shared" si="0"/>
        <v>0</v>
      </c>
      <c r="E13" s="585">
        <v>152625</v>
      </c>
      <c r="F13" s="1775">
        <f t="shared" si="1"/>
        <v>69553</v>
      </c>
    </row>
    <row r="14" spans="1:6" ht="13.7" customHeight="1" x14ac:dyDescent="0.2">
      <c r="A14" s="716" t="s">
        <v>430</v>
      </c>
      <c r="B14" s="1772">
        <f>SUM('Revenues 9-14'!C7:D7,'Revenues 9-14'!F7:H7)</f>
        <v>60902</v>
      </c>
      <c r="C14" s="585">
        <v>33226</v>
      </c>
      <c r="D14" s="1775">
        <f t="shared" si="0"/>
        <v>27676</v>
      </c>
      <c r="E14" s="585">
        <v>61050</v>
      </c>
      <c r="F14" s="1775">
        <f t="shared" si="1"/>
        <v>27824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212344</v>
      </c>
      <c r="C16" s="585">
        <v>132918</v>
      </c>
      <c r="D16" s="1775">
        <f t="shared" si="0"/>
        <v>79426</v>
      </c>
      <c r="E16" s="585">
        <v>244200</v>
      </c>
      <c r="F16" s="1775">
        <f t="shared" si="1"/>
        <v>111282</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13035780</v>
      </c>
      <c r="C19" s="1773">
        <f>SUM(C4:C18)</f>
        <v>7126959</v>
      </c>
      <c r="D19" s="1773">
        <f>SUM(D4:D18)</f>
        <v>5908821</v>
      </c>
      <c r="E19" s="1773">
        <f>SUM(E4:E18)</f>
        <v>13094014</v>
      </c>
      <c r="F19" s="1773">
        <f>SUM(F4:F18)</f>
        <v>5967055</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7" colorId="8" zoomScaleNormal="100" workbookViewId="0">
      <selection activeCell="F42" sqref="F4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3" t="s">
        <v>650</v>
      </c>
      <c r="B1" s="2231"/>
      <c r="C1" s="722"/>
    </row>
    <row r="2" spans="1:7" ht="33.75" x14ac:dyDescent="0.2">
      <c r="A2" s="2238" t="s">
        <v>1902</v>
      </c>
      <c r="B2" s="2239"/>
      <c r="C2" s="1909" t="s">
        <v>2035</v>
      </c>
      <c r="D2" s="724" t="s">
        <v>2042</v>
      </c>
      <c r="E2" s="724" t="s">
        <v>2043</v>
      </c>
      <c r="F2" s="1909" t="s">
        <v>2036</v>
      </c>
    </row>
    <row r="3" spans="1:7" ht="15.75" customHeight="1" x14ac:dyDescent="0.2">
      <c r="A3" s="2240" t="s">
        <v>1176</v>
      </c>
      <c r="B3" s="2241"/>
      <c r="C3" s="2234"/>
      <c r="D3" s="2235"/>
      <c r="E3" s="2235"/>
      <c r="F3" s="2236"/>
    </row>
    <row r="4" spans="1:7" ht="12.75" customHeight="1" thickBot="1" x14ac:dyDescent="0.25">
      <c r="A4" s="2228" t="s">
        <v>651</v>
      </c>
      <c r="B4" s="2229"/>
      <c r="C4" s="581"/>
      <c r="D4" s="581"/>
      <c r="E4" s="581"/>
      <c r="F4" s="1777">
        <f>SUM(C4+D4)-E4</f>
        <v>0</v>
      </c>
    </row>
    <row r="5" spans="1:7" ht="15.75" customHeight="1" thickTop="1" x14ac:dyDescent="0.2">
      <c r="A5" s="2232" t="s">
        <v>1172</v>
      </c>
      <c r="B5" s="2227"/>
      <c r="C5" s="2221"/>
      <c r="D5" s="2222"/>
      <c r="E5" s="2222"/>
      <c r="F5" s="222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4" t="s">
        <v>652</v>
      </c>
      <c r="B15" s="2225"/>
      <c r="C15" s="1777">
        <f>SUM(C6:C14)</f>
        <v>0</v>
      </c>
      <c r="D15" s="1777">
        <f>SUM(D6:D14)</f>
        <v>0</v>
      </c>
      <c r="E15" s="1777">
        <f>SUM(E6:E14)</f>
        <v>0</v>
      </c>
      <c r="F15" s="1777">
        <f>SUM(F6:F14)</f>
        <v>0</v>
      </c>
      <c r="G15" s="552"/>
    </row>
    <row r="16" spans="1:7" s="202" customFormat="1" ht="15.75" customHeight="1" thickTop="1" x14ac:dyDescent="0.2">
      <c r="A16" s="2237" t="s">
        <v>1173</v>
      </c>
      <c r="B16" s="2227"/>
      <c r="C16" s="2221"/>
      <c r="D16" s="2222"/>
      <c r="E16" s="2222"/>
      <c r="F16" s="2223"/>
    </row>
    <row r="17" spans="1:11" ht="12.75" customHeight="1" thickBot="1" x14ac:dyDescent="0.25">
      <c r="A17" s="2219" t="s">
        <v>66</v>
      </c>
      <c r="B17" s="2220"/>
      <c r="C17" s="727"/>
      <c r="D17" s="585"/>
      <c r="E17" s="727"/>
      <c r="F17" s="1777">
        <f>SUM(C17+D17)-E17</f>
        <v>0</v>
      </c>
    </row>
    <row r="18" spans="1:11" ht="12.75" customHeight="1" thickTop="1" thickBot="1" x14ac:dyDescent="0.25">
      <c r="A18" s="2219" t="s">
        <v>6</v>
      </c>
      <c r="B18" s="2220"/>
      <c r="C18" s="727"/>
      <c r="D18" s="585"/>
      <c r="E18" s="727"/>
      <c r="F18" s="1777">
        <f>SUM(C18+D18)-E18</f>
        <v>0</v>
      </c>
    </row>
    <row r="19" spans="1:11" ht="12.75" customHeight="1" thickTop="1" thickBot="1" x14ac:dyDescent="0.25">
      <c r="A19" s="2219" t="s">
        <v>406</v>
      </c>
      <c r="B19" s="2220"/>
      <c r="C19" s="727"/>
      <c r="D19" s="585"/>
      <c r="E19" s="727"/>
      <c r="F19" s="1777">
        <f>SUM(C19+D19)-E19</f>
        <v>0</v>
      </c>
    </row>
    <row r="20" spans="1:11" ht="12.75" customHeight="1" thickTop="1" thickBot="1" x14ac:dyDescent="0.25">
      <c r="A20" s="2219" t="s">
        <v>468</v>
      </c>
      <c r="B20" s="2220"/>
      <c r="C20" s="727"/>
      <c r="D20" s="585"/>
      <c r="E20" s="727"/>
      <c r="F20" s="1777">
        <f>SUM(C20+D20)-E20</f>
        <v>0</v>
      </c>
    </row>
    <row r="21" spans="1:11" ht="14.25" thickTop="1" thickBot="1" x14ac:dyDescent="0.25">
      <c r="A21" s="2224" t="s">
        <v>653</v>
      </c>
      <c r="B21" s="2225"/>
      <c r="C21" s="1777">
        <f>SUM(C17:C20)</f>
        <v>0</v>
      </c>
      <c r="D21" s="1777">
        <f>SUM(D17:D20)</f>
        <v>0</v>
      </c>
      <c r="E21" s="1777">
        <f>SUM(E17:E20)</f>
        <v>0</v>
      </c>
      <c r="F21" s="1777">
        <f>SUM(F17:F20)</f>
        <v>0</v>
      </c>
      <c r="G21" s="552"/>
    </row>
    <row r="22" spans="1:11" ht="15.75" customHeight="1" thickTop="1" x14ac:dyDescent="0.2">
      <c r="A22" s="2226" t="s">
        <v>1174</v>
      </c>
      <c r="B22" s="2227"/>
      <c r="C22" s="2221"/>
      <c r="D22" s="2222"/>
      <c r="E22" s="2222"/>
      <c r="F22" s="2223"/>
    </row>
    <row r="23" spans="1:11" ht="13.5" thickBot="1" x14ac:dyDescent="0.25">
      <c r="A23" s="2228" t="s">
        <v>654</v>
      </c>
      <c r="B23" s="2229"/>
      <c r="C23" s="581"/>
      <c r="D23" s="581"/>
      <c r="E23" s="581"/>
      <c r="F23" s="1777">
        <f>SUM(C23+D23)-E23</f>
        <v>0</v>
      </c>
      <c r="G23" s="552"/>
    </row>
    <row r="24" spans="1:11" ht="15.75" customHeight="1" thickTop="1" x14ac:dyDescent="0.2">
      <c r="A24" s="2226" t="s">
        <v>1175</v>
      </c>
      <c r="B24" s="2227"/>
      <c r="C24" s="2221"/>
      <c r="D24" s="2222"/>
      <c r="E24" s="2222"/>
      <c r="F24" s="2223"/>
    </row>
    <row r="25" spans="1:11" ht="13.5" thickBot="1" x14ac:dyDescent="0.25">
      <c r="A25" s="2228" t="s">
        <v>655</v>
      </c>
      <c r="B25" s="2229"/>
      <c r="C25" s="581"/>
      <c r="D25" s="581"/>
      <c r="E25" s="581"/>
      <c r="F25" s="1777">
        <f>SUM(C25+D25)-E25</f>
        <v>0</v>
      </c>
      <c r="G25" s="552"/>
    </row>
    <row r="26" spans="1:11" ht="15.75" customHeight="1" thickTop="1" x14ac:dyDescent="0.2">
      <c r="A26" s="2232" t="s">
        <v>678</v>
      </c>
      <c r="B26" s="2227"/>
      <c r="C26" s="728"/>
      <c r="D26" s="728"/>
      <c r="E26" s="728"/>
      <c r="F26" s="729"/>
    </row>
    <row r="27" spans="1:11" ht="13.5" thickBot="1" x14ac:dyDescent="0.25">
      <c r="A27" s="2224" t="s">
        <v>1130</v>
      </c>
      <c r="B27" s="2225"/>
      <c r="C27" s="585"/>
      <c r="D27" s="585"/>
      <c r="E27" s="585"/>
      <c r="F27" s="1777">
        <f>SUM(C27+D27)-E27</f>
        <v>0</v>
      </c>
      <c r="G27" s="552"/>
    </row>
    <row r="28" spans="1:11" ht="7.5" customHeight="1" thickTop="1" x14ac:dyDescent="0.2">
      <c r="A28" s="594"/>
    </row>
    <row r="29" spans="1:11" ht="23.25" customHeight="1" x14ac:dyDescent="0.2">
      <c r="A29" s="2230" t="s">
        <v>603</v>
      </c>
      <c r="B29" s="2231"/>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2089</v>
      </c>
      <c r="B31" s="734">
        <v>40499</v>
      </c>
      <c r="C31" s="735">
        <v>1050000</v>
      </c>
      <c r="D31" s="736">
        <v>3</v>
      </c>
      <c r="E31" s="735">
        <v>145000</v>
      </c>
      <c r="F31" s="735"/>
      <c r="G31" s="735"/>
      <c r="H31" s="735">
        <v>145000</v>
      </c>
      <c r="I31" s="1778">
        <f>((E31+F31)-H31)+G31</f>
        <v>0</v>
      </c>
      <c r="J31" s="735"/>
      <c r="K31" s="737"/>
    </row>
    <row r="32" spans="1:11" ht="12" customHeight="1" x14ac:dyDescent="0.2">
      <c r="A32" s="733" t="s">
        <v>2090</v>
      </c>
      <c r="B32" s="734">
        <v>40499</v>
      </c>
      <c r="C32" s="735">
        <v>4210000</v>
      </c>
      <c r="D32" s="736">
        <v>3</v>
      </c>
      <c r="E32" s="735">
        <v>4210000</v>
      </c>
      <c r="F32" s="735"/>
      <c r="G32" s="735"/>
      <c r="H32" s="735">
        <v>705000</v>
      </c>
      <c r="I32" s="1778">
        <f>((E32+F32)-H32)+G32</f>
        <v>3505000</v>
      </c>
      <c r="J32" s="735">
        <v>2607237</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t="s">
        <v>2091</v>
      </c>
      <c r="B34" s="734">
        <v>42170</v>
      </c>
      <c r="C34" s="735">
        <v>157465</v>
      </c>
      <c r="D34" s="736">
        <v>7</v>
      </c>
      <c r="E34" s="735">
        <v>39730</v>
      </c>
      <c r="F34" s="735"/>
      <c r="G34" s="735"/>
      <c r="H34" s="735">
        <v>39730</v>
      </c>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5417465</v>
      </c>
      <c r="D49" s="746"/>
      <c r="E49" s="1778">
        <f t="shared" ref="E49:J49" si="2">SUM(E31:E48)</f>
        <v>4394730</v>
      </c>
      <c r="F49" s="1778">
        <f t="shared" si="2"/>
        <v>0</v>
      </c>
      <c r="G49" s="1778">
        <f t="shared" si="2"/>
        <v>0</v>
      </c>
      <c r="H49" s="1778">
        <f t="shared" si="2"/>
        <v>889730</v>
      </c>
      <c r="I49" s="1778">
        <f t="shared" si="2"/>
        <v>3505000</v>
      </c>
      <c r="J49" s="1778">
        <f t="shared" si="2"/>
        <v>2607237</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13" t="s">
        <v>605</v>
      </c>
      <c r="C52" s="2214"/>
      <c r="D52" s="2214"/>
      <c r="E52" s="750" t="s">
        <v>900</v>
      </c>
      <c r="F52" s="2215" t="s">
        <v>2109</v>
      </c>
      <c r="G52" s="2216"/>
      <c r="H52" s="737"/>
      <c r="I52" s="737"/>
      <c r="J52" s="747"/>
    </row>
    <row r="53" spans="1:11" ht="11.25" customHeight="1" x14ac:dyDescent="0.2">
      <c r="A53" s="751" t="s">
        <v>969</v>
      </c>
      <c r="B53" s="752" t="s">
        <v>1008</v>
      </c>
      <c r="C53" s="747"/>
      <c r="D53" s="738"/>
      <c r="E53" s="750" t="s">
        <v>518</v>
      </c>
      <c r="F53" s="2217"/>
      <c r="G53" s="2218"/>
      <c r="H53" s="737"/>
      <c r="I53" s="737"/>
      <c r="J53" s="747"/>
    </row>
    <row r="54" spans="1:11" ht="11.25" customHeight="1" x14ac:dyDescent="0.2">
      <c r="A54" s="753" t="s">
        <v>970</v>
      </c>
      <c r="B54" s="748" t="s">
        <v>1009</v>
      </c>
      <c r="C54" s="747"/>
      <c r="D54" s="738"/>
      <c r="E54" s="750" t="s">
        <v>519</v>
      </c>
      <c r="F54" s="2217"/>
      <c r="G54" s="221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911</v>
      </c>
      <c r="B1" s="2243"/>
      <c r="C1" s="2243"/>
      <c r="D1" s="2243"/>
      <c r="E1" s="2243"/>
      <c r="F1" s="2243"/>
      <c r="G1" s="2244"/>
      <c r="H1" s="1552"/>
      <c r="I1" s="761"/>
      <c r="J1" s="433"/>
    </row>
    <row r="2" spans="1:11" ht="26.25" x14ac:dyDescent="0.2">
      <c r="A2" s="2261" t="s">
        <v>1776</v>
      </c>
      <c r="B2" s="2262"/>
      <c r="C2" s="2262"/>
      <c r="D2" s="2262"/>
      <c r="E2" s="2263"/>
      <c r="F2" s="762" t="s">
        <v>960</v>
      </c>
      <c r="G2" s="763" t="s">
        <v>1773</v>
      </c>
      <c r="H2" s="763" t="s">
        <v>430</v>
      </c>
      <c r="I2" s="763" t="s">
        <v>1220</v>
      </c>
      <c r="J2" s="763" t="s">
        <v>1916</v>
      </c>
      <c r="K2" s="763" t="s">
        <v>140</v>
      </c>
    </row>
    <row r="3" spans="1:11" x14ac:dyDescent="0.2">
      <c r="A3" s="2264" t="s">
        <v>1698</v>
      </c>
      <c r="B3" s="2265"/>
      <c r="C3" s="2265"/>
      <c r="D3" s="2265"/>
      <c r="E3" s="2266"/>
      <c r="F3" s="764"/>
      <c r="G3" s="765"/>
      <c r="H3" s="765"/>
      <c r="I3" s="765"/>
      <c r="J3" s="766"/>
      <c r="K3" s="766"/>
    </row>
    <row r="4" spans="1:11" x14ac:dyDescent="0.2">
      <c r="A4" s="2267" t="s">
        <v>387</v>
      </c>
      <c r="B4" s="2268"/>
      <c r="C4" s="2268"/>
      <c r="D4" s="2268"/>
      <c r="E4" s="2214"/>
      <c r="F4" s="767"/>
      <c r="G4" s="768"/>
      <c r="H4" s="769"/>
      <c r="I4" s="768"/>
      <c r="J4" s="770"/>
      <c r="K4" s="770"/>
    </row>
    <row r="5" spans="1:11" x14ac:dyDescent="0.2">
      <c r="A5" s="2245" t="s">
        <v>1129</v>
      </c>
      <c r="B5" s="2246"/>
      <c r="C5" s="2246"/>
      <c r="D5" s="2246"/>
      <c r="E5" s="2247"/>
      <c r="F5" s="771" t="s">
        <v>903</v>
      </c>
      <c r="G5" s="772"/>
      <c r="H5" s="765">
        <v>60903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5" t="s">
        <v>1917</v>
      </c>
      <c r="B10" s="2246"/>
      <c r="C10" s="2246"/>
      <c r="D10" s="2246"/>
      <c r="E10" s="2248"/>
      <c r="F10" s="784" t="s">
        <v>917</v>
      </c>
      <c r="G10" s="783"/>
      <c r="H10" s="785"/>
      <c r="I10" s="765"/>
      <c r="J10" s="766"/>
      <c r="K10" s="766"/>
    </row>
    <row r="11" spans="1:11" x14ac:dyDescent="0.2">
      <c r="A11" s="2245" t="s">
        <v>162</v>
      </c>
      <c r="B11" s="2246"/>
      <c r="C11" s="2246"/>
      <c r="D11" s="2246"/>
      <c r="E11" s="2247"/>
      <c r="F11" s="771" t="s">
        <v>907</v>
      </c>
      <c r="G11" s="772"/>
      <c r="H11" s="765"/>
      <c r="I11" s="765"/>
      <c r="J11" s="766"/>
      <c r="K11" s="774"/>
    </row>
    <row r="12" spans="1:11" ht="13.5" thickBot="1" x14ac:dyDescent="0.25">
      <c r="A12" s="2272" t="s">
        <v>961</v>
      </c>
      <c r="B12" s="2273"/>
      <c r="C12" s="2273"/>
      <c r="D12" s="2273"/>
      <c r="E12" s="2274"/>
      <c r="F12" s="1779"/>
      <c r="G12" s="1780">
        <f>SUM(G5:G11)</f>
        <v>0</v>
      </c>
      <c r="H12" s="1780">
        <f>SUM(H5:H11)</f>
        <v>60903</v>
      </c>
      <c r="I12" s="1780">
        <f>SUM(I5:I11)</f>
        <v>0</v>
      </c>
      <c r="J12" s="1780">
        <f>SUM(J5:J11)</f>
        <v>0</v>
      </c>
      <c r="K12" s="1780">
        <f>SUM(K5:K11)</f>
        <v>0</v>
      </c>
    </row>
    <row r="13" spans="1:11" ht="13.5" thickTop="1" x14ac:dyDescent="0.2">
      <c r="A13" s="2269" t="s">
        <v>388</v>
      </c>
      <c r="B13" s="2270"/>
      <c r="C13" s="2270"/>
      <c r="D13" s="2270"/>
      <c r="E13" s="2271"/>
      <c r="F13" s="786"/>
      <c r="G13" s="787"/>
      <c r="H13" s="788"/>
      <c r="I13" s="789"/>
      <c r="J13" s="789"/>
      <c r="K13" s="789"/>
    </row>
    <row r="14" spans="1:11" x14ac:dyDescent="0.2">
      <c r="A14" s="2252" t="s">
        <v>476</v>
      </c>
      <c r="B14" s="2252"/>
      <c r="C14" s="2252"/>
      <c r="D14" s="2252"/>
      <c r="E14" s="2253"/>
      <c r="F14" s="790" t="s">
        <v>909</v>
      </c>
      <c r="G14" s="783"/>
      <c r="H14" s="765">
        <v>60903</v>
      </c>
      <c r="I14" s="772"/>
      <c r="J14" s="774"/>
      <c r="K14" s="766"/>
    </row>
    <row r="15" spans="1:11" x14ac:dyDescent="0.2">
      <c r="A15" s="2246" t="s">
        <v>4</v>
      </c>
      <c r="B15" s="2246"/>
      <c r="C15" s="2246"/>
      <c r="D15" s="2246"/>
      <c r="E15" s="2247"/>
      <c r="F15" s="790" t="s">
        <v>910</v>
      </c>
      <c r="G15" s="772"/>
      <c r="H15" s="765"/>
      <c r="I15" s="765"/>
      <c r="J15" s="766"/>
      <c r="K15" s="766"/>
    </row>
    <row r="16" spans="1:11" x14ac:dyDescent="0.2">
      <c r="A16" s="2246" t="s">
        <v>316</v>
      </c>
      <c r="B16" s="2246"/>
      <c r="C16" s="2246"/>
      <c r="D16" s="2246"/>
      <c r="E16" s="2247"/>
      <c r="F16" s="790" t="s">
        <v>980</v>
      </c>
      <c r="G16" s="773"/>
      <c r="H16" s="768"/>
      <c r="I16" s="768"/>
      <c r="J16" s="770"/>
      <c r="K16" s="770"/>
    </row>
    <row r="17" spans="1:11" x14ac:dyDescent="0.2">
      <c r="A17" s="2277" t="s">
        <v>992</v>
      </c>
      <c r="B17" s="2277"/>
      <c r="C17" s="2277"/>
      <c r="D17" s="2277"/>
      <c r="E17" s="2278"/>
      <c r="F17" s="791"/>
      <c r="G17" s="792"/>
      <c r="H17" s="793"/>
      <c r="I17" s="793"/>
      <c r="J17" s="794"/>
      <c r="K17" s="795"/>
    </row>
    <row r="18" spans="1:11" x14ac:dyDescent="0.2">
      <c r="A18" s="2256" t="s">
        <v>386</v>
      </c>
      <c r="B18" s="2257"/>
      <c r="C18" s="2257"/>
      <c r="D18" s="2257"/>
      <c r="E18" s="2258"/>
      <c r="F18" s="790" t="s">
        <v>989</v>
      </c>
      <c r="G18" s="783"/>
      <c r="H18" s="783"/>
      <c r="I18" s="783"/>
      <c r="J18" s="766"/>
      <c r="K18" s="796"/>
    </row>
    <row r="19" spans="1:11" ht="21.75" customHeight="1" x14ac:dyDescent="0.2">
      <c r="A19" s="2254" t="s">
        <v>1913</v>
      </c>
      <c r="B19" s="2254"/>
      <c r="C19" s="2254"/>
      <c r="D19" s="2254"/>
      <c r="E19" s="2255"/>
      <c r="F19" s="790" t="s">
        <v>990</v>
      </c>
      <c r="G19" s="783"/>
      <c r="H19" s="783"/>
      <c r="I19" s="783"/>
      <c r="J19" s="766"/>
      <c r="K19" s="796"/>
    </row>
    <row r="20" spans="1:11" x14ac:dyDescent="0.2">
      <c r="A20" s="2256" t="s">
        <v>1918</v>
      </c>
      <c r="B20" s="2257"/>
      <c r="C20" s="2257"/>
      <c r="D20" s="2257"/>
      <c r="E20" s="2258"/>
      <c r="F20" s="790" t="s">
        <v>991</v>
      </c>
      <c r="G20" s="783"/>
      <c r="H20" s="783"/>
      <c r="I20" s="783"/>
      <c r="J20" s="766"/>
      <c r="K20" s="796"/>
    </row>
    <row r="21" spans="1:11" ht="13.5" thickBot="1" x14ac:dyDescent="0.25">
      <c r="A21" s="2275" t="s">
        <v>659</v>
      </c>
      <c r="B21" s="2275"/>
      <c r="C21" s="2275"/>
      <c r="D21" s="2275"/>
      <c r="E21" s="2275"/>
      <c r="F21" s="1781"/>
      <c r="G21" s="793"/>
      <c r="H21" s="797"/>
      <c r="I21" s="797"/>
      <c r="J21" s="1782">
        <f>SUM(J18:J20)</f>
        <v>0</v>
      </c>
      <c r="K21" s="794"/>
    </row>
    <row r="22" spans="1:11" ht="13.5" thickTop="1" x14ac:dyDescent="0.2">
      <c r="A22" s="2246" t="s">
        <v>1919</v>
      </c>
      <c r="B22" s="2246"/>
      <c r="C22" s="2246"/>
      <c r="D22" s="2246"/>
      <c r="E22" s="2247"/>
      <c r="F22" s="790" t="s">
        <v>917</v>
      </c>
      <c r="G22" s="783"/>
      <c r="H22" s="765"/>
      <c r="I22" s="765"/>
      <c r="J22" s="798"/>
      <c r="K22" s="766"/>
    </row>
    <row r="23" spans="1:11" ht="13.5" thickBot="1" x14ac:dyDescent="0.25">
      <c r="A23" s="2276" t="s">
        <v>962</v>
      </c>
      <c r="B23" s="2275"/>
      <c r="C23" s="2275"/>
      <c r="D23" s="2275"/>
      <c r="E23" s="2275"/>
      <c r="F23" s="1783"/>
      <c r="G23" s="1780">
        <f>SUM(G14:G16,G21,G22)</f>
        <v>0</v>
      </c>
      <c r="H23" s="1780">
        <f>SUM(H14:H16,H21,H22)</f>
        <v>60903</v>
      </c>
      <c r="I23" s="1780">
        <f>SUM(I14:I16,I21,I22)</f>
        <v>0</v>
      </c>
      <c r="J23" s="1780">
        <f>SUM(J14:J16,J21,J22)</f>
        <v>0</v>
      </c>
      <c r="K23" s="1780">
        <f>SUM(K14:K16,K21,K22)</f>
        <v>0</v>
      </c>
    </row>
    <row r="24" spans="1:11" ht="14.25" thickTop="1" thickBot="1" x14ac:dyDescent="0.25">
      <c r="A24" s="2276" t="s">
        <v>2023</v>
      </c>
      <c r="B24" s="2275"/>
      <c r="C24" s="2275"/>
      <c r="D24" s="2275"/>
      <c r="E24" s="227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9"/>
      <c r="I31" s="2250"/>
      <c r="J31" s="2250"/>
      <c r="K31" s="2250"/>
    </row>
    <row r="32" spans="1:11" x14ac:dyDescent="0.2">
      <c r="A32" s="810"/>
      <c r="B32" s="237"/>
      <c r="C32" s="237"/>
      <c r="D32" s="237"/>
      <c r="E32" s="806"/>
      <c r="F32" s="812" t="s">
        <v>561</v>
      </c>
      <c r="G32" s="765"/>
      <c r="H32" s="2251"/>
      <c r="I32" s="2250"/>
      <c r="J32" s="2250"/>
      <c r="K32" s="2250"/>
    </row>
    <row r="33" spans="1:11" ht="1.5" customHeight="1" x14ac:dyDescent="0.2">
      <c r="A33" s="813" t="s">
        <v>1231</v>
      </c>
      <c r="B33" s="364"/>
      <c r="C33" s="364"/>
      <c r="D33" s="364"/>
      <c r="E33" s="364"/>
      <c r="F33" s="364"/>
      <c r="G33" s="814"/>
      <c r="H33" s="2251"/>
      <c r="I33" s="2250"/>
      <c r="J33" s="2250"/>
      <c r="K33" s="2250"/>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6" t="s">
        <v>562</v>
      </c>
      <c r="B41" s="2259"/>
      <c r="C41" s="2259"/>
      <c r="D41" s="2259"/>
      <c r="E41" s="2259"/>
      <c r="F41" s="226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K13" sqref="K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1" t="s">
        <v>2032</v>
      </c>
      <c r="B1" s="2282"/>
      <c r="C1" s="2283"/>
      <c r="D1" s="827"/>
      <c r="E1" s="828"/>
      <c r="F1" s="828"/>
      <c r="G1" s="829"/>
      <c r="H1" s="830"/>
      <c r="I1" s="831"/>
      <c r="J1" s="2279"/>
      <c r="K1" s="2280"/>
      <c r="L1" s="2280"/>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1146728</v>
      </c>
      <c r="D5" s="842"/>
      <c r="E5" s="842"/>
      <c r="F5" s="1782">
        <f>(C5+D5)-E5</f>
        <v>1146728</v>
      </c>
      <c r="G5" s="838"/>
      <c r="H5" s="843"/>
      <c r="I5" s="843"/>
      <c r="J5" s="843"/>
      <c r="K5" s="794"/>
      <c r="L5" s="1791">
        <f>F5-K5</f>
        <v>1146728</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24482793</v>
      </c>
      <c r="D8" s="845">
        <v>635607</v>
      </c>
      <c r="E8" s="845"/>
      <c r="F8" s="1782">
        <f>(C8+D8)-E8</f>
        <v>25118400</v>
      </c>
      <c r="G8" s="844">
        <v>50</v>
      </c>
      <c r="H8" s="766">
        <v>7986058</v>
      </c>
      <c r="I8" s="766">
        <v>498192</v>
      </c>
      <c r="J8" s="766"/>
      <c r="K8" s="1791">
        <f>(H8+I8)-J8</f>
        <v>8484250</v>
      </c>
      <c r="L8" s="1791">
        <f>F8-K8</f>
        <v>16634150</v>
      </c>
    </row>
    <row r="9" spans="1:14" ht="14.25" thickTop="1" thickBot="1" x14ac:dyDescent="0.25">
      <c r="A9" s="779" t="s">
        <v>1181</v>
      </c>
      <c r="B9" s="841">
        <v>232</v>
      </c>
      <c r="C9" s="766">
        <v>7006</v>
      </c>
      <c r="D9" s="766"/>
      <c r="E9" s="766"/>
      <c r="F9" s="1782">
        <f>(C9+D9)-E9</f>
        <v>7006</v>
      </c>
      <c r="G9" s="844">
        <v>20</v>
      </c>
      <c r="H9" s="766">
        <v>770</v>
      </c>
      <c r="I9" s="766">
        <v>350</v>
      </c>
      <c r="J9" s="766"/>
      <c r="K9" s="1791">
        <f>(H9+I9)-J9</f>
        <v>1120</v>
      </c>
      <c r="L9" s="1791">
        <f>F9-K9</f>
        <v>5886</v>
      </c>
    </row>
    <row r="10" spans="1:14" ht="24" thickTop="1" thickBot="1" x14ac:dyDescent="0.25">
      <c r="A10" s="846" t="s">
        <v>1182</v>
      </c>
      <c r="B10" s="841">
        <v>240</v>
      </c>
      <c r="C10" s="847">
        <v>2227260</v>
      </c>
      <c r="D10" s="847">
        <v>20230</v>
      </c>
      <c r="E10" s="847"/>
      <c r="F10" s="1786">
        <f>(C10+D10)-E10</f>
        <v>2247490</v>
      </c>
      <c r="G10" s="844">
        <v>20</v>
      </c>
      <c r="H10" s="848">
        <v>1017845</v>
      </c>
      <c r="I10" s="848">
        <v>112246</v>
      </c>
      <c r="J10" s="848"/>
      <c r="K10" s="1791">
        <f>(H10+I10)-J10</f>
        <v>1130091</v>
      </c>
      <c r="L10" s="1791">
        <f>F10-K10</f>
        <v>1117399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3282159</v>
      </c>
      <c r="D12" s="845">
        <v>102597</v>
      </c>
      <c r="E12" s="845">
        <v>30703</v>
      </c>
      <c r="F12" s="1782">
        <f>(C12+D12)-E12</f>
        <v>3354053</v>
      </c>
      <c r="G12" s="844">
        <v>10</v>
      </c>
      <c r="H12" s="766">
        <v>3043127</v>
      </c>
      <c r="I12" s="766">
        <v>29732</v>
      </c>
      <c r="J12" s="766">
        <v>30703</v>
      </c>
      <c r="K12" s="1791">
        <f>(H12+I12)-J12</f>
        <v>3042156</v>
      </c>
      <c r="L12" s="1791">
        <f>F12-K12</f>
        <v>311897</v>
      </c>
    </row>
    <row r="13" spans="1:14" ht="14.25" thickTop="1" thickBot="1" x14ac:dyDescent="0.25">
      <c r="A13" s="849" t="s">
        <v>1184</v>
      </c>
      <c r="B13" s="841">
        <v>252</v>
      </c>
      <c r="C13" s="845">
        <v>573061</v>
      </c>
      <c r="D13" s="845"/>
      <c r="E13" s="845">
        <v>83139</v>
      </c>
      <c r="F13" s="1782">
        <f>(C13+D13)-E13</f>
        <v>489922</v>
      </c>
      <c r="G13" s="844">
        <v>5</v>
      </c>
      <c r="H13" s="766">
        <v>409193</v>
      </c>
      <c r="I13" s="766">
        <v>114612</v>
      </c>
      <c r="J13" s="766">
        <v>75993</v>
      </c>
      <c r="K13" s="1791">
        <f>(H13+I13)-J13</f>
        <v>447812</v>
      </c>
      <c r="L13" s="1791">
        <f>F13-K13</f>
        <v>42110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31719007</v>
      </c>
      <c r="D16" s="1782">
        <f>SUM(D3,D5:D6,D8:D10,D12:D15)</f>
        <v>758434</v>
      </c>
      <c r="E16" s="1782">
        <f>SUM(E3,E5:E6,E8:E10,E12:E15)</f>
        <v>113842</v>
      </c>
      <c r="F16" s="1782">
        <f>SUM(F3,F5:F6,F8:F10,F12:F15)</f>
        <v>32363599</v>
      </c>
      <c r="G16" s="844"/>
      <c r="H16" s="1782">
        <f>SUM(H3,H6,H8:H10,H12:H14,)</f>
        <v>12456993</v>
      </c>
      <c r="I16" s="1782">
        <f>SUM(I3,I6,I8:I10,I12:I14,)</f>
        <v>755132</v>
      </c>
      <c r="J16" s="1782">
        <f>SUM(J3,J6,J8:J10,J12:J14,)</f>
        <v>106696</v>
      </c>
      <c r="K16" s="1782">
        <f>(H16+I16)-J16</f>
        <v>13105429</v>
      </c>
      <c r="L16" s="1782">
        <f>F16-K16</f>
        <v>19258170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755132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7" activePane="bottomLeft" state="frozen"/>
      <selection activeCell="A47" sqref="A47"/>
      <selection pane="bottomLeft" activeCell="F188" sqref="F18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7" t="s">
        <v>1699</v>
      </c>
      <c r="B1" s="2288"/>
      <c r="C1" s="2288"/>
      <c r="D1" s="2288"/>
      <c r="E1" s="2288"/>
      <c r="F1" s="2289"/>
      <c r="G1" s="856"/>
    </row>
    <row r="2" spans="1:7" ht="15" customHeight="1" thickBot="1" x14ac:dyDescent="0.25">
      <c r="A2" s="2290" t="s">
        <v>498</v>
      </c>
      <c r="B2" s="2291"/>
      <c r="C2" s="2291"/>
      <c r="D2" s="2291"/>
      <c r="E2" s="2291"/>
      <c r="F2" s="229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3"/>
      <c r="B5" s="2294"/>
      <c r="C5" s="2294"/>
      <c r="D5" s="2294"/>
      <c r="E5" s="2294"/>
      <c r="F5" s="2294"/>
    </row>
    <row r="6" spans="1:7" ht="13.5" customHeight="1" thickBot="1" x14ac:dyDescent="0.25">
      <c r="A6" s="2284" t="s">
        <v>1166</v>
      </c>
      <c r="B6" s="2285"/>
      <c r="C6" s="2285"/>
      <c r="D6" s="2285"/>
      <c r="E6" s="2285"/>
      <c r="F6" s="228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14277999</v>
      </c>
      <c r="G8" s="866"/>
    </row>
    <row r="9" spans="1:7" x14ac:dyDescent="0.2">
      <c r="A9" s="870" t="s">
        <v>480</v>
      </c>
      <c r="B9" s="871" t="s">
        <v>1986</v>
      </c>
      <c r="C9" s="872"/>
      <c r="D9" s="870" t="s">
        <v>522</v>
      </c>
      <c r="E9" s="869"/>
      <c r="F9" s="1935">
        <f>'Expenditures 15-22'!K151</f>
        <v>1524775</v>
      </c>
      <c r="G9" s="873"/>
    </row>
    <row r="10" spans="1:7" x14ac:dyDescent="0.2">
      <c r="A10" s="870" t="s">
        <v>520</v>
      </c>
      <c r="B10" s="871" t="s">
        <v>1987</v>
      </c>
      <c r="C10" s="872"/>
      <c r="D10" s="870" t="s">
        <v>522</v>
      </c>
      <c r="E10" s="869"/>
      <c r="F10" s="1935">
        <f>'Expenditures 15-22'!K174</f>
        <v>1025018</v>
      </c>
      <c r="G10" s="873"/>
    </row>
    <row r="11" spans="1:7" x14ac:dyDescent="0.2">
      <c r="A11" s="870" t="s">
        <v>481</v>
      </c>
      <c r="B11" s="871" t="s">
        <v>1988</v>
      </c>
      <c r="C11" s="872"/>
      <c r="D11" s="870" t="s">
        <v>522</v>
      </c>
      <c r="E11" s="869"/>
      <c r="F11" s="1935">
        <f>'Expenditures 15-22'!K210</f>
        <v>927523</v>
      </c>
      <c r="G11" s="873"/>
    </row>
    <row r="12" spans="1:7" x14ac:dyDescent="0.2">
      <c r="A12" s="870" t="s">
        <v>482</v>
      </c>
      <c r="B12" s="871" t="s">
        <v>1989</v>
      </c>
      <c r="C12" s="872"/>
      <c r="D12" s="870" t="s">
        <v>522</v>
      </c>
      <c r="E12" s="869"/>
      <c r="F12" s="1935">
        <f>'Expenditures 15-22'!K295</f>
        <v>416196</v>
      </c>
      <c r="G12" s="873"/>
    </row>
    <row r="13" spans="1:7" x14ac:dyDescent="0.2">
      <c r="A13" s="870" t="s">
        <v>108</v>
      </c>
      <c r="B13" s="871" t="s">
        <v>1990</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18171511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60388</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5350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156725</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106435</v>
      </c>
      <c r="G52" s="866"/>
    </row>
    <row r="53" spans="1:7" x14ac:dyDescent="0.2">
      <c r="A53" s="870" t="s">
        <v>479</v>
      </c>
      <c r="B53" s="870" t="s">
        <v>1551</v>
      </c>
      <c r="C53" s="890">
        <f>'Expenditures 15-22'!B102</f>
        <v>4000</v>
      </c>
      <c r="D53" s="889" t="str">
        <f>'Expenditures 15-22'!A102</f>
        <v>Total Payments to Other Govt Units</v>
      </c>
      <c r="E53" s="869"/>
      <c r="F53" s="1939">
        <f>'Expenditures 15-22'!K102</f>
        <v>471338</v>
      </c>
      <c r="G53" s="866"/>
    </row>
    <row r="54" spans="1:7" x14ac:dyDescent="0.2">
      <c r="A54" s="870" t="s">
        <v>479</v>
      </c>
      <c r="B54" s="870" t="s">
        <v>1552</v>
      </c>
      <c r="C54" s="890" t="s">
        <v>1039</v>
      </c>
      <c r="D54" s="886" t="s">
        <v>1157</v>
      </c>
      <c r="E54" s="869"/>
      <c r="F54" s="1939">
        <f>'Expenditures 15-22'!G114</f>
        <v>92101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666334</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889730</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670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0</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3433</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73</v>
      </c>
      <c r="G71" s="866"/>
    </row>
    <row r="72" spans="1:8" x14ac:dyDescent="0.2">
      <c r="A72" s="870" t="s">
        <v>482</v>
      </c>
      <c r="B72" s="870" t="s">
        <v>2005</v>
      </c>
      <c r="C72" s="887">
        <f>'Expenditures 15-22'!B280</f>
        <v>3000</v>
      </c>
      <c r="D72" s="877" t="s">
        <v>469</v>
      </c>
      <c r="E72" s="869"/>
      <c r="F72" s="1939">
        <f>'Expenditures 15-22'!K280</f>
        <v>11847</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2464424</v>
      </c>
      <c r="G76" s="866"/>
    </row>
    <row r="77" spans="1:8" s="894" customFormat="1" ht="12" customHeight="1" thickTop="1" thickBot="1" x14ac:dyDescent="0.25">
      <c r="A77" s="1801"/>
      <c r="B77" s="1798"/>
      <c r="C77" s="1794"/>
      <c r="D77" s="1799" t="s">
        <v>2009</v>
      </c>
      <c r="E77" s="1796"/>
      <c r="F77" s="1802">
        <f>(F14-F76)</f>
        <v>15707087</v>
      </c>
      <c r="G77" s="870"/>
    </row>
    <row r="78" spans="1:8" s="894" customFormat="1" ht="12" customHeight="1" thickTop="1" x14ac:dyDescent="0.2">
      <c r="A78" s="1803"/>
      <c r="B78" s="1798"/>
      <c r="C78" s="1794"/>
      <c r="D78" s="1799" t="s">
        <v>2056</v>
      </c>
      <c r="E78" s="1796"/>
      <c r="F78" s="899">
        <v>1587.72</v>
      </c>
      <c r="G78" s="900"/>
      <c r="H78" s="870"/>
    </row>
    <row r="79" spans="1:8" s="894" customFormat="1" ht="12" customHeight="1" thickBot="1" x14ac:dyDescent="0.25">
      <c r="A79" s="1804"/>
      <c r="B79" s="1798"/>
      <c r="C79" s="1794"/>
      <c r="D79" s="1799" t="s">
        <v>2010</v>
      </c>
      <c r="E79" s="1796" t="s">
        <v>1015</v>
      </c>
      <c r="F79" s="1805">
        <f>IF(F78&gt;0,F77/F78," Complete Line 78")</f>
        <v>9892.8570528808596</v>
      </c>
      <c r="G79" s="870"/>
    </row>
    <row r="80" spans="1:8" s="894" customFormat="1" ht="8.25" customHeight="1" thickTop="1" x14ac:dyDescent="0.2">
      <c r="A80" s="901"/>
      <c r="B80" s="870"/>
      <c r="C80" s="872"/>
      <c r="D80" s="902"/>
      <c r="E80" s="869"/>
      <c r="F80" s="903"/>
      <c r="G80" s="870"/>
    </row>
    <row r="81" spans="1:7" s="894" customFormat="1" ht="12" thickBot="1" x14ac:dyDescent="0.25">
      <c r="A81" s="2284" t="s">
        <v>1167</v>
      </c>
      <c r="B81" s="2285"/>
      <c r="C81" s="2285"/>
      <c r="D81" s="2285"/>
      <c r="E81" s="2285"/>
      <c r="F81" s="228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14671</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244895</v>
      </c>
      <c r="G94" s="913"/>
    </row>
    <row r="95" spans="1:7" x14ac:dyDescent="0.2">
      <c r="A95" s="909" t="s">
        <v>142</v>
      </c>
      <c r="B95" s="909" t="s">
        <v>177</v>
      </c>
      <c r="C95" s="911">
        <v>1700</v>
      </c>
      <c r="D95" s="919" t="str">
        <f>'Revenues 9-14'!A82</f>
        <v>Total District/School Activity Income</v>
      </c>
      <c r="E95" s="907"/>
      <c r="F95" s="1811">
        <f>SUM('Revenues 9-14'!C82,'Revenues 9-14'!D82)</f>
        <v>6162</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11560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440421</v>
      </c>
      <c r="G104" s="913"/>
    </row>
    <row r="105" spans="1:7" x14ac:dyDescent="0.2">
      <c r="A105" s="909" t="s">
        <v>524</v>
      </c>
      <c r="B105" s="909" t="s">
        <v>842</v>
      </c>
      <c r="C105" s="914">
        <v>3100</v>
      </c>
      <c r="D105" s="920" t="str">
        <f>'Revenues 9-14'!A131</f>
        <v>Total Special Education</v>
      </c>
      <c r="E105" s="907"/>
      <c r="F105" s="1811">
        <f>SUM('Revenues 9-14'!C131:D131,'Revenues 9-14'!F131)</f>
        <v>426871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2273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487704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196795</v>
      </c>
      <c r="G129" s="931"/>
    </row>
    <row r="130" spans="1:7" x14ac:dyDescent="0.2">
      <c r="A130" s="928" t="s">
        <v>689</v>
      </c>
      <c r="B130" s="928" t="s">
        <v>804</v>
      </c>
      <c r="C130" s="933">
        <v>4300</v>
      </c>
      <c r="D130" s="934" t="str">
        <f>'Revenues 9-14'!A211</f>
        <v>Total Title I</v>
      </c>
      <c r="E130" s="907"/>
      <c r="F130" s="1811">
        <f>SUM('Revenues 9-14'!C211,'Revenues 9-14'!D211,'Revenues 9-14'!F211,'Revenues 9-14'!G211)</f>
        <v>190902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8400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374410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16236</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23678</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49618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2494596</v>
      </c>
    </row>
    <row r="179" spans="1:7" ht="12" customHeight="1" x14ac:dyDescent="0.2">
      <c r="A179" s="1792"/>
      <c r="B179" s="1806"/>
      <c r="C179" s="1807"/>
      <c r="D179" s="1808" t="s">
        <v>2012</v>
      </c>
      <c r="E179" s="1809"/>
      <c r="F179" s="1811">
        <f>'PCTC-OEPP 27-28'!F77-F178</f>
        <v>13212491</v>
      </c>
    </row>
    <row r="180" spans="1:7" ht="12" customHeight="1" x14ac:dyDescent="0.2">
      <c r="A180" s="1792"/>
      <c r="B180" s="1806"/>
      <c r="C180" s="1807"/>
      <c r="D180" s="1808" t="s">
        <v>1921</v>
      </c>
      <c r="E180" s="1809"/>
      <c r="F180" s="1811">
        <f>'Cap Outlay Deprec 26'!I18</f>
        <v>755132</v>
      </c>
    </row>
    <row r="181" spans="1:7" ht="12" customHeight="1" x14ac:dyDescent="0.2">
      <c r="A181" s="1792"/>
      <c r="B181" s="1806"/>
      <c r="C181" s="1807"/>
      <c r="D181" s="1808" t="s">
        <v>2013</v>
      </c>
      <c r="E181" s="1809"/>
      <c r="F181" s="1811">
        <f>F179+F180</f>
        <v>13967623</v>
      </c>
    </row>
    <row r="182" spans="1:7" ht="12" customHeight="1" x14ac:dyDescent="0.2">
      <c r="A182" s="1792"/>
      <c r="B182" s="1812"/>
      <c r="C182" s="1807"/>
      <c r="D182" s="1808" t="str">
        <f>D78</f>
        <v>9 Month ADA from District Average Daily Attendance/Prior General State Aid Inquiry 2017-2018</v>
      </c>
      <c r="E182" s="1809"/>
      <c r="F182" s="1813">
        <f>'PCTC-OEPP 27-28'!F78</f>
        <v>1587.72</v>
      </c>
      <c r="G182" s="931"/>
    </row>
    <row r="183" spans="1:7" ht="12" customHeight="1" thickBot="1" x14ac:dyDescent="0.25">
      <c r="A183" s="1792"/>
      <c r="B183" s="1812"/>
      <c r="C183" s="1807"/>
      <c r="D183" s="1808" t="s">
        <v>2014</v>
      </c>
      <c r="E183" s="1809" t="s">
        <v>1626</v>
      </c>
      <c r="F183" s="1814">
        <f>F181/F182</f>
        <v>8797.2835260625307</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9" activePane="bottomLeft" state="frozen"/>
      <selection pane="bottomLeft" activeCell="D20" sqref="D20"/>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8" t="s">
        <v>1922</v>
      </c>
      <c r="B4" s="2299"/>
      <c r="C4" s="2299"/>
      <c r="D4" s="2299"/>
      <c r="E4" s="2299"/>
      <c r="F4" s="2299"/>
      <c r="G4" s="2300"/>
    </row>
    <row r="5" spans="1:7" x14ac:dyDescent="0.25">
      <c r="A5" s="2301"/>
      <c r="B5" s="2302"/>
      <c r="C5" s="2302"/>
      <c r="D5" s="2302"/>
      <c r="E5" s="2302"/>
      <c r="F5" s="2302"/>
      <c r="G5" s="2303"/>
    </row>
    <row r="6" spans="1:7" ht="18.75" x14ac:dyDescent="0.25">
      <c r="A6" s="1556" t="s">
        <v>1923</v>
      </c>
      <c r="B6" s="1557"/>
      <c r="C6" s="1557"/>
      <c r="D6" s="1557"/>
      <c r="E6" s="1557"/>
      <c r="F6" s="1557"/>
      <c r="G6" s="1558"/>
    </row>
    <row r="7" spans="1:7" ht="30.75" customHeight="1" x14ac:dyDescent="0.25">
      <c r="A7" s="2304" t="s">
        <v>2072</v>
      </c>
      <c r="B7" s="2305"/>
      <c r="C7" s="2305"/>
      <c r="D7" s="2305"/>
      <c r="E7" s="2305"/>
      <c r="F7" s="2305"/>
      <c r="G7" s="2306"/>
    </row>
    <row r="8" spans="1:7" ht="15.75" customHeight="1" x14ac:dyDescent="0.25">
      <c r="A8" s="2307" t="s">
        <v>2021</v>
      </c>
      <c r="B8" s="2308"/>
      <c r="C8" s="2308"/>
      <c r="D8" s="2308"/>
      <c r="E8" s="2308"/>
      <c r="F8" s="2308"/>
      <c r="G8" s="2309"/>
    </row>
    <row r="9" spans="1:7" ht="35.25" customHeight="1" x14ac:dyDescent="0.25">
      <c r="A9" s="2304" t="s">
        <v>2020</v>
      </c>
      <c r="B9" s="2305"/>
      <c r="C9" s="2305"/>
      <c r="D9" s="2305"/>
      <c r="E9" s="2305"/>
      <c r="F9" s="2305"/>
      <c r="G9" s="2306"/>
    </row>
    <row r="10" spans="1:7" ht="15" customHeight="1" x14ac:dyDescent="0.25">
      <c r="A10" s="1559" t="s">
        <v>1924</v>
      </c>
      <c r="B10" s="1560"/>
      <c r="C10" s="1560"/>
      <c r="D10" s="1560"/>
      <c r="E10" s="1560"/>
      <c r="F10" s="1560"/>
      <c r="G10" s="1561"/>
    </row>
    <row r="11" spans="1:7" ht="17.25" customHeight="1" x14ac:dyDescent="0.25">
      <c r="A11" s="2304" t="s">
        <v>1938</v>
      </c>
      <c r="B11" s="2305"/>
      <c r="C11" s="2305"/>
      <c r="D11" s="2305"/>
      <c r="E11" s="2305"/>
      <c r="F11" s="2305"/>
      <c r="G11" s="2306"/>
    </row>
    <row r="12" spans="1:7" ht="15" customHeight="1" x14ac:dyDescent="0.25">
      <c r="A12" s="1559" t="s">
        <v>1929</v>
      </c>
      <c r="B12" s="1560"/>
      <c r="C12" s="1560"/>
      <c r="D12" s="1560"/>
      <c r="E12" s="1560"/>
      <c r="F12" s="1560"/>
      <c r="G12" s="1561"/>
    </row>
    <row r="13" spans="1:7" ht="32.25" customHeight="1" x14ac:dyDescent="0.25">
      <c r="A13" s="2295" t="s">
        <v>1930</v>
      </c>
      <c r="B13" s="2296"/>
      <c r="C13" s="2296"/>
      <c r="D13" s="2296"/>
      <c r="E13" s="2296"/>
      <c r="F13" s="2296"/>
      <c r="G13" s="2297"/>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6" t="s">
        <v>2180</v>
      </c>
      <c r="B17" s="1967" t="s">
        <v>2182</v>
      </c>
      <c r="C17" s="1968" t="s">
        <v>2181</v>
      </c>
      <c r="D17" s="1867">
        <v>26460</v>
      </c>
      <c r="E17" s="1562">
        <f t="shared" ref="E17:E141" si="1">IF(D17&lt;=25000,D17,IF(D17&gt;25000,25000,0))</f>
        <v>25000</v>
      </c>
      <c r="F17" s="1815">
        <f t="shared" si="0"/>
        <v>25000</v>
      </c>
      <c r="G17" s="1816">
        <f>IF(F17=0,0,D17-F17)</f>
        <v>1460</v>
      </c>
      <c r="H17" s="1669"/>
    </row>
    <row r="18" spans="1:8" x14ac:dyDescent="0.25">
      <c r="A18" s="1966" t="s">
        <v>2183</v>
      </c>
      <c r="B18" s="1967" t="s">
        <v>2184</v>
      </c>
      <c r="C18" s="1968" t="s">
        <v>2185</v>
      </c>
      <c r="D18" s="1867">
        <v>30000</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5000</v>
      </c>
    </row>
    <row r="19" spans="1:8" x14ac:dyDescent="0.25">
      <c r="A19" s="1966" t="s">
        <v>2186</v>
      </c>
      <c r="B19" s="1967" t="s">
        <v>2187</v>
      </c>
      <c r="C19" s="1968" t="s">
        <v>2188</v>
      </c>
      <c r="D19" s="1867">
        <v>926430</v>
      </c>
      <c r="E19" s="1562">
        <f t="shared" si="2"/>
        <v>25000</v>
      </c>
      <c r="F19" s="1815">
        <f t="shared" si="3"/>
        <v>25000</v>
      </c>
      <c r="G19" s="1816">
        <f t="shared" si="4"/>
        <v>901430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982890</v>
      </c>
      <c r="E141" s="1563">
        <f t="shared" si="1"/>
        <v>25000</v>
      </c>
      <c r="F141" s="1817">
        <f>SUM(F17:F140)</f>
        <v>75000</v>
      </c>
      <c r="G141" s="1818">
        <f>SUM(G17:G140)</f>
        <v>907890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E40" sqref="E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0" t="s">
        <v>1778</v>
      </c>
      <c r="B5" s="2311"/>
      <c r="C5" s="2311"/>
      <c r="D5" s="2311"/>
      <c r="E5" s="2311"/>
      <c r="F5" s="2311"/>
      <c r="G5" s="231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196796</v>
      </c>
      <c r="F10" s="975"/>
      <c r="G10" s="976"/>
      <c r="H10" s="162"/>
      <c r="I10" s="162"/>
    </row>
    <row r="11" spans="1:9" s="669" customFormat="1" ht="22.5" customHeight="1" x14ac:dyDescent="0.2">
      <c r="A11" s="2315" t="s">
        <v>1942</v>
      </c>
      <c r="B11" s="2316"/>
      <c r="C11" s="2316"/>
      <c r="D11" s="2317"/>
      <c r="E11" s="978">
        <v>53098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10035388</v>
      </c>
      <c r="F19" s="1822"/>
      <c r="G19" s="1824">
        <f>'Expenditures 15-22'!K33-SUM('Expenditures 15-22'!G33,'Expenditures 15-22'!I33)+'Expenditures 15-22'!D229</f>
        <v>10035388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1076458</v>
      </c>
      <c r="F21" s="1825"/>
      <c r="G21" s="1828">
        <f>'Expenditures 15-22'!K42-SUM('Expenditures 15-22'!G42,'Expenditures 15-22'!I42)+'Expenditures 15-22'!K120-SUM('Expenditures 15-22'!G120,'Expenditures 15-22'!I120)+'Expenditures 15-22'!K180-SUM('Expenditures 15-22'!G180,'Expenditures 15-22'!I180)+'Expenditures 15-22'!D238</f>
        <v>1076458</v>
      </c>
      <c r="H21" s="988"/>
      <c r="I21" s="162"/>
    </row>
    <row r="22" spans="1:9" s="669" customFormat="1" ht="12" customHeight="1" x14ac:dyDescent="0.2">
      <c r="A22" s="995" t="s">
        <v>585</v>
      </c>
      <c r="B22" s="996"/>
      <c r="C22" s="994">
        <v>2200</v>
      </c>
      <c r="D22" s="1825"/>
      <c r="E22" s="1827">
        <f>'Expenditures 15-22'!K47-SUM('Expenditures 15-22'!G47,'Expenditures 15-22'!I47)+'Expenditures 15-22'!D243</f>
        <v>229403</v>
      </c>
      <c r="F22" s="1825"/>
      <c r="G22" s="1828">
        <f>'Expenditures 15-22'!K47-SUM('Expenditures 15-22'!G47,'Expenditures 15-22'!I47)+'Expenditures 15-22'!D243</f>
        <v>229403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735072</v>
      </c>
      <c r="F23" s="1825"/>
      <c r="G23" s="1827">
        <f>'Expenditures 15-22'!K53-SUM('Expenditures 15-22'!G53,'Expenditures 15-22'!I53)+'Expenditures 15-22'!D257+'Expenditures 15-22'!K330-SUM('Expenditures 15-22'!G330,'Expenditures 15-22'!I330)</f>
        <v>735072</v>
      </c>
      <c r="H23" s="988"/>
      <c r="I23" s="162"/>
    </row>
    <row r="24" spans="1:9" s="669" customFormat="1" ht="12" customHeight="1" x14ac:dyDescent="0.2">
      <c r="A24" s="995" t="s">
        <v>587</v>
      </c>
      <c r="B24" s="996"/>
      <c r="C24" s="994">
        <v>2400</v>
      </c>
      <c r="D24" s="1825"/>
      <c r="E24" s="1827">
        <f>'Expenditures 15-22'!K57-SUM('Expenditures 15-22'!G57,'Expenditures 15-22'!I57)+'Expenditures 15-22'!D261</f>
        <v>865287</v>
      </c>
      <c r="F24" s="1825"/>
      <c r="G24" s="1828">
        <f>'Expenditures 15-22'!K57-SUM('Expenditures 15-22'!G57,'Expenditures 15-22'!I57)+'Expenditures 15-22'!D261</f>
        <v>865287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252981</v>
      </c>
      <c r="E26" s="1827">
        <f>'Expenditures 15-22'!K122-SUM('Expenditures 15-22'!G122,'Expenditures 15-22'!I122)+E7</f>
        <v>0</v>
      </c>
      <c r="F26" s="1827">
        <f>'Expenditures 15-22'!K59-SUM('Expenditures 15-22'!G59,'Expenditures 15-22'!I59)+'Expenditures 15-22'!D263-E7</f>
        <v>252981</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48859</v>
      </c>
      <c r="E27" s="1827">
        <f>E8</f>
        <v>0</v>
      </c>
      <c r="F27" s="1827">
        <f>'Expenditures 15-22'!K60-SUM('Expenditures 15-22'!G60,'Expenditures 15-22'!I60)+'Expenditures 15-22'!D264-E8</f>
        <v>48859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947246</v>
      </c>
      <c r="F28" s="1829">
        <f>'Expenditures 15-22'!K61-SUM('Expenditures 15-22'!G61,'Expenditures 15-22'!I61)+'Expenditures 15-22'!K124-SUM('Expenditures 15-22'!G124,'Expenditures 15-22'!I124)+'Expenditures 15-22'!D266-E9</f>
        <v>947246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926430</v>
      </c>
      <c r="F29" s="1825"/>
      <c r="G29" s="1828">
        <f>'Expenditures 15-22'!K62-SUM('Expenditures 15-22'!G62,'Expenditures 15-22'!I62)+'Expenditures 15-22'!K125-SUM('Expenditures 15-22'!G125,'Expenditures 15-22'!I125)+'Expenditures 15-22'!K182-SUM('Expenditures 15-22'!G182,'Expenditures 15-22'!I182)+'Expenditures 15-22'!D267</f>
        <v>926430</v>
      </c>
      <c r="H29" s="986"/>
    </row>
    <row r="30" spans="1:9" ht="12" customHeight="1" x14ac:dyDescent="0.2">
      <c r="A30" s="995" t="s">
        <v>102</v>
      </c>
      <c r="B30" s="998"/>
      <c r="C30" s="994">
        <v>2560</v>
      </c>
      <c r="D30" s="1825"/>
      <c r="E30" s="1827">
        <f>'Expenditures 15-22'!K63-SUM('Expenditures 15-22'!G63,'Expenditures 15-22'!I63)+'Expenditures 15-22'!D268-E10</f>
        <v>243773</v>
      </c>
      <c r="F30" s="1825"/>
      <c r="G30" s="1827">
        <f>'Expenditures 15-22'!K63-SUM('Expenditures 15-22'!G63,'Expenditures 15-22'!I63)+'Expenditures 15-22'!D268-E10</f>
        <v>243773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213167</v>
      </c>
      <c r="E37" s="1827">
        <f>E14</f>
        <v>0</v>
      </c>
      <c r="F37" s="1827">
        <f>'Expenditures 15-22'!K71-SUM('Expenditures 15-22'!G71,'Expenditures 15-22'!I71)+'Expenditures 15-22'!D276-E14</f>
        <v>213167</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868</v>
      </c>
      <c r="F38" s="1825"/>
      <c r="G38" s="1827">
        <f>'Expenditures 15-22'!K73-SUM('Expenditures 15-22'!G73,'Expenditures 15-22'!I73)+'Expenditures 15-22'!K128-SUM('Expenditures 15-22'!G128,'Expenditures 15-22'!I128)+'Expenditures 15-22'!K183-SUM('Expenditures 15-22'!G183,'Expenditures 15-22'!I183)+'Expenditures 15-22'!D278</f>
        <v>868</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118282</v>
      </c>
      <c r="F39" s="1825"/>
      <c r="G39" s="1827">
        <f>'Expenditures 15-22'!K75-SUM('Expenditures 15-22'!G75,'Expenditures 15-22'!I75)+'Expenditures 15-22'!K130-SUM('Expenditures 15-22'!G130,'Expenditures 15-22'!I130)+'Expenditures 15-22'!K185-SUM('Expenditures 15-22'!G185,'Expenditures 15-22'!I185)+'Expenditures 15-22'!D280</f>
        <v>118282</v>
      </c>
    </row>
    <row r="40" spans="1:7" ht="12" customHeight="1" x14ac:dyDescent="0.2">
      <c r="A40" s="991" t="s">
        <v>1927</v>
      </c>
      <c r="B40" s="992"/>
      <c r="C40" s="994"/>
      <c r="D40" s="1825"/>
      <c r="E40" s="1829">
        <f>-'Contracts Paid in CY 29'!G141</f>
        <v>-907890</v>
      </c>
      <c r="F40" s="1825"/>
      <c r="G40" s="1829">
        <f>-'Contracts Paid in CY 29'!G141</f>
        <v>-907890</v>
      </c>
    </row>
    <row r="41" spans="1:7" ht="12" customHeight="1" x14ac:dyDescent="0.2">
      <c r="A41" s="999" t="s">
        <v>158</v>
      </c>
      <c r="B41" s="1000"/>
      <c r="C41" s="1001"/>
      <c r="D41" s="1829">
        <f>SUM(D19:D39)</f>
        <v>515007</v>
      </c>
      <c r="E41" s="1829">
        <f>SUM(E19:E40)</f>
        <v>14270317</v>
      </c>
      <c r="F41" s="1829">
        <f>SUM(F19:F39)</f>
        <v>1462253</v>
      </c>
      <c r="G41" s="1829">
        <f>SUM(G19:G40)</f>
        <v>13323071</v>
      </c>
    </row>
    <row r="42" spans="1:7" x14ac:dyDescent="0.2">
      <c r="A42" s="988"/>
      <c r="B42" s="162"/>
      <c r="C42" s="1002"/>
      <c r="D42" s="2313" t="s">
        <v>543</v>
      </c>
      <c r="E42" s="2314"/>
      <c r="F42" s="1003" t="s">
        <v>544</v>
      </c>
      <c r="G42" s="1004"/>
    </row>
    <row r="43" spans="1:7" ht="12" customHeight="1" x14ac:dyDescent="0.2">
      <c r="A43" s="988"/>
      <c r="B43" s="162"/>
      <c r="C43" s="1002"/>
      <c r="D43" s="1830" t="s">
        <v>493</v>
      </c>
      <c r="E43" s="1831">
        <f>D41</f>
        <v>515007</v>
      </c>
      <c r="F43" s="1830" t="s">
        <v>495</v>
      </c>
      <c r="G43" s="1831">
        <f>F41</f>
        <v>1462253</v>
      </c>
    </row>
    <row r="44" spans="1:7" ht="12" customHeight="1" x14ac:dyDescent="0.2">
      <c r="A44" s="988"/>
      <c r="B44" s="162"/>
      <c r="C44" s="1002"/>
      <c r="D44" s="1830" t="s">
        <v>494</v>
      </c>
      <c r="E44" s="1831">
        <f>E41</f>
        <v>14270317</v>
      </c>
      <c r="F44" s="1830" t="s">
        <v>494</v>
      </c>
      <c r="G44" s="1831">
        <f>G41</f>
        <v>13323071</v>
      </c>
    </row>
    <row r="45" spans="1:7" ht="12" customHeight="1" x14ac:dyDescent="0.2">
      <c r="A45" s="988"/>
      <c r="B45" s="162"/>
      <c r="C45" s="162"/>
      <c r="D45" s="1832" t="s">
        <v>1063</v>
      </c>
      <c r="E45" s="1833">
        <f>(E43/E44)</f>
        <v>3.6089387502744333E-2</v>
      </c>
      <c r="F45" s="1832" t="s">
        <v>1063</v>
      </c>
      <c r="G45" s="1833">
        <f>(G43/G44)</f>
        <v>0.10975344948623332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0" sqref="F30"/>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3" t="s">
        <v>1446</v>
      </c>
      <c r="B1" s="2333"/>
      <c r="C1" s="2333"/>
      <c r="D1" s="2333"/>
      <c r="E1" s="2333"/>
      <c r="F1" s="2333"/>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4" t="s">
        <v>1627</v>
      </c>
      <c r="B5" s="2335"/>
      <c r="C5" s="2336"/>
      <c r="D5" s="2336"/>
      <c r="E5" s="2336"/>
      <c r="F5" s="2336"/>
    </row>
    <row r="6" spans="1:10" ht="12" customHeight="1" x14ac:dyDescent="0.25">
      <c r="A6" s="1875"/>
      <c r="B6" s="1876"/>
      <c r="C6" s="2337" t="str">
        <f>COVER!A17</f>
        <v>Kinnikinnick Community Consolidated School District #131</v>
      </c>
      <c r="D6" s="2337"/>
      <c r="E6" s="2337"/>
      <c r="F6" s="1877"/>
    </row>
    <row r="7" spans="1:10" ht="11.25" customHeight="1" thickBot="1" x14ac:dyDescent="0.3">
      <c r="A7" s="1875"/>
      <c r="B7" s="1876"/>
      <c r="C7" s="2338">
        <f>COVER!A13</f>
        <v>4101131004</v>
      </c>
      <c r="D7" s="2338"/>
      <c r="E7" s="2338"/>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2074</v>
      </c>
      <c r="D16" s="1890" t="s">
        <v>2074</v>
      </c>
      <c r="E16" s="1893" t="s">
        <v>2074</v>
      </c>
      <c r="F16" s="1892" t="s">
        <v>2092</v>
      </c>
      <c r="H16" s="1903">
        <f t="shared" si="0"/>
        <v>5</v>
      </c>
      <c r="I16" s="1903">
        <f t="shared" si="1"/>
        <v>5</v>
      </c>
      <c r="J16" s="1903">
        <f t="shared" si="2"/>
        <v>5</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2074</v>
      </c>
      <c r="D19" s="1890" t="s">
        <v>2074</v>
      </c>
      <c r="E19" s="1893" t="s">
        <v>2074</v>
      </c>
      <c r="F19" s="1892" t="s">
        <v>2093</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t="s">
        <v>2074</v>
      </c>
      <c r="D22" s="1890" t="s">
        <v>2074</v>
      </c>
      <c r="E22" s="1893" t="s">
        <v>2074</v>
      </c>
      <c r="F22" s="1892" t="s">
        <v>2094</v>
      </c>
      <c r="H22" s="1903">
        <f t="shared" si="0"/>
        <v>5</v>
      </c>
      <c r="I22" s="1903">
        <f t="shared" si="1"/>
        <v>5</v>
      </c>
      <c r="J22" s="1903">
        <f t="shared" si="2"/>
        <v>5</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2074</v>
      </c>
      <c r="D26" s="1890" t="s">
        <v>2074</v>
      </c>
      <c r="E26" s="1893" t="s">
        <v>2074</v>
      </c>
      <c r="F26" s="1892" t="s">
        <v>2095</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2074</v>
      </c>
      <c r="D30" s="1890" t="s">
        <v>2074</v>
      </c>
      <c r="E30" s="1893" t="s">
        <v>2074</v>
      </c>
      <c r="F30" s="1892" t="s">
        <v>2096</v>
      </c>
      <c r="H30" s="1903">
        <f t="shared" si="0"/>
        <v>5</v>
      </c>
      <c r="I30" s="1903">
        <f t="shared" si="1"/>
        <v>5</v>
      </c>
      <c r="J30" s="1903">
        <f t="shared" si="2"/>
        <v>5</v>
      </c>
    </row>
    <row r="31" spans="1:12" ht="12" customHeight="1" x14ac:dyDescent="0.2">
      <c r="A31" s="1888" t="s">
        <v>1620</v>
      </c>
      <c r="B31" s="1889"/>
      <c r="C31" s="1890"/>
      <c r="D31" s="1890"/>
      <c r="E31" s="1893"/>
      <c r="F31" s="1892" t="s">
        <v>2097</v>
      </c>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25</v>
      </c>
      <c r="I34" s="1903">
        <f>SUM(I11:I32)</f>
        <v>25</v>
      </c>
      <c r="J34" s="1903">
        <f>SUM(J11:J32)</f>
        <v>25</v>
      </c>
      <c r="K34" s="1903">
        <f>SUM(H34:J34)</f>
        <v>75</v>
      </c>
    </row>
    <row r="35" spans="1:11" ht="12" customHeight="1" x14ac:dyDescent="0.2">
      <c r="A35" s="1896" t="s">
        <v>1459</v>
      </c>
      <c r="B35" s="1897"/>
      <c r="C35" s="2339"/>
      <c r="D35" s="2339"/>
      <c r="E35" s="2339"/>
      <c r="F35" s="2340"/>
    </row>
    <row r="36" spans="1:11" ht="12" customHeight="1" x14ac:dyDescent="0.2">
      <c r="A36" s="2332" t="s">
        <v>2098</v>
      </c>
      <c r="B36" s="2322"/>
      <c r="C36" s="2322"/>
      <c r="D36" s="2322"/>
      <c r="E36" s="2322"/>
      <c r="F36" s="2323"/>
    </row>
    <row r="37" spans="1:11" ht="12" customHeight="1" x14ac:dyDescent="0.2">
      <c r="A37" s="2321"/>
      <c r="B37" s="2322"/>
      <c r="C37" s="2322"/>
      <c r="D37" s="2322"/>
      <c r="E37" s="2322"/>
      <c r="F37" s="2323"/>
    </row>
    <row r="38" spans="1:11" ht="12" customHeight="1" x14ac:dyDescent="0.2">
      <c r="A38" s="2324"/>
      <c r="B38" s="2325"/>
      <c r="C38" s="2325"/>
      <c r="D38" s="2325"/>
      <c r="E38" s="2325"/>
      <c r="F38" s="2326"/>
    </row>
    <row r="39" spans="1:11" ht="4.5" hidden="1" customHeight="1" x14ac:dyDescent="0.2">
      <c r="A39" s="1898"/>
      <c r="B39" s="1898"/>
      <c r="C39" s="1898"/>
      <c r="D39" s="1898"/>
      <c r="E39" s="1898"/>
      <c r="F39" s="1898"/>
    </row>
    <row r="40" spans="1:11" s="1895" customFormat="1" ht="12" customHeight="1" x14ac:dyDescent="0.25">
      <c r="A40" s="1899" t="s">
        <v>1458</v>
      </c>
      <c r="B40" s="1900"/>
      <c r="C40" s="2327"/>
      <c r="D40" s="2327"/>
      <c r="E40" s="2327"/>
      <c r="F40" s="2328"/>
      <c r="H40" s="1904"/>
      <c r="I40" s="1904"/>
      <c r="J40" s="1904"/>
      <c r="K40" s="1904"/>
    </row>
    <row r="41" spans="1:11" s="1895" customFormat="1" ht="12" customHeight="1" x14ac:dyDescent="0.25">
      <c r="A41" s="2329" t="s">
        <v>2099</v>
      </c>
      <c r="B41" s="2330"/>
      <c r="C41" s="2330"/>
      <c r="D41" s="2330"/>
      <c r="E41" s="2330"/>
      <c r="F41" s="2331"/>
      <c r="H41" s="1904"/>
      <c r="I41" s="1904"/>
      <c r="J41" s="1904"/>
      <c r="K41" s="1904"/>
    </row>
    <row r="42" spans="1:11" s="1895" customFormat="1" ht="12" customHeight="1" x14ac:dyDescent="0.25">
      <c r="A42" s="2329" t="s">
        <v>2100</v>
      </c>
      <c r="B42" s="2330"/>
      <c r="C42" s="2330"/>
      <c r="D42" s="2330"/>
      <c r="E42" s="2330"/>
      <c r="F42" s="2331"/>
      <c r="H42" s="1904"/>
      <c r="I42" s="1904"/>
      <c r="J42" s="1904"/>
      <c r="K42" s="1904"/>
    </row>
    <row r="43" spans="1:11" s="1895" customFormat="1" ht="15" x14ac:dyDescent="0.25">
      <c r="A43" s="2318" t="s">
        <v>2101</v>
      </c>
      <c r="B43" s="2319"/>
      <c r="C43" s="2319"/>
      <c r="D43" s="2319"/>
      <c r="E43" s="2319"/>
      <c r="F43" s="2320"/>
      <c r="H43" s="1904"/>
      <c r="I43" s="1904"/>
      <c r="J43" s="1904"/>
      <c r="K43" s="1904"/>
    </row>
    <row r="44" spans="1:11" s="1895" customFormat="1" ht="12" hidden="1" customHeight="1" x14ac:dyDescent="0.25">
      <c r="A44" s="2318"/>
      <c r="B44" s="2319"/>
      <c r="C44" s="2319"/>
      <c r="D44" s="2319"/>
      <c r="E44" s="2319"/>
      <c r="F44" s="232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6" t="str">
        <f>COVER!A17</f>
        <v>Kinnikinnick Community Consolidated School District #131</v>
      </c>
      <c r="J6" s="2347"/>
      <c r="Q6" s="1686"/>
    </row>
    <row r="7" spans="1:17" x14ac:dyDescent="0.2">
      <c r="A7" s="2348" t="s">
        <v>924</v>
      </c>
      <c r="B7" s="2349"/>
      <c r="C7" s="2349"/>
      <c r="D7" s="2349"/>
      <c r="E7" s="2350"/>
      <c r="F7" s="1018"/>
      <c r="G7" s="1010"/>
      <c r="H7" s="1017" t="s">
        <v>390</v>
      </c>
      <c r="I7" s="2351">
        <f>COVER!A13</f>
        <v>4101131004</v>
      </c>
      <c r="J7" s="235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2" t="s">
        <v>502</v>
      </c>
      <c r="B11" s="2353"/>
      <c r="C11" s="235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308953</v>
      </c>
      <c r="F12" s="1040"/>
      <c r="G12" s="1834">
        <f t="shared" ref="G12:G18" si="0">SUM(E12:F12)</f>
        <v>308953</v>
      </c>
      <c r="H12" s="1041">
        <v>331200</v>
      </c>
      <c r="I12" s="1040"/>
      <c r="J12" s="1834">
        <f t="shared" ref="J12:J18" si="1">SUM(H12:I12)</f>
        <v>331200</v>
      </c>
    </row>
    <row r="13" spans="1:17" ht="15" customHeight="1" x14ac:dyDescent="0.2">
      <c r="A13" s="1036">
        <v>2</v>
      </c>
      <c r="B13" s="1037" t="s">
        <v>44</v>
      </c>
      <c r="C13" s="1038"/>
      <c r="D13" s="1039">
        <v>2330</v>
      </c>
      <c r="E13" s="1834">
        <f>'Expenditures 15-22'!K51</f>
        <v>126251</v>
      </c>
      <c r="F13" s="1040"/>
      <c r="G13" s="1834">
        <f t="shared" si="0"/>
        <v>126251</v>
      </c>
      <c r="H13" s="1041">
        <v>141178</v>
      </c>
      <c r="I13" s="1040"/>
      <c r="J13" s="1834">
        <f t="shared" si="1"/>
        <v>141178</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262119</v>
      </c>
      <c r="F15" s="1834">
        <f>'Expenditures 15-22'!K122</f>
        <v>0</v>
      </c>
      <c r="G15" s="1834">
        <f t="shared" si="0"/>
        <v>262119</v>
      </c>
      <c r="H15" s="1041">
        <v>241488</v>
      </c>
      <c r="I15" s="1041"/>
      <c r="J15" s="1834">
        <f t="shared" si="1"/>
        <v>241488</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5" t="s">
        <v>7</v>
      </c>
      <c r="C18" s="2356"/>
      <c r="D18" s="235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697323</v>
      </c>
      <c r="F19" s="1836">
        <f t="shared" si="2"/>
        <v>0</v>
      </c>
      <c r="G19" s="1836">
        <f t="shared" si="2"/>
        <v>697323</v>
      </c>
      <c r="H19" s="1836">
        <f t="shared" si="2"/>
        <v>713866</v>
      </c>
      <c r="I19" s="1836">
        <f t="shared" si="2"/>
        <v>0</v>
      </c>
      <c r="J19" s="1836">
        <f t="shared" si="2"/>
        <v>713866</v>
      </c>
    </row>
    <row r="20" spans="1:10" ht="13.5" thickTop="1" x14ac:dyDescent="0.2">
      <c r="A20" s="1036">
        <v>9</v>
      </c>
      <c r="B20" s="2358" t="s">
        <v>1703</v>
      </c>
      <c r="C20" s="2358"/>
      <c r="D20" s="2359"/>
      <c r="E20" s="1047"/>
      <c r="F20" s="1047"/>
      <c r="G20" s="1047"/>
      <c r="H20" s="1047"/>
      <c r="I20" s="1047"/>
      <c r="J20" s="1837">
        <f>IF(AND(G19&gt;0,J19&gt;0),(((J19-G19)/G19)),"Enter Budget Data")</f>
        <v>2.3723582902041091E-2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4"/>
      <c r="D26" s="2364"/>
      <c r="E26" s="1051"/>
      <c r="F26" s="2363"/>
      <c r="G26" s="2363"/>
    </row>
    <row r="27" spans="1:10" x14ac:dyDescent="0.2">
      <c r="B27" s="1048"/>
      <c r="C27" s="1052" t="s">
        <v>1093</v>
      </c>
      <c r="D27" s="1053"/>
      <c r="E27" s="1054"/>
      <c r="F27" s="2360" t="s">
        <v>1589</v>
      </c>
      <c r="G27" s="2360"/>
    </row>
    <row r="28" spans="1:10" ht="28.5" customHeight="1" x14ac:dyDescent="0.2">
      <c r="B28" s="1048"/>
      <c r="C28" s="2362"/>
      <c r="D28" s="2362"/>
      <c r="E28" s="1055"/>
      <c r="F28" s="2362"/>
      <c r="G28" s="2362"/>
    </row>
    <row r="29" spans="1:10" x14ac:dyDescent="0.2">
      <c r="B29" s="1048"/>
      <c r="C29" s="1056" t="s">
        <v>1642</v>
      </c>
      <c r="E29" s="1057"/>
      <c r="F29" s="2361" t="s">
        <v>1590</v>
      </c>
      <c r="G29" s="236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3" t="s">
        <v>134</v>
      </c>
      <c r="D33" s="2344"/>
      <c r="E33" s="2344"/>
      <c r="F33" s="2344"/>
      <c r="G33" s="2344"/>
      <c r="H33" s="2344"/>
      <c r="I33" s="2344"/>
    </row>
    <row r="34" spans="1:10" ht="10.35" customHeight="1" x14ac:dyDescent="0.2">
      <c r="C34" s="2344"/>
      <c r="D34" s="2344"/>
      <c r="E34" s="2344"/>
      <c r="F34" s="2344"/>
      <c r="G34" s="2344"/>
      <c r="H34" s="2344"/>
      <c r="I34" s="2344"/>
    </row>
    <row r="35" spans="1:10" ht="7.5" customHeight="1" x14ac:dyDescent="0.2">
      <c r="C35" s="1063"/>
    </row>
    <row r="36" spans="1:10" ht="13.5" customHeight="1" x14ac:dyDescent="0.2">
      <c r="B36" s="1062"/>
      <c r="C36" s="2345" t="s">
        <v>1941</v>
      </c>
      <c r="D36" s="2344"/>
      <c r="E36" s="2344"/>
      <c r="F36" s="2344"/>
      <c r="G36" s="2344"/>
      <c r="H36" s="2344"/>
      <c r="I36" s="2344"/>
      <c r="J36" s="1064"/>
    </row>
    <row r="37" spans="1:10" ht="22.5" customHeight="1" x14ac:dyDescent="0.2">
      <c r="C37" s="2344"/>
      <c r="D37" s="2344"/>
      <c r="E37" s="2344"/>
      <c r="F37" s="2344"/>
      <c r="G37" s="2344"/>
      <c r="H37" s="2344"/>
      <c r="I37" s="2344"/>
      <c r="J37" s="1064"/>
    </row>
    <row r="38" spans="1:10" ht="7.5" customHeight="1" x14ac:dyDescent="0.2">
      <c r="C38" s="1063"/>
      <c r="D38" s="1065"/>
      <c r="E38" s="1066"/>
      <c r="F38" s="1067"/>
      <c r="G38" s="1066"/>
    </row>
    <row r="39" spans="1:10" ht="13.5" customHeight="1" x14ac:dyDescent="0.2">
      <c r="B39" s="1062"/>
      <c r="C39" s="2341" t="s">
        <v>937</v>
      </c>
      <c r="D39" s="2342"/>
      <c r="E39" s="2342"/>
      <c r="F39" s="2342"/>
      <c r="G39" s="2342"/>
      <c r="H39" s="2342"/>
      <c r="I39" s="234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4"/>
  <sheetViews>
    <sheetView showGridLines="0" topLeftCell="A40" zoomScale="110" zoomScaleNormal="110" workbookViewId="0">
      <selection activeCell="C54" sqref="C54"/>
    </sheetView>
  </sheetViews>
  <sheetFormatPr defaultRowHeight="12.75" x14ac:dyDescent="0.2"/>
  <cols>
    <col min="1" max="1" width="3" style="329" customWidth="1"/>
    <col min="2" max="5" width="11.7109375" style="329" customWidth="1"/>
    <col min="6" max="6" width="38.5703125" style="329" bestFit="1" customWidth="1"/>
    <col min="7" max="8" width="11.7109375" style="329" customWidth="1"/>
    <col min="9" max="16384" width="9.140625" style="329"/>
  </cols>
  <sheetData>
    <row r="2" spans="1:7" x14ac:dyDescent="0.2">
      <c r="A2" s="389" t="s">
        <v>276</v>
      </c>
    </row>
    <row r="3" spans="1:7" x14ac:dyDescent="0.2">
      <c r="A3" s="329" t="s">
        <v>277</v>
      </c>
    </row>
    <row r="5" spans="1:7" x14ac:dyDescent="0.2">
      <c r="A5" s="1069"/>
      <c r="B5" s="1956" t="s">
        <v>2102</v>
      </c>
      <c r="C5" s="1956" t="s">
        <v>2103</v>
      </c>
      <c r="D5" s="1956" t="s">
        <v>2104</v>
      </c>
      <c r="E5" s="1956" t="s">
        <v>2105</v>
      </c>
      <c r="F5" s="1956" t="s">
        <v>502</v>
      </c>
      <c r="G5" s="1956" t="s">
        <v>920</v>
      </c>
    </row>
    <row r="6" spans="1:7" ht="13.5" thickBot="1" x14ac:dyDescent="0.25">
      <c r="A6" s="1069"/>
      <c r="B6" s="1957">
        <v>1790</v>
      </c>
      <c r="C6" s="1957">
        <v>10</v>
      </c>
      <c r="D6" s="1957">
        <v>10</v>
      </c>
      <c r="E6" s="1957">
        <v>81</v>
      </c>
      <c r="F6" s="329" t="s">
        <v>2111</v>
      </c>
      <c r="G6" s="1958">
        <v>2756</v>
      </c>
    </row>
    <row r="7" spans="1:7" ht="13.5" thickTop="1" x14ac:dyDescent="0.2">
      <c r="A7" s="1069"/>
      <c r="B7" s="1957"/>
      <c r="C7" s="1957"/>
      <c r="D7" s="1957"/>
      <c r="E7" s="1957"/>
      <c r="G7" s="1959"/>
    </row>
    <row r="8" spans="1:7" ht="13.5" thickBot="1" x14ac:dyDescent="0.25">
      <c r="A8" s="1069"/>
      <c r="B8" s="1957">
        <v>1993</v>
      </c>
      <c r="C8" s="1957">
        <v>11</v>
      </c>
      <c r="D8" s="1957">
        <v>10</v>
      </c>
      <c r="E8" s="1957">
        <v>106</v>
      </c>
      <c r="F8" s="329" t="s">
        <v>2110</v>
      </c>
      <c r="G8" s="1958">
        <v>440421</v>
      </c>
    </row>
    <row r="9" spans="1:7" ht="13.5" thickTop="1" x14ac:dyDescent="0.2">
      <c r="A9" s="1070"/>
      <c r="B9" s="1957"/>
      <c r="C9" s="1957"/>
      <c r="D9" s="1957"/>
      <c r="E9" s="1957"/>
      <c r="G9" s="1959"/>
    </row>
    <row r="10" spans="1:7" ht="13.5" thickBot="1" x14ac:dyDescent="0.25">
      <c r="A10" s="1070"/>
      <c r="B10" s="1957">
        <v>2190</v>
      </c>
      <c r="C10" s="1957">
        <v>15</v>
      </c>
      <c r="D10" s="1957">
        <v>10</v>
      </c>
      <c r="E10" s="1957">
        <v>41</v>
      </c>
      <c r="F10" s="329" t="s">
        <v>2113</v>
      </c>
      <c r="G10" s="1958">
        <v>60954</v>
      </c>
    </row>
    <row r="11" spans="1:7" ht="13.5" thickTop="1" x14ac:dyDescent="0.2">
      <c r="A11" s="1070"/>
      <c r="B11" s="1957"/>
      <c r="C11" s="1957"/>
      <c r="D11" s="1957"/>
      <c r="E11" s="1957"/>
      <c r="G11" s="1959"/>
    </row>
    <row r="12" spans="1:7" ht="13.5" thickBot="1" x14ac:dyDescent="0.25">
      <c r="A12" s="1070"/>
      <c r="B12" s="1957">
        <v>2900</v>
      </c>
      <c r="C12" s="1957">
        <v>16</v>
      </c>
      <c r="D12" s="1957">
        <v>10</v>
      </c>
      <c r="E12" s="1957">
        <v>73</v>
      </c>
      <c r="F12" s="329" t="s">
        <v>2116</v>
      </c>
      <c r="G12" s="1958">
        <v>445</v>
      </c>
    </row>
    <row r="13" spans="1:7" ht="13.5" thickTop="1" x14ac:dyDescent="0.2">
      <c r="A13" s="1070"/>
      <c r="B13" s="1957"/>
      <c r="C13" s="1957"/>
      <c r="D13" s="1957"/>
      <c r="E13" s="1957"/>
      <c r="G13" s="1959"/>
    </row>
    <row r="14" spans="1:7" ht="13.5" thickBot="1" x14ac:dyDescent="0.25">
      <c r="A14" s="1070"/>
      <c r="B14" s="1957">
        <v>2900</v>
      </c>
      <c r="C14" s="1957">
        <v>18</v>
      </c>
      <c r="D14" s="1957">
        <v>40</v>
      </c>
      <c r="E14" s="1957">
        <v>183</v>
      </c>
      <c r="F14" s="329" t="s">
        <v>2114</v>
      </c>
      <c r="G14" s="1958">
        <v>423</v>
      </c>
    </row>
    <row r="15" spans="1:7" ht="13.5" thickTop="1" x14ac:dyDescent="0.2">
      <c r="A15" s="1070"/>
      <c r="B15" s="1957"/>
      <c r="C15" s="1957"/>
      <c r="D15" s="1957"/>
      <c r="E15" s="1957"/>
      <c r="G15" s="1959"/>
    </row>
    <row r="16" spans="1:7" ht="13.5" thickBot="1" x14ac:dyDescent="0.25">
      <c r="A16" s="1070"/>
      <c r="B16" s="1957">
        <v>5400</v>
      </c>
      <c r="C16" s="1957">
        <v>18</v>
      </c>
      <c r="D16" s="1957">
        <v>30</v>
      </c>
      <c r="E16" s="1957">
        <v>171</v>
      </c>
      <c r="F16" s="329" t="s">
        <v>2112</v>
      </c>
      <c r="G16" s="1958">
        <v>802</v>
      </c>
    </row>
    <row r="17" spans="1:7" ht="13.5" thickTop="1" x14ac:dyDescent="0.2">
      <c r="A17" s="1070"/>
      <c r="B17" s="1957"/>
      <c r="C17" s="1957"/>
      <c r="D17" s="1957"/>
      <c r="E17" s="1957"/>
      <c r="G17" s="1959"/>
    </row>
    <row r="18" spans="1:7" ht="13.5" thickBot="1" x14ac:dyDescent="0.25">
      <c r="A18" s="1070"/>
      <c r="B18" s="1957">
        <v>2190</v>
      </c>
      <c r="C18" s="1957">
        <v>19</v>
      </c>
      <c r="D18" s="1957">
        <v>50</v>
      </c>
      <c r="E18" s="1957">
        <v>237</v>
      </c>
      <c r="F18" s="329" t="s">
        <v>2115</v>
      </c>
      <c r="G18" s="1958">
        <v>4661</v>
      </c>
    </row>
    <row r="19" spans="1:7" ht="13.5" thickTop="1" x14ac:dyDescent="0.2">
      <c r="A19" s="1070"/>
    </row>
    <row r="20" spans="1:7" x14ac:dyDescent="0.2">
      <c r="A20" s="1070"/>
    </row>
    <row r="21" spans="1:7" x14ac:dyDescent="0.2">
      <c r="A21" s="1070"/>
    </row>
    <row r="22" spans="1:7" x14ac:dyDescent="0.2">
      <c r="A22" s="1070"/>
    </row>
    <row r="23" spans="1:7" x14ac:dyDescent="0.2">
      <c r="A23" s="1070"/>
    </row>
    <row r="24" spans="1:7" x14ac:dyDescent="0.2">
      <c r="A24" s="1070"/>
    </row>
    <row r="25" spans="1:7" x14ac:dyDescent="0.2">
      <c r="A25" s="1070"/>
    </row>
    <row r="26" spans="1:7" x14ac:dyDescent="0.2">
      <c r="A26" s="1070"/>
    </row>
    <row r="27" spans="1:7" x14ac:dyDescent="0.2">
      <c r="A27" s="1070"/>
    </row>
    <row r="28" spans="1:7" x14ac:dyDescent="0.2">
      <c r="A28" s="1070"/>
    </row>
    <row r="29" spans="1:7" x14ac:dyDescent="0.2">
      <c r="A29" s="1070"/>
    </row>
    <row r="30" spans="1:7" x14ac:dyDescent="0.2">
      <c r="A30" s="1070"/>
    </row>
    <row r="31" spans="1:7" x14ac:dyDescent="0.2">
      <c r="A31" s="1070"/>
    </row>
    <row r="32" spans="1:7"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Kinnikinnick Community Consolidated School District #131</v>
      </c>
    </row>
    <row r="64" spans="1:2" x14ac:dyDescent="0.2">
      <c r="B64" s="1071">
        <f>COVER!A13</f>
        <v>4101131004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0" zoomScale="110" zoomScaleNormal="110" workbookViewId="0">
      <selection activeCell="E32" sqref="E3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1" t="s">
        <v>1125</v>
      </c>
      <c r="B35" s="2081"/>
      <c r="C35" s="2081"/>
      <c r="D35" s="2081"/>
      <c r="E35" s="208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8" t="s">
        <v>715</v>
      </c>
      <c r="B40" s="2078"/>
      <c r="C40" s="2078"/>
      <c r="D40" s="2078"/>
      <c r="E40" s="2078"/>
    </row>
    <row r="41" spans="1:5" x14ac:dyDescent="0.2">
      <c r="A41" s="2079" t="s">
        <v>1706</v>
      </c>
      <c r="B41" s="2079"/>
      <c r="C41" s="2079"/>
      <c r="D41" s="2079"/>
      <c r="E41" s="2079"/>
    </row>
    <row r="42" spans="1:5" ht="12.75" customHeight="1" x14ac:dyDescent="0.2">
      <c r="A42" s="2080" t="s">
        <v>1080</v>
      </c>
      <c r="B42" s="2080"/>
      <c r="C42" s="2080"/>
      <c r="D42" s="2080"/>
      <c r="E42" s="2080"/>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3" sqref="C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 sqref="B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5" t="s">
        <v>1784</v>
      </c>
      <c r="B18" s="236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6865" r:id="rId4">
          <objectPr defaultSize="0" autoPict="0" r:id="rId5">
            <anchor moveWithCells="1">
              <from>
                <xdr:col>1</xdr:col>
                <xdr:colOff>3705225</xdr:colOff>
                <xdr:row>3</xdr:row>
                <xdr:rowOff>19050</xdr:rowOff>
              </from>
              <to>
                <xdr:col>3</xdr:col>
                <xdr:colOff>28575</xdr:colOff>
                <xdr:row>7</xdr:row>
                <xdr:rowOff>142875</xdr:rowOff>
              </to>
            </anchor>
          </objectPr>
        </oleObject>
      </mc:Choice>
      <mc:Fallback>
        <oleObject progId="PDF"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10" zoomScale="110" zoomScaleNormal="110" workbookViewId="0">
      <selection activeCell="H5" sqref="H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6" t="s">
        <v>1790</v>
      </c>
      <c r="B1" s="2367"/>
      <c r="C1" s="2367"/>
      <c r="D1" s="2367"/>
      <c r="E1" s="2367"/>
      <c r="F1" s="2368"/>
    </row>
    <row r="2" spans="1:8" ht="45" customHeight="1" x14ac:dyDescent="0.2">
      <c r="A2" s="2376" t="s">
        <v>1791</v>
      </c>
      <c r="B2" s="2377"/>
      <c r="C2" s="2377"/>
      <c r="D2" s="2377"/>
      <c r="E2" s="2377"/>
      <c r="F2" s="2378"/>
      <c r="G2" s="1075"/>
      <c r="H2" s="1075"/>
    </row>
    <row r="3" spans="1:8" ht="57" customHeight="1" x14ac:dyDescent="0.2">
      <c r="A3" s="2379" t="s">
        <v>1786</v>
      </c>
      <c r="B3" s="2380"/>
      <c r="C3" s="2380"/>
      <c r="D3" s="2380"/>
      <c r="E3" s="2380"/>
      <c r="F3" s="2381"/>
      <c r="G3" s="1075"/>
      <c r="H3" s="1075"/>
    </row>
    <row r="4" spans="1:8" ht="14.25" customHeight="1" x14ac:dyDescent="0.2">
      <c r="A4" s="2385" t="s">
        <v>2053</v>
      </c>
      <c r="B4" s="2386"/>
      <c r="C4" s="2386"/>
      <c r="D4" s="2386"/>
      <c r="E4" s="2386"/>
      <c r="F4" s="2387"/>
      <c r="G4" s="1075"/>
      <c r="H4" s="1075"/>
    </row>
    <row r="5" spans="1:8" ht="14.25" customHeight="1" x14ac:dyDescent="0.2">
      <c r="A5" s="2388" t="s">
        <v>2054</v>
      </c>
      <c r="B5" s="2389"/>
      <c r="C5" s="2389"/>
      <c r="D5" s="2389"/>
      <c r="E5" s="2389"/>
      <c r="F5" s="2390"/>
      <c r="G5" s="1075"/>
      <c r="H5" s="1075"/>
    </row>
    <row r="6" spans="1:8" s="1076" customFormat="1" ht="41.25" customHeight="1" x14ac:dyDescent="0.2">
      <c r="A6" s="2382" t="s">
        <v>1792</v>
      </c>
      <c r="B6" s="2383"/>
      <c r="C6" s="2383"/>
      <c r="D6" s="2383"/>
      <c r="E6" s="2383"/>
      <c r="F6" s="238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16486850</v>
      </c>
      <c r="C8" s="1838">
        <f>'Acct Summary 7-8'!D8</f>
        <v>1770385</v>
      </c>
      <c r="D8" s="1838">
        <f>'Acct Summary 7-8'!F8</f>
        <v>969115</v>
      </c>
      <c r="E8" s="1838">
        <f>'Acct Summary 7-8'!I8</f>
        <v>15092</v>
      </c>
      <c r="F8" s="1838">
        <f>SUM(B8:E8)</f>
        <v>19241442</v>
      </c>
    </row>
    <row r="9" spans="1:8" s="1080" customFormat="1" ht="14.25" customHeight="1" thickBot="1" x14ac:dyDescent="0.25">
      <c r="A9" s="1079" t="s">
        <v>1436</v>
      </c>
      <c r="B9" s="1839">
        <f>'Acct Summary 7-8'!C17</f>
        <v>14277999</v>
      </c>
      <c r="C9" s="1839">
        <f>'Acct Summary 7-8'!D17</f>
        <v>1524775</v>
      </c>
      <c r="D9" s="1839">
        <f>'Acct Summary 7-8'!F17</f>
        <v>927523</v>
      </c>
      <c r="E9" s="1838"/>
      <c r="F9" s="1838">
        <f>SUM(B9:E9)</f>
        <v>16730297</v>
      </c>
    </row>
    <row r="10" spans="1:8" s="1080" customFormat="1" ht="14.25" thickTop="1" thickBot="1" x14ac:dyDescent="0.25">
      <c r="A10" s="1081" t="s">
        <v>1437</v>
      </c>
      <c r="B10" s="1840">
        <f>(B8-B9)</f>
        <v>2208851</v>
      </c>
      <c r="C10" s="1840">
        <f>(C8-C9)</f>
        <v>245610</v>
      </c>
      <c r="D10" s="1840">
        <f>(D8-D9)</f>
        <v>41592</v>
      </c>
      <c r="E10" s="1839">
        <f>(E8-E9)</f>
        <v>15092</v>
      </c>
      <c r="F10" s="1841">
        <f>SUM(F8-F9)</f>
        <v>2511145</v>
      </c>
    </row>
    <row r="11" spans="1:8" s="1080" customFormat="1" ht="14.25" thickTop="1" thickBot="1" x14ac:dyDescent="0.25">
      <c r="A11" s="1082" t="s">
        <v>1785</v>
      </c>
      <c r="B11" s="1842">
        <f>'Acct Summary 7-8'!C81</f>
        <v>11185792</v>
      </c>
      <c r="C11" s="1842">
        <f>'Acct Summary 7-8'!D81</f>
        <v>2501385</v>
      </c>
      <c r="D11" s="1842">
        <f>'Acct Summary 7-8'!F81</f>
        <v>804887</v>
      </c>
      <c r="E11" s="1842">
        <f>'Acct Summary 7-8'!I81</f>
        <v>1122362</v>
      </c>
      <c r="F11" s="1843">
        <f>SUM(B11:E11)</f>
        <v>15614426</v>
      </c>
    </row>
    <row r="12" spans="1:8" ht="16.5" customHeight="1" thickTop="1" x14ac:dyDescent="0.2">
      <c r="A12" s="1083"/>
      <c r="B12" s="1084"/>
      <c r="C12" s="2370" t="str">
        <f>IF(AND(F10&lt;0,F11&gt;=0,ABS(F10*3)&gt;ABS(F11)),A16,IF(AND(F10&lt;0,F11&gt;0,ABS(F10*3)&lt;=ABS(F11)),A17,IF(AND(F10&lt;0,F11&lt;0),A16,IF(F11=0,A19,A18))))</f>
        <v>Balanced - no deficit reduction plan is required.</v>
      </c>
      <c r="D12" s="2371"/>
      <c r="E12" s="2371"/>
      <c r="F12" s="2372"/>
    </row>
    <row r="13" spans="1:8" ht="19.5" customHeight="1" x14ac:dyDescent="0.2">
      <c r="A13" s="1085"/>
      <c r="B13" s="1086"/>
      <c r="C13" s="2370"/>
      <c r="D13" s="2371"/>
      <c r="E13" s="2371"/>
      <c r="F13" s="2372"/>
      <c r="H13" s="1075"/>
    </row>
    <row r="14" spans="1:8" ht="19.5" customHeight="1" x14ac:dyDescent="0.2">
      <c r="A14" s="1085"/>
      <c r="B14" s="1086"/>
      <c r="C14" s="2370"/>
      <c r="D14" s="2371"/>
      <c r="E14" s="2371"/>
      <c r="F14" s="2372"/>
      <c r="H14" s="1075"/>
    </row>
    <row r="15" spans="1:8" ht="17.25" customHeight="1" x14ac:dyDescent="0.2">
      <c r="A15" s="1085"/>
      <c r="B15" s="1086"/>
      <c r="C15" s="2373"/>
      <c r="D15" s="2374"/>
      <c r="E15" s="2374"/>
      <c r="F15" s="2375"/>
      <c r="H15" s="1075"/>
    </row>
    <row r="16" spans="1:8" s="310" customFormat="1" ht="51.75" hidden="1" customHeight="1" x14ac:dyDescent="0.2">
      <c r="A16" s="2369" t="s">
        <v>1787</v>
      </c>
      <c r="B16" s="2369"/>
      <c r="C16" s="2369"/>
      <c r="D16" s="2369"/>
      <c r="E16" s="236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8" colorId="8" zoomScale="110" zoomScaleNormal="110" workbookViewId="0">
      <selection activeCell="D77" sqref="D77"/>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91" t="s">
        <v>686</v>
      </c>
      <c r="B3" s="2392"/>
      <c r="C3" s="2392"/>
      <c r="D3" s="2393"/>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2" t="s">
        <v>1584</v>
      </c>
      <c r="D7" s="2403"/>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4" t="s">
        <v>1065</v>
      </c>
      <c r="B15" s="2395"/>
      <c r="C15" s="2395"/>
      <c r="D15" s="2396"/>
    </row>
    <row r="16" spans="1:4" s="669" customFormat="1" ht="24" customHeight="1" x14ac:dyDescent="0.2">
      <c r="A16" s="2397" t="s">
        <v>684</v>
      </c>
      <c r="B16" s="2398"/>
      <c r="C16" s="2398"/>
      <c r="D16" s="239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6" t="s">
        <v>332</v>
      </c>
      <c r="D21" s="2407"/>
    </row>
    <row r="22" spans="1:10" ht="12.75" x14ac:dyDescent="0.2">
      <c r="A22" s="1140"/>
      <c r="B22" s="1141">
        <v>2</v>
      </c>
      <c r="C22" s="2404" t="s">
        <v>1605</v>
      </c>
      <c r="D22" s="240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8" t="s">
        <v>557</v>
      </c>
      <c r="D43" s="240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0" t="s">
        <v>817</v>
      </c>
      <c r="D56" s="240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400" t="s">
        <v>1797</v>
      </c>
      <c r="D70" s="240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4101131004</v>
      </c>
    </row>
    <row r="3" spans="1:2" x14ac:dyDescent="0.2">
      <c r="A3" t="s">
        <v>1013</v>
      </c>
      <c r="B3" s="138" t="str">
        <f>COVER!A15</f>
        <v>Winnebago</v>
      </c>
    </row>
    <row r="4" spans="1:2" x14ac:dyDescent="0.2">
      <c r="A4" t="s">
        <v>1064</v>
      </c>
      <c r="B4" s="138" t="str">
        <f>COVER!A17</f>
        <v>Kinnikinnick Community Consolidated School District #131</v>
      </c>
    </row>
    <row r="5" spans="1:2" x14ac:dyDescent="0.2">
      <c r="A5" t="s">
        <v>728</v>
      </c>
      <c r="B5" s="138" t="str">
        <f>COVER!A38</f>
        <v xml:space="preserve">Ms. Keli Freedlund </v>
      </c>
    </row>
    <row r="6" spans="1:2" x14ac:dyDescent="0.2">
      <c r="A6" t="s">
        <v>733</v>
      </c>
      <c r="B6" s="138">
        <f>COVER!P35</f>
        <v>0</v>
      </c>
    </row>
    <row r="7" spans="1:2" x14ac:dyDescent="0.2">
      <c r="A7" t="s">
        <v>729</v>
      </c>
      <c r="B7" s="138">
        <f>COVER!I38</f>
        <v>0</v>
      </c>
    </row>
    <row r="8" spans="1:2" x14ac:dyDescent="0.2">
      <c r="A8" t="s">
        <v>730</v>
      </c>
      <c r="B8" s="138" t="str">
        <f>COVER!T38</f>
        <v>Lori Fanello</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066-004238</v>
      </c>
    </row>
    <row r="16" spans="1:2" x14ac:dyDescent="0.2">
      <c r="A16" t="s">
        <v>442</v>
      </c>
      <c r="B16" s="138" t="str">
        <f>COVER!T13</f>
        <v xml:space="preserve">Benning Group, LLC </v>
      </c>
    </row>
    <row r="17" spans="1:2" x14ac:dyDescent="0.2">
      <c r="A17" t="s">
        <v>939</v>
      </c>
      <c r="B17" s="138" t="str">
        <f>COVER!T15</f>
        <v>Jenny L. Blocker</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35612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11110148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11185756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-36</v>
      </c>
      <c r="C91" s="2" t="s">
        <v>594</v>
      </c>
      <c r="D91" s="2" t="str">
        <f t="shared" si="0"/>
        <v>Error?</v>
      </c>
    </row>
    <row r="92" spans="1:4" x14ac:dyDescent="0.2">
      <c r="A92" s="5">
        <v>31</v>
      </c>
      <c r="B92" s="138">
        <f>'Assets-Liab 5-6'!C39</f>
        <v>11102720</v>
      </c>
      <c r="D92" s="2" t="str">
        <f t="shared" si="0"/>
        <v>Error?</v>
      </c>
    </row>
    <row r="93" spans="1:4" x14ac:dyDescent="0.2">
      <c r="A93" s="5">
        <v>32</v>
      </c>
      <c r="B93" s="138">
        <f>'Assets-Liab 5-6'!C41</f>
        <v>11185756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2415722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2501385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2501385</v>
      </c>
      <c r="D123" s="2" t="str">
        <f t="shared" si="0"/>
        <v>Error?</v>
      </c>
    </row>
    <row r="124" spans="1:4" x14ac:dyDescent="0.2">
      <c r="A124" s="5">
        <v>63</v>
      </c>
      <c r="B124" s="138">
        <f>'Assets-Liab 5-6'!D41</f>
        <v>2501385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747366</v>
      </c>
      <c r="D129" s="2" t="str">
        <f t="shared" si="1"/>
        <v>Error?</v>
      </c>
    </row>
    <row r="130" spans="1:4" x14ac:dyDescent="0.2">
      <c r="A130" s="5">
        <v>69</v>
      </c>
      <c r="B130" s="138">
        <f>'Assets-Liab 5-6'!E12</f>
        <v>0</v>
      </c>
      <c r="D130" s="2" t="str">
        <f t="shared" si="1"/>
        <v>Error?</v>
      </c>
    </row>
    <row r="131" spans="1:4" x14ac:dyDescent="0.2">
      <c r="A131" s="5">
        <v>70</v>
      </c>
      <c r="B131" s="138">
        <f>'Assets-Liab 5-6'!E13</f>
        <v>897763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897763</v>
      </c>
      <c r="D140" s="2" t="str">
        <f t="shared" si="1"/>
        <v>Error?</v>
      </c>
    </row>
    <row r="141" spans="1:4" x14ac:dyDescent="0.2">
      <c r="A141" s="5">
        <v>80</v>
      </c>
      <c r="B141" s="138">
        <f>'Assets-Liab 5-6'!E41</f>
        <v>897763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653640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804887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804887</v>
      </c>
      <c r="D170" s="2" t="str">
        <f t="shared" si="1"/>
        <v>Error?</v>
      </c>
    </row>
    <row r="171" spans="1:4" x14ac:dyDescent="0.2">
      <c r="A171" s="5">
        <v>110</v>
      </c>
      <c r="B171" s="138">
        <f>'Assets-Liab 5-6'!F41</f>
        <v>804887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788017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802639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427360</v>
      </c>
      <c r="D189" s="2" t="str">
        <f t="shared" si="1"/>
        <v>Error?</v>
      </c>
    </row>
    <row r="190" spans="1:4" x14ac:dyDescent="0.2">
      <c r="A190" s="5">
        <v>129</v>
      </c>
      <c r="B190" s="138">
        <f>'Assets-Liab 5-6'!G41</f>
        <v>802639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1146728</v>
      </c>
      <c r="D273" s="2" t="str">
        <f t="shared" si="3"/>
        <v>Error?</v>
      </c>
    </row>
    <row r="274" spans="1:4" x14ac:dyDescent="0.2">
      <c r="A274" s="5">
        <v>213</v>
      </c>
      <c r="B274" s="138">
        <f>'Assets-Liab 5-6'!M17</f>
        <v>25125406</v>
      </c>
      <c r="D274" s="2" t="str">
        <f t="shared" si="3"/>
        <v>Error?</v>
      </c>
    </row>
    <row r="275" spans="1:4" x14ac:dyDescent="0.2">
      <c r="A275" s="5">
        <v>214</v>
      </c>
      <c r="B275" s="138">
        <f>'Assets-Liab 5-6'!M18</f>
        <v>2247490</v>
      </c>
      <c r="D275" s="2" t="str">
        <f t="shared" si="3"/>
        <v>Error?</v>
      </c>
    </row>
    <row r="276" spans="1:4" x14ac:dyDescent="0.2">
      <c r="A276" s="5">
        <v>215</v>
      </c>
      <c r="B276" s="138">
        <f>'Assets-Liab 5-6'!M19</f>
        <v>3843975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32363599</v>
      </c>
      <c r="C279" s="2" t="s">
        <v>594</v>
      </c>
      <c r="D279" s="2" t="str">
        <f t="shared" si="3"/>
        <v>Error?</v>
      </c>
    </row>
    <row r="280" spans="1:4" x14ac:dyDescent="0.2">
      <c r="A280" s="5">
        <v>219</v>
      </c>
      <c r="B280" s="138">
        <f>'Assets-Liab 5-6'!M40</f>
        <v>32363599</v>
      </c>
      <c r="D280" s="2" t="str">
        <f t="shared" si="3"/>
        <v>Error?</v>
      </c>
    </row>
    <row r="281" spans="1:4" x14ac:dyDescent="0.2">
      <c r="A281" s="5">
        <v>220</v>
      </c>
      <c r="B281" s="138">
        <f>'Assets-Liab 5-6'!M41</f>
        <v>32363599</v>
      </c>
      <c r="C281" s="2" t="s">
        <v>594</v>
      </c>
      <c r="D281" s="2" t="str">
        <f t="shared" si="3"/>
        <v>Error?</v>
      </c>
    </row>
    <row r="282" spans="1:4" x14ac:dyDescent="0.2">
      <c r="A282" s="5">
        <v>221</v>
      </c>
      <c r="B282" s="138">
        <f>'Assets-Liab 5-6'!N21</f>
        <v>897763</v>
      </c>
      <c r="D282" s="2" t="str">
        <f t="shared" si="3"/>
        <v>Error?</v>
      </c>
    </row>
    <row r="283" spans="1:4" x14ac:dyDescent="0.2">
      <c r="A283" s="5">
        <v>222</v>
      </c>
      <c r="B283" s="138">
        <f>'Assets-Liab 5-6'!N22</f>
        <v>2607237</v>
      </c>
      <c r="D283" s="2" t="str">
        <f t="shared" si="3"/>
        <v>Error?</v>
      </c>
    </row>
    <row r="284" spans="1:4" x14ac:dyDescent="0.2">
      <c r="A284" s="5">
        <v>223</v>
      </c>
      <c r="B284" s="138">
        <f>'Assets-Liab 5-6'!N23</f>
        <v>3505000</v>
      </c>
      <c r="C284" s="2" t="s">
        <v>594</v>
      </c>
      <c r="D284" s="2" t="str">
        <f t="shared" si="3"/>
        <v>Error?</v>
      </c>
    </row>
    <row r="285" spans="1:4" x14ac:dyDescent="0.2">
      <c r="A285" s="5">
        <v>224</v>
      </c>
      <c r="B285" s="138">
        <f>'Assets-Liab 5-6'!N36</f>
        <v>3505000</v>
      </c>
      <c r="D285" s="2" t="str">
        <f t="shared" si="3"/>
        <v>Error?</v>
      </c>
    </row>
    <row r="286" spans="1:4" x14ac:dyDescent="0.2">
      <c r="A286" s="10">
        <v>225</v>
      </c>
      <c r="D286" s="2" t="str">
        <f t="shared" si="3"/>
        <v>OK</v>
      </c>
    </row>
    <row r="287" spans="1:4" x14ac:dyDescent="0.2">
      <c r="A287" s="5">
        <v>226</v>
      </c>
      <c r="B287" s="138">
        <f>'Assets-Liab 5-6'!N37</f>
        <v>3505000</v>
      </c>
      <c r="C287" s="2" t="s">
        <v>594</v>
      </c>
      <c r="D287" s="2" t="str">
        <f t="shared" si="3"/>
        <v>Error?</v>
      </c>
    </row>
    <row r="288" spans="1:4" x14ac:dyDescent="0.2">
      <c r="A288" s="5">
        <v>227</v>
      </c>
      <c r="B288" s="138">
        <f>'Assets-Liab 5-6'!N41</f>
        <v>3505000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5860052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5350</v>
      </c>
      <c r="D719" s="2" t="str">
        <f t="shared" si="10"/>
        <v>Error?</v>
      </c>
    </row>
    <row r="720" spans="1:4" x14ac:dyDescent="0.2">
      <c r="A720" s="5">
        <v>659</v>
      </c>
      <c r="B720" s="138">
        <f>'Expenditures 15-22'!C33</f>
        <v>7639021</v>
      </c>
      <c r="C720" s="2" t="s">
        <v>594</v>
      </c>
      <c r="D720" s="2" t="str">
        <f t="shared" si="10"/>
        <v>Error?</v>
      </c>
    </row>
    <row r="721" spans="1:4" x14ac:dyDescent="0.2">
      <c r="A721" s="5">
        <v>660</v>
      </c>
      <c r="B721" s="138">
        <f>'Expenditures 15-22'!C36</f>
        <v>215447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130990</v>
      </c>
      <c r="D723" s="2" t="str">
        <f t="shared" si="10"/>
        <v>Error?</v>
      </c>
    </row>
    <row r="724" spans="1:4" x14ac:dyDescent="0.2">
      <c r="A724" s="5">
        <v>663</v>
      </c>
      <c r="B724" s="138">
        <f>'Expenditures 15-22'!C39</f>
        <v>152703</v>
      </c>
      <c r="D724" s="2" t="str">
        <f t="shared" si="10"/>
        <v>Error?</v>
      </c>
    </row>
    <row r="725" spans="1:4" x14ac:dyDescent="0.2">
      <c r="A725" s="5">
        <v>664</v>
      </c>
      <c r="B725" s="138">
        <f>'Expenditures 15-22'!C40</f>
        <v>356736</v>
      </c>
      <c r="D725" s="2" t="str">
        <f t="shared" si="10"/>
        <v>Error?</v>
      </c>
    </row>
    <row r="726" spans="1:4" x14ac:dyDescent="0.2">
      <c r="A726" s="5">
        <v>665</v>
      </c>
      <c r="B726" s="138">
        <f>'Expenditures 15-22'!C41</f>
        <v>60954</v>
      </c>
      <c r="D726" s="2" t="str">
        <f t="shared" si="10"/>
        <v>Error?</v>
      </c>
    </row>
    <row r="727" spans="1:4" x14ac:dyDescent="0.2">
      <c r="A727" s="5">
        <v>666</v>
      </c>
      <c r="B727" s="138">
        <f>'Expenditures 15-22'!C42</f>
        <v>916830</v>
      </c>
      <c r="C727" s="2" t="s">
        <v>594</v>
      </c>
      <c r="D727" s="2" t="str">
        <f t="shared" si="10"/>
        <v>Error?</v>
      </c>
    </row>
    <row r="728" spans="1:4" x14ac:dyDescent="0.2">
      <c r="A728" s="5">
        <v>667</v>
      </c>
      <c r="B728" s="138">
        <f>'Expenditures 15-22'!C44</f>
        <v>92862</v>
      </c>
      <c r="D728" s="2" t="str">
        <f t="shared" si="10"/>
        <v>Error?</v>
      </c>
    </row>
    <row r="729" spans="1:4" x14ac:dyDescent="0.2">
      <c r="A729" s="5">
        <v>668</v>
      </c>
      <c r="B729" s="138">
        <f>'Expenditures 15-22'!C45</f>
        <v>37917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130779</v>
      </c>
      <c r="C731" s="2" t="s">
        <v>594</v>
      </c>
      <c r="D731" s="2" t="str">
        <f t="shared" si="10"/>
        <v>Error?</v>
      </c>
    </row>
    <row r="732" spans="1:4" x14ac:dyDescent="0.2">
      <c r="A732" s="5">
        <v>671</v>
      </c>
      <c r="B732" s="138">
        <f>'Expenditures 15-22'!C49</f>
        <v>2400</v>
      </c>
      <c r="D732" s="2" t="str">
        <f t="shared" si="10"/>
        <v>Error?</v>
      </c>
    </row>
    <row r="733" spans="1:4" x14ac:dyDescent="0.2">
      <c r="A733" s="5">
        <v>672</v>
      </c>
      <c r="B733" s="138">
        <f>'Expenditures 15-22'!C50</f>
        <v>199912</v>
      </c>
      <c r="D733" s="2" t="str">
        <f t="shared" si="10"/>
        <v>Error?</v>
      </c>
    </row>
    <row r="734" spans="1:4" x14ac:dyDescent="0.2">
      <c r="A734" s="5">
        <v>673</v>
      </c>
      <c r="B734" s="138">
        <f>'Expenditures 15-22'!C53</f>
        <v>284461</v>
      </c>
      <c r="C734" s="2" t="s">
        <v>594</v>
      </c>
      <c r="D734" s="2" t="str">
        <f t="shared" si="10"/>
        <v>Error?</v>
      </c>
    </row>
    <row r="735" spans="1:4" x14ac:dyDescent="0.2">
      <c r="A735" s="5">
        <v>674</v>
      </c>
      <c r="B735" s="138">
        <f>'Expenditures 15-22'!C55</f>
        <v>591992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591992</v>
      </c>
      <c r="C737" s="2" t="s">
        <v>594</v>
      </c>
      <c r="D737" s="2" t="str">
        <f t="shared" si="10"/>
        <v>Error?</v>
      </c>
    </row>
    <row r="738" spans="1:4" x14ac:dyDescent="0.2">
      <c r="A738" s="5">
        <v>677</v>
      </c>
      <c r="B738" s="138">
        <f>'Expenditures 15-22'!C59</f>
        <v>113874</v>
      </c>
      <c r="D738" s="2" t="str">
        <f t="shared" si="10"/>
        <v>Error?</v>
      </c>
    </row>
    <row r="739" spans="1:4" x14ac:dyDescent="0.2">
      <c r="A739" s="5">
        <v>678</v>
      </c>
      <c r="B739" s="138">
        <f>'Expenditures 15-22'!C60</f>
        <v>33738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199118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346730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153278</v>
      </c>
      <c r="D751" s="2" t="str">
        <f t="shared" si="10"/>
        <v>Error?</v>
      </c>
    </row>
    <row r="752" spans="1:4" x14ac:dyDescent="0.2">
      <c r="A752" s="10">
        <v>691</v>
      </c>
      <c r="D752" s="2" t="str">
        <f t="shared" si="10"/>
        <v>OK</v>
      </c>
    </row>
    <row r="753" spans="1:4" x14ac:dyDescent="0.2">
      <c r="A753" s="5">
        <v>692</v>
      </c>
      <c r="B753" s="138">
        <f>'Expenditures 15-22'!C72</f>
        <v>153278</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2424070</v>
      </c>
      <c r="C755" s="2" t="s">
        <v>594</v>
      </c>
      <c r="D755" s="2" t="str">
        <f t="shared" si="10"/>
        <v>Error?</v>
      </c>
    </row>
    <row r="756" spans="1:4" x14ac:dyDescent="0.2">
      <c r="A756" s="5">
        <v>695</v>
      </c>
      <c r="B756" s="138">
        <f>'Expenditures 15-22'!C75</f>
        <v>87120</v>
      </c>
      <c r="D756" s="2" t="str">
        <f t="shared" si="10"/>
        <v>Error?</v>
      </c>
    </row>
    <row r="757" spans="1:4" x14ac:dyDescent="0.2">
      <c r="A757" s="5">
        <v>696</v>
      </c>
      <c r="B757" s="138">
        <f>'Expenditures 15-22'!C114</f>
        <v>10150211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929334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1182443</v>
      </c>
      <c r="C778" s="2" t="s">
        <v>594</v>
      </c>
      <c r="D778" s="2" t="str">
        <f t="shared" si="11"/>
        <v>Error?</v>
      </c>
    </row>
    <row r="779" spans="1:4" x14ac:dyDescent="0.2">
      <c r="A779" s="5">
        <v>718</v>
      </c>
      <c r="B779" s="138">
        <f>'Expenditures 15-22'!D36</f>
        <v>33804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9876</v>
      </c>
      <c r="D781" s="2" t="str">
        <f t="shared" si="11"/>
        <v>Error?</v>
      </c>
    </row>
    <row r="782" spans="1:4" x14ac:dyDescent="0.2">
      <c r="A782" s="5">
        <v>721</v>
      </c>
      <c r="B782" s="138">
        <f>'Expenditures 15-22'!D39</f>
        <v>20548</v>
      </c>
      <c r="D782" s="2" t="str">
        <f t="shared" si="11"/>
        <v>Error?</v>
      </c>
    </row>
    <row r="783" spans="1:4" x14ac:dyDescent="0.2">
      <c r="A783" s="5">
        <v>722</v>
      </c>
      <c r="B783" s="138">
        <f>'Expenditures 15-22'!D40</f>
        <v>54232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118460</v>
      </c>
      <c r="C785" s="2" t="s">
        <v>594</v>
      </c>
      <c r="D785" s="2" t="str">
        <f t="shared" si="11"/>
        <v>Error?</v>
      </c>
    </row>
    <row r="786" spans="1:4" x14ac:dyDescent="0.2">
      <c r="A786" s="5">
        <v>725</v>
      </c>
      <c r="B786" s="138">
        <f>'Expenditures 15-22'!D44</f>
        <v>35151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35151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55031</v>
      </c>
      <c r="D791" s="2" t="str">
        <f t="shared" si="11"/>
        <v>Error?</v>
      </c>
    </row>
    <row r="792" spans="1:4" x14ac:dyDescent="0.2">
      <c r="A792" s="5">
        <v>731</v>
      </c>
      <c r="B792" s="138">
        <f>'Expenditures 15-22'!D53</f>
        <v>92313</v>
      </c>
      <c r="C792" s="2" t="s">
        <v>594</v>
      </c>
      <c r="D792" s="2" t="str">
        <f t="shared" si="11"/>
        <v>Error?</v>
      </c>
    </row>
    <row r="793" spans="1:4" x14ac:dyDescent="0.2">
      <c r="A793" s="5">
        <v>732</v>
      </c>
      <c r="B793" s="138">
        <f>'Expenditures 15-22'!D55</f>
        <v>234108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234108</v>
      </c>
      <c r="C795" s="2" t="s">
        <v>594</v>
      </c>
      <c r="D795" s="2" t="str">
        <f t="shared" si="11"/>
        <v>Error?</v>
      </c>
    </row>
    <row r="796" spans="1:4" x14ac:dyDescent="0.2">
      <c r="A796" s="5">
        <v>735</v>
      </c>
      <c r="B796" s="138">
        <f>'Expenditures 15-22'!D59</f>
        <v>40787</v>
      </c>
      <c r="D796" s="2" t="str">
        <f t="shared" si="11"/>
        <v>Error?</v>
      </c>
    </row>
    <row r="797" spans="1:4" x14ac:dyDescent="0.2">
      <c r="A797" s="5">
        <v>736</v>
      </c>
      <c r="B797" s="138">
        <f>'Expenditures 15-22'!D60</f>
        <v>9428</v>
      </c>
      <c r="D797" s="2" t="str">
        <f t="shared" si="11"/>
        <v>Error?</v>
      </c>
    </row>
    <row r="798" spans="1:4" x14ac:dyDescent="0.2">
      <c r="A798" s="5">
        <v>737</v>
      </c>
      <c r="B798" s="138">
        <f>'Expenditures 15-22'!D61</f>
        <v>57314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27914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135443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28491</v>
      </c>
      <c r="D809" s="2" t="str">
        <f t="shared" si="11"/>
        <v>Error?</v>
      </c>
    </row>
    <row r="810" spans="1:4" x14ac:dyDescent="0.2">
      <c r="A810" s="10">
        <v>749</v>
      </c>
      <c r="D810" s="2" t="str">
        <f t="shared" si="11"/>
        <v>OK</v>
      </c>
    </row>
    <row r="811" spans="1:4" x14ac:dyDescent="0.2">
      <c r="A811" s="5">
        <v>750</v>
      </c>
      <c r="B811" s="138">
        <f>'Expenditures 15-22'!D72</f>
        <v>28491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643966</v>
      </c>
      <c r="C813" s="2" t="s">
        <v>594</v>
      </c>
      <c r="D813" s="2" t="str">
        <f t="shared" si="11"/>
        <v>Error?</v>
      </c>
    </row>
    <row r="814" spans="1:4" x14ac:dyDescent="0.2">
      <c r="A814" s="5">
        <v>753</v>
      </c>
      <c r="B814" s="138">
        <f>'Expenditures 15-22'!D75</f>
        <v>9463</v>
      </c>
      <c r="D814" s="2" t="str">
        <f t="shared" si="11"/>
        <v>Error?</v>
      </c>
    </row>
    <row r="815" spans="1:4" x14ac:dyDescent="0.2">
      <c r="A815" s="5">
        <v>754</v>
      </c>
      <c r="B815" s="138">
        <f>'Expenditures 15-22'!D114</f>
        <v>1835872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182124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6013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273146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726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726</v>
      </c>
      <c r="C843" s="2" t="s">
        <v>594</v>
      </c>
      <c r="D843" s="2" t="str">
        <f t="shared" si="12"/>
        <v>Error?</v>
      </c>
    </row>
    <row r="844" spans="1:4" x14ac:dyDescent="0.2">
      <c r="A844" s="5">
        <v>783</v>
      </c>
      <c r="B844" s="138">
        <f>'Expenditures 15-22'!E44</f>
        <v>26646</v>
      </c>
      <c r="D844" s="2" t="str">
        <f t="shared" si="12"/>
        <v>Error?</v>
      </c>
    </row>
    <row r="845" spans="1:4" x14ac:dyDescent="0.2">
      <c r="A845" s="5">
        <v>784</v>
      </c>
      <c r="B845" s="138">
        <f>'Expenditures 15-22'!E45</f>
        <v>4115</v>
      </c>
      <c r="D845" s="2" t="str">
        <f t="shared" si="12"/>
        <v>Error?</v>
      </c>
    </row>
    <row r="846" spans="1:4" x14ac:dyDescent="0.2">
      <c r="A846" s="5">
        <v>785</v>
      </c>
      <c r="B846" s="138">
        <f>'Expenditures 15-22'!E46</f>
        <v>19271</v>
      </c>
      <c r="D846" s="2" t="str">
        <f t="shared" si="12"/>
        <v>Error?</v>
      </c>
    </row>
    <row r="847" spans="1:4" x14ac:dyDescent="0.2">
      <c r="A847" s="5">
        <v>786</v>
      </c>
      <c r="B847" s="138">
        <f>'Expenditures 15-22'!E47</f>
        <v>50032</v>
      </c>
      <c r="C847" s="2" t="s">
        <v>594</v>
      </c>
      <c r="D847" s="2" t="str">
        <f t="shared" si="12"/>
        <v>Error?</v>
      </c>
    </row>
    <row r="848" spans="1:4" x14ac:dyDescent="0.2">
      <c r="A848" s="5">
        <v>787</v>
      </c>
      <c r="B848" s="138">
        <f>'Expenditures 15-22'!E49</f>
        <v>290831</v>
      </c>
      <c r="D848" s="2" t="str">
        <f t="shared" si="12"/>
        <v>Error?</v>
      </c>
    </row>
    <row r="849" spans="1:4" x14ac:dyDescent="0.2">
      <c r="A849" s="5">
        <v>788</v>
      </c>
      <c r="B849" s="138">
        <f>'Expenditures 15-22'!E50</f>
        <v>39833</v>
      </c>
      <c r="D849" s="2" t="str">
        <f t="shared" si="12"/>
        <v>Error?</v>
      </c>
    </row>
    <row r="850" spans="1:4" x14ac:dyDescent="0.2">
      <c r="A850" s="5">
        <v>789</v>
      </c>
      <c r="B850" s="138">
        <f>'Expenditures 15-22'!E53</f>
        <v>331164</v>
      </c>
      <c r="C850" s="2" t="s">
        <v>594</v>
      </c>
      <c r="D850" s="2" t="str">
        <f t="shared" si="12"/>
        <v>Error?</v>
      </c>
    </row>
    <row r="851" spans="1:4" x14ac:dyDescent="0.2">
      <c r="A851" s="5">
        <v>790</v>
      </c>
      <c r="B851" s="138">
        <f>'Expenditures 15-22'!E55</f>
        <v>135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135</v>
      </c>
      <c r="C853" s="2" t="s">
        <v>594</v>
      </c>
      <c r="D853" s="2" t="str">
        <f t="shared" si="12"/>
        <v>Error?</v>
      </c>
    </row>
    <row r="854" spans="1:4" x14ac:dyDescent="0.2">
      <c r="A854" s="5">
        <v>793</v>
      </c>
      <c r="B854" s="138">
        <f>'Expenditures 15-22'!E59</f>
        <v>74567</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6182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80749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5690</v>
      </c>
      <c r="D867" s="2" t="str">
        <f t="shared" si="12"/>
        <v>Error?</v>
      </c>
    </row>
    <row r="868" spans="1:4" x14ac:dyDescent="0.2">
      <c r="A868" s="10">
        <v>807</v>
      </c>
      <c r="D868" s="2" t="str">
        <f t="shared" si="12"/>
        <v>OK</v>
      </c>
    </row>
    <row r="869" spans="1:4" x14ac:dyDescent="0.2">
      <c r="A869" s="5">
        <v>808</v>
      </c>
      <c r="B869" s="138">
        <f>'Expenditures 15-22'!E72</f>
        <v>5690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468496</v>
      </c>
      <c r="C871" s="2" t="s">
        <v>594</v>
      </c>
      <c r="D871" s="2" t="str">
        <f t="shared" si="12"/>
        <v>Error?</v>
      </c>
    </row>
    <row r="872" spans="1:4" x14ac:dyDescent="0.2">
      <c r="A872" s="5">
        <v>811</v>
      </c>
      <c r="B872" s="138">
        <f>'Expenditures 15-22'!E75</f>
        <v>665</v>
      </c>
      <c r="D872" s="2" t="str">
        <f t="shared" si="12"/>
        <v>Error?</v>
      </c>
    </row>
    <row r="873" spans="1:4" x14ac:dyDescent="0.2">
      <c r="A873" s="5">
        <v>812</v>
      </c>
      <c r="B873" s="138">
        <f>'Expenditures 15-22'!E114</f>
        <v>1212459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516408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2472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585269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3871</v>
      </c>
      <c r="D897" s="2" t="str">
        <f t="shared" si="13"/>
        <v>Error?</v>
      </c>
    </row>
    <row r="898" spans="1:4" x14ac:dyDescent="0.2">
      <c r="A898" s="5">
        <v>837</v>
      </c>
      <c r="B898" s="138">
        <f>'Expenditures 15-22'!F39</f>
        <v>135</v>
      </c>
      <c r="D898" s="2" t="str">
        <f t="shared" si="13"/>
        <v>Error?</v>
      </c>
    </row>
    <row r="899" spans="1:4" x14ac:dyDescent="0.2">
      <c r="A899" s="5">
        <v>838</v>
      </c>
      <c r="B899" s="138">
        <f>'Expenditures 15-22'!F40</f>
        <v>152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4158</v>
      </c>
      <c r="C901" s="2" t="s">
        <v>594</v>
      </c>
      <c r="D901" s="2" t="str">
        <f t="shared" si="13"/>
        <v>Error?</v>
      </c>
    </row>
    <row r="902" spans="1:4" x14ac:dyDescent="0.2">
      <c r="A902" s="5">
        <v>841</v>
      </c>
      <c r="B902" s="138">
        <f>'Expenditures 15-22'!F44</f>
        <v>4306</v>
      </c>
      <c r="D902" s="2" t="str">
        <f t="shared" si="13"/>
        <v>Error?</v>
      </c>
    </row>
    <row r="903" spans="1:4" x14ac:dyDescent="0.2">
      <c r="A903" s="5">
        <v>842</v>
      </c>
      <c r="B903" s="138">
        <f>'Expenditures 15-22'!F45</f>
        <v>0</v>
      </c>
      <c r="D903" s="2" t="str">
        <f t="shared" si="13"/>
        <v>Error?</v>
      </c>
    </row>
    <row r="904" spans="1:4" x14ac:dyDescent="0.2">
      <c r="A904" s="5">
        <v>843</v>
      </c>
      <c r="B904" s="138">
        <f>'Expenditures 15-22'!F46</f>
        <v>1259</v>
      </c>
      <c r="D904" s="2" t="str">
        <f t="shared" si="13"/>
        <v>Error?</v>
      </c>
    </row>
    <row r="905" spans="1:4" x14ac:dyDescent="0.2">
      <c r="A905" s="5">
        <v>844</v>
      </c>
      <c r="B905" s="138">
        <f>'Expenditures 15-22'!F47</f>
        <v>5565</v>
      </c>
      <c r="C905" s="2" t="s">
        <v>594</v>
      </c>
      <c r="D905" s="2" t="str">
        <f t="shared" si="13"/>
        <v>Error?</v>
      </c>
    </row>
    <row r="906" spans="1:4" x14ac:dyDescent="0.2">
      <c r="A906" s="5">
        <v>845</v>
      </c>
      <c r="B906" s="138">
        <f>'Expenditures 15-22'!F49</f>
        <v>385</v>
      </c>
      <c r="D906" s="2" t="str">
        <f t="shared" si="13"/>
        <v>Error?</v>
      </c>
    </row>
    <row r="907" spans="1:4" x14ac:dyDescent="0.2">
      <c r="A907" s="5">
        <v>846</v>
      </c>
      <c r="B907" s="138">
        <f>'Expenditures 15-22'!F50</f>
        <v>2645</v>
      </c>
      <c r="D907" s="2" t="str">
        <f t="shared" si="13"/>
        <v>Error?</v>
      </c>
    </row>
    <row r="908" spans="1:4" x14ac:dyDescent="0.2">
      <c r="A908" s="5">
        <v>847</v>
      </c>
      <c r="B908" s="138">
        <f>'Expenditures 15-22'!F53</f>
        <v>4089</v>
      </c>
      <c r="C908" s="2" t="s">
        <v>594</v>
      </c>
      <c r="D908" s="2" t="str">
        <f t="shared" si="13"/>
        <v>Error?</v>
      </c>
    </row>
    <row r="909" spans="1:4" x14ac:dyDescent="0.2">
      <c r="A909" s="5">
        <v>848</v>
      </c>
      <c r="B909" s="138">
        <f>'Expenditures 15-22'!F55</f>
        <v>5199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5199</v>
      </c>
      <c r="C911" s="2" t="s">
        <v>594</v>
      </c>
      <c r="D911" s="2" t="str">
        <f t="shared" si="13"/>
        <v>Error?</v>
      </c>
    </row>
    <row r="912" spans="1:4" x14ac:dyDescent="0.2">
      <c r="A912" s="5">
        <v>851</v>
      </c>
      <c r="B912" s="138">
        <f>'Expenditures 15-22'!F59</f>
        <v>14250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175261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189511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445</v>
      </c>
      <c r="D928" s="2" t="str">
        <f t="shared" si="13"/>
        <v>Error?</v>
      </c>
    </row>
    <row r="929" spans="1:4" x14ac:dyDescent="0.2">
      <c r="A929" s="5">
        <v>868</v>
      </c>
      <c r="B929" s="138">
        <f>'Expenditures 15-22'!F74</f>
        <v>208967</v>
      </c>
      <c r="C929" s="2" t="s">
        <v>594</v>
      </c>
      <c r="D929" s="2" t="str">
        <f t="shared" si="13"/>
        <v>Error?</v>
      </c>
    </row>
    <row r="930" spans="1:4" x14ac:dyDescent="0.2">
      <c r="A930" s="5">
        <v>869</v>
      </c>
      <c r="B930" s="138">
        <f>'Expenditures 15-22'!F75</f>
        <v>6950</v>
      </c>
      <c r="D930" s="2" t="str">
        <f t="shared" si="13"/>
        <v>Error?</v>
      </c>
    </row>
    <row r="931" spans="1:4" x14ac:dyDescent="0.2">
      <c r="A931" s="5">
        <v>870</v>
      </c>
      <c r="B931" s="138">
        <f>'Expenditures 15-22'!F114</f>
        <v>801186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48144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68490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1735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1735</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6580</v>
      </c>
      <c r="D965" s="2" t="str">
        <f t="shared" si="14"/>
        <v>Error?</v>
      </c>
    </row>
    <row r="966" spans="1:4" x14ac:dyDescent="0.2">
      <c r="A966" s="5">
        <v>905</v>
      </c>
      <c r="B966" s="138">
        <f>'Expenditures 15-22'!G53</f>
        <v>10416</v>
      </c>
      <c r="C966" s="2" t="s">
        <v>594</v>
      </c>
      <c r="D966" s="2" t="str">
        <f t="shared" si="14"/>
        <v>Error?</v>
      </c>
    </row>
    <row r="967" spans="1:4" x14ac:dyDescent="0.2">
      <c r="A967" s="5">
        <v>906</v>
      </c>
      <c r="B967" s="138">
        <f>'Expenditures 15-22'!G55</f>
        <v>580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580</v>
      </c>
      <c r="C969" s="2" t="s">
        <v>594</v>
      </c>
      <c r="D969" s="2" t="str">
        <f t="shared" si="14"/>
        <v>Error?</v>
      </c>
    </row>
    <row r="970" spans="1:4" x14ac:dyDescent="0.2">
      <c r="A970" s="5">
        <v>909</v>
      </c>
      <c r="B970" s="138">
        <f>'Expenditures 15-22'!G59</f>
        <v>10880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10880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23611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92101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2481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1175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160690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4335</v>
      </c>
      <c r="D1022" s="2" t="str">
        <f t="shared" si="14"/>
        <v>Error?</v>
      </c>
    </row>
    <row r="1023" spans="1:4" x14ac:dyDescent="0.2">
      <c r="A1023" s="5">
        <v>962</v>
      </c>
      <c r="B1023" s="138">
        <f>'Expenditures 15-22'!H50</f>
        <v>4952</v>
      </c>
      <c r="D1023" s="2" t="str">
        <f t="shared" ref="D1023:D1086" si="15">IF(ISBLANK(B1023),"OK",IF(A1023-B1023=0,"OK","Error?"))</f>
        <v>Error?</v>
      </c>
    </row>
    <row r="1024" spans="1:4" x14ac:dyDescent="0.2">
      <c r="A1024" s="5">
        <v>963</v>
      </c>
      <c r="B1024" s="138">
        <f>'Expenditures 15-22'!H53</f>
        <v>10712</v>
      </c>
      <c r="C1024" s="2" t="s">
        <v>594</v>
      </c>
      <c r="D1024" s="2" t="str">
        <f t="shared" si="15"/>
        <v>Error?</v>
      </c>
    </row>
    <row r="1025" spans="1:4" x14ac:dyDescent="0.2">
      <c r="A1025" s="5">
        <v>964</v>
      </c>
      <c r="B1025" s="138">
        <f>'Expenditures 15-22'!H55</f>
        <v>1891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1891</v>
      </c>
      <c r="C1027" s="2" t="s">
        <v>594</v>
      </c>
      <c r="D1027" s="2" t="str">
        <f t="shared" si="15"/>
        <v>Error?</v>
      </c>
    </row>
    <row r="1028" spans="1:4" x14ac:dyDescent="0.2">
      <c r="A1028" s="5">
        <v>967</v>
      </c>
      <c r="B1028" s="138">
        <f>'Expenditures 15-22'!H59</f>
        <v>7761</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1693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9454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22057</v>
      </c>
      <c r="C1045" s="2" t="s">
        <v>594</v>
      </c>
      <c r="D1045" s="2" t="str">
        <f t="shared" si="15"/>
        <v>Error?</v>
      </c>
    </row>
    <row r="1046" spans="1:4" x14ac:dyDescent="0.2">
      <c r="A1046" s="5">
        <v>985</v>
      </c>
      <c r="B1046" s="138">
        <f>'Expenditures 15-22'!H75</f>
        <v>2237</v>
      </c>
      <c r="D1046" s="2" t="str">
        <f t="shared" si="15"/>
        <v>Error?</v>
      </c>
    </row>
    <row r="1047" spans="1:4" x14ac:dyDescent="0.2">
      <c r="A1047" s="5">
        <v>986</v>
      </c>
      <c r="B1047" s="138">
        <f>'Expenditures 15-22'!H102</f>
        <v>1186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186170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7538543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9660</v>
      </c>
      <c r="C1106" s="2" t="s">
        <v>594</v>
      </c>
      <c r="D1106" s="2" t="str">
        <f t="shared" si="16"/>
        <v>Error?</v>
      </c>
    </row>
    <row r="1107" spans="1:4" x14ac:dyDescent="0.2">
      <c r="A1107" s="5">
        <v>1046</v>
      </c>
      <c r="B1107" s="138">
        <f>'Expenditures 15-22'!K15</f>
        <v>5350</v>
      </c>
      <c r="C1107" s="2" t="s">
        <v>594</v>
      </c>
      <c r="D1107" s="2" t="str">
        <f t="shared" si="16"/>
        <v>Error?</v>
      </c>
    </row>
    <row r="1108" spans="1:4" x14ac:dyDescent="0.2">
      <c r="A1108" s="5">
        <v>1047</v>
      </c>
      <c r="B1108" s="138">
        <f>'Expenditures 15-22'!K33</f>
        <v>9909059</v>
      </c>
      <c r="C1108" s="2" t="s">
        <v>594</v>
      </c>
      <c r="D1108" s="2" t="str">
        <f t="shared" si="16"/>
        <v>Error?</v>
      </c>
    </row>
    <row r="1109" spans="1:4" x14ac:dyDescent="0.2">
      <c r="A1109" s="5">
        <v>1048</v>
      </c>
      <c r="B1109" s="138">
        <f>'Expenditures 15-22'!K36</f>
        <v>249251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147198</v>
      </c>
      <c r="C1111" s="2" t="s">
        <v>594</v>
      </c>
      <c r="D1111" s="2" t="str">
        <f t="shared" si="16"/>
        <v>Error?</v>
      </c>
    </row>
    <row r="1112" spans="1:4" x14ac:dyDescent="0.2">
      <c r="A1112" s="5">
        <v>1051</v>
      </c>
      <c r="B1112" s="138">
        <f>'Expenditures 15-22'!K39</f>
        <v>173386</v>
      </c>
      <c r="C1112" s="2" t="s">
        <v>594</v>
      </c>
      <c r="D1112" s="2" t="str">
        <f t="shared" si="16"/>
        <v>Error?</v>
      </c>
    </row>
    <row r="1113" spans="1:4" x14ac:dyDescent="0.2">
      <c r="A1113" s="5">
        <v>1052</v>
      </c>
      <c r="B1113" s="138">
        <f>'Expenditures 15-22'!K40</f>
        <v>411120</v>
      </c>
      <c r="C1113" s="2" t="s">
        <v>594</v>
      </c>
      <c r="D1113" s="2" t="str">
        <f t="shared" si="16"/>
        <v>Error?</v>
      </c>
    </row>
    <row r="1114" spans="1:4" x14ac:dyDescent="0.2">
      <c r="A1114" s="5">
        <v>1053</v>
      </c>
      <c r="B1114" s="138">
        <f>'Expenditures 15-22'!K41</f>
        <v>60954</v>
      </c>
      <c r="C1114" s="2" t="s">
        <v>594</v>
      </c>
      <c r="D1114" s="2" t="str">
        <f t="shared" si="16"/>
        <v>Error?</v>
      </c>
    </row>
    <row r="1115" spans="1:4" x14ac:dyDescent="0.2">
      <c r="A1115" s="5">
        <v>1054</v>
      </c>
      <c r="B1115" s="138">
        <f>'Expenditures 15-22'!K42</f>
        <v>1041909</v>
      </c>
      <c r="C1115" s="2" t="s">
        <v>594</v>
      </c>
      <c r="D1115" s="2" t="str">
        <f t="shared" si="16"/>
        <v>Error?</v>
      </c>
    </row>
    <row r="1116" spans="1:4" x14ac:dyDescent="0.2">
      <c r="A1116" s="5">
        <v>1055</v>
      </c>
      <c r="B1116" s="138">
        <f>'Expenditures 15-22'!K44</f>
        <v>158965</v>
      </c>
      <c r="C1116" s="2" t="s">
        <v>594</v>
      </c>
      <c r="D1116" s="2" t="str">
        <f t="shared" si="16"/>
        <v>Error?</v>
      </c>
    </row>
    <row r="1117" spans="1:4" x14ac:dyDescent="0.2">
      <c r="A1117" s="5">
        <v>1056</v>
      </c>
      <c r="B1117" s="138">
        <f>'Expenditures 15-22'!K45</f>
        <v>42032</v>
      </c>
      <c r="C1117" s="2" t="s">
        <v>594</v>
      </c>
      <c r="D1117" s="2" t="str">
        <f t="shared" si="16"/>
        <v>Error?</v>
      </c>
    </row>
    <row r="1118" spans="1:4" x14ac:dyDescent="0.2">
      <c r="A1118" s="5">
        <v>1057</v>
      </c>
      <c r="B1118" s="138">
        <f>'Expenditures 15-22'!K46</f>
        <v>20530</v>
      </c>
      <c r="C1118" s="2" t="s">
        <v>594</v>
      </c>
      <c r="D1118" s="2" t="str">
        <f t="shared" si="16"/>
        <v>Error?</v>
      </c>
    </row>
    <row r="1119" spans="1:4" x14ac:dyDescent="0.2">
      <c r="A1119" s="5">
        <v>1058</v>
      </c>
      <c r="B1119" s="138">
        <f>'Expenditures 15-22'!K47</f>
        <v>221527</v>
      </c>
      <c r="C1119" s="2" t="s">
        <v>594</v>
      </c>
      <c r="D1119" s="2" t="str">
        <f t="shared" si="16"/>
        <v>Error?</v>
      </c>
    </row>
    <row r="1120" spans="1:4" x14ac:dyDescent="0.2">
      <c r="A1120" s="5">
        <v>1059</v>
      </c>
      <c r="B1120" s="138">
        <f>'Expenditures 15-22'!K49</f>
        <v>297951</v>
      </c>
      <c r="C1120" s="2" t="s">
        <v>594</v>
      </c>
      <c r="D1120" s="2" t="str">
        <f t="shared" si="16"/>
        <v>Error?</v>
      </c>
    </row>
    <row r="1121" spans="1:4" x14ac:dyDescent="0.2">
      <c r="A1121" s="5">
        <v>1060</v>
      </c>
      <c r="B1121" s="138">
        <f>'Expenditures 15-22'!K50</f>
        <v>308953</v>
      </c>
      <c r="C1121" s="2" t="s">
        <v>594</v>
      </c>
      <c r="D1121" s="2" t="str">
        <f t="shared" si="16"/>
        <v>Error?</v>
      </c>
    </row>
    <row r="1122" spans="1:4" x14ac:dyDescent="0.2">
      <c r="A1122" s="5">
        <v>1061</v>
      </c>
      <c r="B1122" s="138">
        <f>'Expenditures 15-22'!K53</f>
        <v>733155</v>
      </c>
      <c r="C1122" s="2" t="s">
        <v>594</v>
      </c>
      <c r="D1122" s="2" t="str">
        <f t="shared" si="16"/>
        <v>Error?</v>
      </c>
    </row>
    <row r="1123" spans="1:4" x14ac:dyDescent="0.2">
      <c r="A1123" s="5">
        <v>1062</v>
      </c>
      <c r="B1123" s="138">
        <f>'Expenditures 15-22'!K55</f>
        <v>833905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833905</v>
      </c>
      <c r="C1125" s="2" t="s">
        <v>594</v>
      </c>
      <c r="D1125" s="2" t="str">
        <f t="shared" si="16"/>
        <v>Error?</v>
      </c>
    </row>
    <row r="1126" spans="1:4" x14ac:dyDescent="0.2">
      <c r="A1126" s="5">
        <v>1065</v>
      </c>
      <c r="B1126" s="138">
        <f>'Expenditures 15-22'!K59</f>
        <v>262119</v>
      </c>
      <c r="C1126" s="2" t="s">
        <v>594</v>
      </c>
      <c r="D1126" s="2" t="str">
        <f t="shared" si="16"/>
        <v>Error?</v>
      </c>
    </row>
    <row r="1127" spans="1:4" x14ac:dyDescent="0.2">
      <c r="A1127" s="5">
        <v>1066</v>
      </c>
      <c r="B1127" s="138">
        <f>'Expenditures 15-22'!K60</f>
        <v>43166</v>
      </c>
      <c r="C1127" s="2" t="s">
        <v>594</v>
      </c>
      <c r="D1127" s="2" t="str">
        <f t="shared" si="16"/>
        <v>Error?</v>
      </c>
    </row>
    <row r="1128" spans="1:4" x14ac:dyDescent="0.2">
      <c r="A1128" s="5">
        <v>1067</v>
      </c>
      <c r="B1128" s="138">
        <f>'Expenditures 15-22'!K61</f>
        <v>57314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410168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772767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187459</v>
      </c>
      <c r="C1139" s="2" t="s">
        <v>594</v>
      </c>
      <c r="D1139" s="2" t="str">
        <f t="shared" si="16"/>
        <v>Error?</v>
      </c>
    </row>
    <row r="1140" spans="1:4" x14ac:dyDescent="0.2">
      <c r="A1140" s="10">
        <v>1079</v>
      </c>
      <c r="D1140" s="2" t="str">
        <f t="shared" si="16"/>
        <v>OK</v>
      </c>
    </row>
    <row r="1141" spans="1:4" x14ac:dyDescent="0.2">
      <c r="A1141" s="5">
        <v>1080</v>
      </c>
      <c r="B1141" s="138">
        <f>'Expenditures 15-22'!K72</f>
        <v>187459</v>
      </c>
      <c r="C1141" s="2" t="s">
        <v>594</v>
      </c>
      <c r="D1141" s="2" t="str">
        <f t="shared" si="16"/>
        <v>Error?</v>
      </c>
    </row>
    <row r="1142" spans="1:4" x14ac:dyDescent="0.2">
      <c r="A1142" s="5">
        <v>1081</v>
      </c>
      <c r="B1142" s="138">
        <f>'Expenditures 15-22'!K73</f>
        <v>445</v>
      </c>
      <c r="C1142" s="2" t="s">
        <v>594</v>
      </c>
      <c r="D1142" s="2" t="str">
        <f t="shared" si="16"/>
        <v>Error?</v>
      </c>
    </row>
    <row r="1143" spans="1:4" x14ac:dyDescent="0.2">
      <c r="A1143" s="5">
        <v>1082</v>
      </c>
      <c r="B1143" s="138">
        <f>'Expenditures 15-22'!K74</f>
        <v>3791167</v>
      </c>
      <c r="C1143" s="2" t="s">
        <v>594</v>
      </c>
      <c r="D1143" s="2" t="str">
        <f t="shared" si="16"/>
        <v>Error?</v>
      </c>
    </row>
    <row r="1144" spans="1:4" x14ac:dyDescent="0.2">
      <c r="A1144" s="5">
        <v>1083</v>
      </c>
      <c r="B1144" s="138">
        <f>'Expenditures 15-22'!K75</f>
        <v>106435</v>
      </c>
      <c r="C1144" s="2" t="s">
        <v>594</v>
      </c>
      <c r="D1144" s="2" t="str">
        <f t="shared" si="16"/>
        <v>Error?</v>
      </c>
    </row>
    <row r="1145" spans="1:4" x14ac:dyDescent="0.2">
      <c r="A1145" s="5">
        <v>1084</v>
      </c>
      <c r="B1145" s="138">
        <f>'Expenditures 15-22'!K102</f>
        <v>471338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14277999</v>
      </c>
      <c r="C1152" s="2" t="s">
        <v>594</v>
      </c>
      <c r="D1152" s="2" t="str">
        <f t="shared" si="17"/>
        <v>Error?</v>
      </c>
    </row>
    <row r="1153" spans="1:4" x14ac:dyDescent="0.2">
      <c r="A1153" s="5">
        <v>1092</v>
      </c>
      <c r="B1153" s="138">
        <f>'Expenditures 15-22'!K115</f>
        <v>2208851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348784</v>
      </c>
      <c r="D1221" s="2" t="str">
        <f t="shared" si="18"/>
        <v>Error?</v>
      </c>
    </row>
    <row r="1222" spans="1:4" x14ac:dyDescent="0.2">
      <c r="A1222" s="10">
        <v>1161</v>
      </c>
      <c r="D1222" s="2" t="str">
        <f t="shared" si="18"/>
        <v>OK</v>
      </c>
    </row>
    <row r="1223" spans="1:4" x14ac:dyDescent="0.2">
      <c r="A1223" s="5">
        <v>1162</v>
      </c>
      <c r="B1223" s="138">
        <f>'Expenditures 15-22'!C127</f>
        <v>348784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348784</v>
      </c>
      <c r="C1225" s="2" t="s">
        <v>594</v>
      </c>
      <c r="D1225" s="2" t="str">
        <f t="shared" si="18"/>
        <v>Error?</v>
      </c>
    </row>
    <row r="1226" spans="1:4" x14ac:dyDescent="0.2">
      <c r="A1226" s="5">
        <v>1165</v>
      </c>
      <c r="B1226" s="138">
        <f>'Expenditures 15-22'!C151</f>
        <v>348784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26040</v>
      </c>
      <c r="D1236" s="2" t="str">
        <f t="shared" si="18"/>
        <v>Error?</v>
      </c>
    </row>
    <row r="1237" spans="1:4" x14ac:dyDescent="0.2">
      <c r="A1237" s="5">
        <v>1176</v>
      </c>
      <c r="B1237" s="138">
        <f>'Expenditures 15-22'!E124</f>
        <v>151646</v>
      </c>
      <c r="D1237" s="2" t="str">
        <f t="shared" si="18"/>
        <v>Error?</v>
      </c>
    </row>
    <row r="1238" spans="1:4" x14ac:dyDescent="0.2">
      <c r="A1238" s="10">
        <v>1177</v>
      </c>
      <c r="D1238" s="2" t="str">
        <f t="shared" si="18"/>
        <v>OK</v>
      </c>
    </row>
    <row r="1239" spans="1:4" x14ac:dyDescent="0.2">
      <c r="A1239" s="5">
        <v>1178</v>
      </c>
      <c r="B1239" s="138">
        <f>'Expenditures 15-22'!E127</f>
        <v>177686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177686</v>
      </c>
      <c r="C1241" s="2" t="s">
        <v>594</v>
      </c>
      <c r="D1241" s="2" t="str">
        <f t="shared" si="18"/>
        <v>Error?</v>
      </c>
    </row>
    <row r="1242" spans="1:4" x14ac:dyDescent="0.2">
      <c r="A1242" s="5">
        <v>1181</v>
      </c>
      <c r="B1242" s="138">
        <f>'Expenditures 15-22'!E151</f>
        <v>177686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331971</v>
      </c>
      <c r="D1245" s="2" t="str">
        <f t="shared" si="18"/>
        <v>Error?</v>
      </c>
    </row>
    <row r="1246" spans="1:4" x14ac:dyDescent="0.2">
      <c r="A1246" s="10">
        <v>1185</v>
      </c>
      <c r="D1246" s="2" t="str">
        <f t="shared" si="18"/>
        <v>OK</v>
      </c>
    </row>
    <row r="1247" spans="1:4" x14ac:dyDescent="0.2">
      <c r="A1247" s="5">
        <v>1186</v>
      </c>
      <c r="B1247" s="138">
        <f>'Expenditures 15-22'!F127</f>
        <v>331971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331971</v>
      </c>
      <c r="C1249" s="2" t="s">
        <v>594</v>
      </c>
      <c r="D1249" s="2" t="str">
        <f t="shared" si="18"/>
        <v>Error?</v>
      </c>
    </row>
    <row r="1250" spans="1:4" x14ac:dyDescent="0.2">
      <c r="A1250" s="5">
        <v>1189</v>
      </c>
      <c r="B1250" s="138">
        <f>'Expenditures 15-22'!F151</f>
        <v>331971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659491</v>
      </c>
      <c r="D1252" s="2" t="str">
        <f t="shared" si="18"/>
        <v>Error?</v>
      </c>
    </row>
    <row r="1253" spans="1:4" x14ac:dyDescent="0.2">
      <c r="A1253" s="5">
        <v>1192</v>
      </c>
      <c r="B1253" s="138">
        <f>'Expenditures 15-22'!G124</f>
        <v>6843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666334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666334</v>
      </c>
      <c r="C1258" s="2" t="s">
        <v>594</v>
      </c>
      <c r="D1258" s="2" t="str">
        <f t="shared" si="18"/>
        <v>Error?</v>
      </c>
    </row>
    <row r="1259" spans="1:4" x14ac:dyDescent="0.2">
      <c r="A1259" s="5">
        <v>1198</v>
      </c>
      <c r="B1259" s="138">
        <f>'Expenditures 15-22'!G151</f>
        <v>666334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685531</v>
      </c>
      <c r="C1275" s="2" t="s">
        <v>594</v>
      </c>
      <c r="D1275" s="2" t="str">
        <f t="shared" si="18"/>
        <v>Error?</v>
      </c>
    </row>
    <row r="1276" spans="1:4" x14ac:dyDescent="0.2">
      <c r="A1276" s="5">
        <v>1215</v>
      </c>
      <c r="B1276" s="138">
        <f>'Expenditures 15-22'!K124</f>
        <v>839244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1524775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1524775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1524775</v>
      </c>
      <c r="C1288" s="2" t="s">
        <v>594</v>
      </c>
      <c r="D1288" s="2" t="str">
        <f t="shared" si="19"/>
        <v>Error?</v>
      </c>
    </row>
    <row r="1289" spans="1:4" x14ac:dyDescent="0.2">
      <c r="A1289" s="5">
        <v>1228</v>
      </c>
      <c r="B1289" s="138">
        <f>'Expenditures 15-22'!K152</f>
        <v>245610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134486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889730</v>
      </c>
      <c r="D1315" s="2" t="str">
        <f t="shared" si="19"/>
        <v>Error?</v>
      </c>
    </row>
    <row r="1316" spans="1:4" x14ac:dyDescent="0.2">
      <c r="A1316" s="5">
        <v>1255</v>
      </c>
      <c r="B1316" s="138">
        <f>'Expenditures 15-22'!H171</f>
        <v>802</v>
      </c>
      <c r="D1316" s="2" t="str">
        <f t="shared" si="19"/>
        <v>Error?</v>
      </c>
    </row>
    <row r="1317" spans="1:4" x14ac:dyDescent="0.2">
      <c r="A1317" s="5">
        <v>1256</v>
      </c>
      <c r="B1317" s="138">
        <f>'Expenditures 15-22'!H172</f>
        <v>1025018</v>
      </c>
      <c r="C1317" s="2" t="s">
        <v>594</v>
      </c>
      <c r="D1317" s="2" t="str">
        <f t="shared" si="19"/>
        <v>Error?</v>
      </c>
    </row>
    <row r="1318" spans="1:4" x14ac:dyDescent="0.2">
      <c r="A1318" s="5">
        <v>1257</v>
      </c>
      <c r="B1318" s="138">
        <f>'Expenditures 15-22'!H174</f>
        <v>1025018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134486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889730</v>
      </c>
      <c r="C1329" s="2" t="s">
        <v>594</v>
      </c>
      <c r="D1329" s="2" t="str">
        <f t="shared" si="19"/>
        <v>Error?</v>
      </c>
    </row>
    <row r="1330" spans="1:4" x14ac:dyDescent="0.2">
      <c r="A1330" s="5">
        <v>1269</v>
      </c>
      <c r="B1330" s="138">
        <f>'Expenditures 15-22'!K171</f>
        <v>802</v>
      </c>
      <c r="C1330" s="2" t="s">
        <v>594</v>
      </c>
      <c r="D1330" s="2" t="str">
        <f t="shared" si="19"/>
        <v>Error?</v>
      </c>
    </row>
    <row r="1331" spans="1:4" x14ac:dyDescent="0.2">
      <c r="A1331" s="5">
        <v>1270</v>
      </c>
      <c r="B1331" s="138">
        <f>'Expenditures 15-22'!K172</f>
        <v>1025018</v>
      </c>
      <c r="C1331" s="2" t="s">
        <v>594</v>
      </c>
      <c r="D1331" s="2" t="str">
        <f t="shared" si="19"/>
        <v>Error?</v>
      </c>
    </row>
    <row r="1332" spans="1:4" x14ac:dyDescent="0.2">
      <c r="A1332" s="5">
        <v>1271</v>
      </c>
      <c r="B1332" s="138">
        <f>'Expenditures 15-22'!K174</f>
        <v>1025018</v>
      </c>
      <c r="C1332" s="2" t="s">
        <v>594</v>
      </c>
      <c r="D1332" s="2" t="str">
        <f t="shared" si="19"/>
        <v>Error?</v>
      </c>
    </row>
    <row r="1333" spans="1:4" x14ac:dyDescent="0.2">
      <c r="A1333" s="5">
        <v>1272</v>
      </c>
      <c r="B1333" s="138">
        <f>'Expenditures 15-22'!K175</f>
        <v>-111332</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926430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926430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926430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423</v>
      </c>
      <c r="D1369" s="2" t="str">
        <f t="shared" si="20"/>
        <v>Error?</v>
      </c>
    </row>
    <row r="1370" spans="1:4" x14ac:dyDescent="0.2">
      <c r="A1370" s="5">
        <v>1309</v>
      </c>
      <c r="B1370" s="138">
        <f>'Expenditures 15-22'!H184</f>
        <v>423</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1093</v>
      </c>
      <c r="C1376" s="2" t="s">
        <v>594</v>
      </c>
      <c r="D1376" s="2" t="str">
        <f t="shared" si="20"/>
        <v>Error?</v>
      </c>
    </row>
    <row r="1377" spans="1:4" x14ac:dyDescent="0.2">
      <c r="A1377" s="5">
        <v>1316</v>
      </c>
      <c r="B1377" s="138">
        <f>'Expenditures 15-22'!K182</f>
        <v>926430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423</v>
      </c>
      <c r="C1380" s="2" t="s">
        <v>594</v>
      </c>
      <c r="D1380" s="2" t="str">
        <f t="shared" si="20"/>
        <v>Error?</v>
      </c>
    </row>
    <row r="1381" spans="1:4" x14ac:dyDescent="0.2">
      <c r="A1381" s="5">
        <v>1320</v>
      </c>
      <c r="B1381" s="138">
        <f>'Expenditures 15-22'!K184</f>
        <v>926853</v>
      </c>
      <c r="C1381" s="2" t="s">
        <v>594</v>
      </c>
      <c r="D1381" s="2" t="str">
        <f t="shared" si="20"/>
        <v>Error?</v>
      </c>
    </row>
    <row r="1382" spans="1:4" x14ac:dyDescent="0.2">
      <c r="A1382" s="5">
        <v>1321</v>
      </c>
      <c r="B1382" s="138">
        <f>'Expenditures 15-22'!K196</f>
        <v>670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927523</v>
      </c>
      <c r="C1388" s="2" t="s">
        <v>594</v>
      </c>
      <c r="D1388" s="2" t="str">
        <f t="shared" si="20"/>
        <v>Error?</v>
      </c>
    </row>
    <row r="1389" spans="1:4" x14ac:dyDescent="0.2">
      <c r="A1389" s="5">
        <v>1328</v>
      </c>
      <c r="B1389" s="138">
        <f>'Expenditures 15-22'!K211</f>
        <v>41592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211</v>
      </c>
      <c r="D1408" s="2" t="str">
        <f t="shared" si="21"/>
        <v>Error?</v>
      </c>
    </row>
    <row r="1409" spans="1:4" x14ac:dyDescent="0.2">
      <c r="A1409" s="5">
        <v>1348</v>
      </c>
      <c r="B1409" s="138">
        <f>'Expenditures 15-22'!D224</f>
        <v>73</v>
      </c>
      <c r="D1409" s="2" t="str">
        <f t="shared" si="21"/>
        <v>Error?</v>
      </c>
    </row>
    <row r="1410" spans="1:4" x14ac:dyDescent="0.2">
      <c r="A1410" s="5">
        <v>1349</v>
      </c>
      <c r="B1410" s="138">
        <f>'Expenditures 15-22'!D229</f>
        <v>194819</v>
      </c>
      <c r="C1410" s="2" t="s">
        <v>594</v>
      </c>
      <c r="D1410" s="2" t="str">
        <f t="shared" si="21"/>
        <v>Error?</v>
      </c>
    </row>
    <row r="1411" spans="1:4" x14ac:dyDescent="0.2">
      <c r="A1411" s="5">
        <v>1350</v>
      </c>
      <c r="B1411" s="138">
        <f>'Expenditures 15-22'!D232</f>
        <v>3080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21314</v>
      </c>
      <c r="D1413" s="2" t="str">
        <f t="shared" si="21"/>
        <v>Error?</v>
      </c>
    </row>
    <row r="1414" spans="1:4" x14ac:dyDescent="0.2">
      <c r="A1414" s="5">
        <v>1353</v>
      </c>
      <c r="B1414" s="138">
        <f>'Expenditures 15-22'!D235</f>
        <v>2153</v>
      </c>
      <c r="D1414" s="2" t="str">
        <f t="shared" si="21"/>
        <v>Error?</v>
      </c>
    </row>
    <row r="1415" spans="1:4" x14ac:dyDescent="0.2">
      <c r="A1415" s="5">
        <v>1354</v>
      </c>
      <c r="B1415" s="138">
        <f>'Expenditures 15-22'!D236</f>
        <v>5076</v>
      </c>
      <c r="D1415" s="2" t="str">
        <f t="shared" si="21"/>
        <v>Error?</v>
      </c>
    </row>
    <row r="1416" spans="1:4" x14ac:dyDescent="0.2">
      <c r="A1416" s="5">
        <v>1355</v>
      </c>
      <c r="B1416" s="138">
        <f>'Expenditures 15-22'!D237</f>
        <v>4661</v>
      </c>
      <c r="D1416" s="2" t="str">
        <f t="shared" si="21"/>
        <v>Error?</v>
      </c>
    </row>
    <row r="1417" spans="1:4" x14ac:dyDescent="0.2">
      <c r="A1417" s="5">
        <v>1356</v>
      </c>
      <c r="B1417" s="138">
        <f>'Expenditures 15-22'!D238</f>
        <v>36284</v>
      </c>
      <c r="C1417" s="2" t="s">
        <v>594</v>
      </c>
      <c r="D1417" s="2" t="str">
        <f t="shared" si="21"/>
        <v>Error?</v>
      </c>
    </row>
    <row r="1418" spans="1:4" x14ac:dyDescent="0.2">
      <c r="A1418" s="5">
        <v>1357</v>
      </c>
      <c r="B1418" s="138">
        <f>'Expenditures 15-22'!D240</f>
        <v>1478</v>
      </c>
      <c r="D1418" s="2" t="str">
        <f t="shared" si="21"/>
        <v>Error?</v>
      </c>
    </row>
    <row r="1419" spans="1:4" x14ac:dyDescent="0.2">
      <c r="A1419" s="5">
        <v>1358</v>
      </c>
      <c r="B1419" s="138">
        <f>'Expenditures 15-22'!D241</f>
        <v>6398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7876</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11025</v>
      </c>
      <c r="D1423" s="2" t="str">
        <f t="shared" si="21"/>
        <v>Error?</v>
      </c>
    </row>
    <row r="1424" spans="1:4" x14ac:dyDescent="0.2">
      <c r="A1424" s="5">
        <v>1363</v>
      </c>
      <c r="B1424" s="138">
        <f>'Expenditures 15-22'!D257</f>
        <v>12333</v>
      </c>
      <c r="C1424" s="2" t="s">
        <v>594</v>
      </c>
      <c r="D1424" s="2" t="str">
        <f t="shared" si="21"/>
        <v>Error?</v>
      </c>
    </row>
    <row r="1425" spans="1:4" x14ac:dyDescent="0.2">
      <c r="A1425" s="5">
        <v>1364</v>
      </c>
      <c r="B1425" s="138">
        <f>'Expenditures 15-22'!D259</f>
        <v>31962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31962</v>
      </c>
      <c r="C1427" s="2" t="s">
        <v>594</v>
      </c>
      <c r="D1427" s="2" t="str">
        <f t="shared" si="21"/>
        <v>Error?</v>
      </c>
    </row>
    <row r="1428" spans="1:4" x14ac:dyDescent="0.2">
      <c r="A1428" s="5">
        <v>1367</v>
      </c>
      <c r="B1428" s="138">
        <f>'Expenditures 15-22'!D263</f>
        <v>1742</v>
      </c>
      <c r="D1428" s="2" t="str">
        <f t="shared" si="21"/>
        <v>Error?</v>
      </c>
    </row>
    <row r="1429" spans="1:4" x14ac:dyDescent="0.2">
      <c r="A1429" s="5">
        <v>1368</v>
      </c>
      <c r="B1429" s="138">
        <f>'Expenditures 15-22'!D264</f>
        <v>5693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57531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30401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95367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25708</v>
      </c>
      <c r="D1442" s="2" t="str">
        <f t="shared" si="21"/>
        <v>Error?</v>
      </c>
    </row>
    <row r="1443" spans="1:4" x14ac:dyDescent="0.2">
      <c r="A1443" s="10">
        <v>1382</v>
      </c>
      <c r="D1443" s="2" t="str">
        <f t="shared" si="21"/>
        <v>OK</v>
      </c>
    </row>
    <row r="1444" spans="1:4" x14ac:dyDescent="0.2">
      <c r="A1444" s="5">
        <v>1383</v>
      </c>
      <c r="B1444" s="138">
        <f>'Expenditures 15-22'!D277</f>
        <v>25708</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209530</v>
      </c>
      <c r="C1446" s="2" t="s">
        <v>594</v>
      </c>
      <c r="D1446" s="2" t="str">
        <f t="shared" si="21"/>
        <v>Error?</v>
      </c>
    </row>
    <row r="1447" spans="1:4" x14ac:dyDescent="0.2">
      <c r="A1447" s="5">
        <v>1386</v>
      </c>
      <c r="B1447" s="138">
        <f>'Expenditures 15-22'!D280</f>
        <v>11847</v>
      </c>
      <c r="D1447" s="2" t="str">
        <f t="shared" si="21"/>
        <v>Error?</v>
      </c>
    </row>
    <row r="1448" spans="1:4" x14ac:dyDescent="0.2">
      <c r="A1448" s="5">
        <v>1387</v>
      </c>
      <c r="B1448" s="138">
        <f>'Expenditures 15-22'!D295</f>
        <v>416196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211</v>
      </c>
      <c r="C1472" s="2" t="s">
        <v>594</v>
      </c>
      <c r="D1472" s="2" t="str">
        <f t="shared" si="22"/>
        <v>Error?</v>
      </c>
    </row>
    <row r="1473" spans="1:4" x14ac:dyDescent="0.2">
      <c r="A1473" s="5">
        <v>1412</v>
      </c>
      <c r="B1473" s="138">
        <f>'Expenditures 15-22'!K224</f>
        <v>73</v>
      </c>
      <c r="C1473" s="2" t="s">
        <v>594</v>
      </c>
      <c r="D1473" s="2" t="str">
        <f t="shared" si="22"/>
        <v>Error?</v>
      </c>
    </row>
    <row r="1474" spans="1:4" x14ac:dyDescent="0.2">
      <c r="A1474" s="5">
        <v>1413</v>
      </c>
      <c r="B1474" s="138">
        <f>'Expenditures 15-22'!K229</f>
        <v>194819</v>
      </c>
      <c r="C1474" s="2" t="s">
        <v>594</v>
      </c>
      <c r="D1474" s="2" t="str">
        <f t="shared" si="22"/>
        <v>Error?</v>
      </c>
    </row>
    <row r="1475" spans="1:4" x14ac:dyDescent="0.2">
      <c r="A1475" s="5">
        <v>1414</v>
      </c>
      <c r="B1475" s="138">
        <f>'Expenditures 15-22'!K232</f>
        <v>3080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21314</v>
      </c>
      <c r="C1477" s="2" t="s">
        <v>594</v>
      </c>
      <c r="D1477" s="2" t="str">
        <f t="shared" si="22"/>
        <v>Error?</v>
      </c>
    </row>
    <row r="1478" spans="1:4" x14ac:dyDescent="0.2">
      <c r="A1478" s="5">
        <v>1417</v>
      </c>
      <c r="B1478" s="138">
        <f>'Expenditures 15-22'!K235</f>
        <v>2153</v>
      </c>
      <c r="C1478" s="2" t="s">
        <v>594</v>
      </c>
      <c r="D1478" s="2" t="str">
        <f t="shared" si="22"/>
        <v>Error?</v>
      </c>
    </row>
    <row r="1479" spans="1:4" x14ac:dyDescent="0.2">
      <c r="A1479" s="5">
        <v>1418</v>
      </c>
      <c r="B1479" s="138">
        <f>'Expenditures 15-22'!K236</f>
        <v>5076</v>
      </c>
      <c r="C1479" s="2" t="s">
        <v>594</v>
      </c>
      <c r="D1479" s="2" t="str">
        <f t="shared" si="22"/>
        <v>Error?</v>
      </c>
    </row>
    <row r="1480" spans="1:4" x14ac:dyDescent="0.2">
      <c r="A1480" s="5">
        <v>1419</v>
      </c>
      <c r="B1480" s="138">
        <f>'Expenditures 15-22'!K237</f>
        <v>4661</v>
      </c>
      <c r="C1480" s="2" t="s">
        <v>594</v>
      </c>
      <c r="D1480" s="2" t="str">
        <f t="shared" si="22"/>
        <v>Error?</v>
      </c>
    </row>
    <row r="1481" spans="1:4" x14ac:dyDescent="0.2">
      <c r="A1481" s="5">
        <v>1420</v>
      </c>
      <c r="B1481" s="138">
        <f>'Expenditures 15-22'!K238</f>
        <v>36284</v>
      </c>
      <c r="C1481" s="2" t="s">
        <v>594</v>
      </c>
      <c r="D1481" s="2" t="str">
        <f t="shared" si="22"/>
        <v>Error?</v>
      </c>
    </row>
    <row r="1482" spans="1:4" x14ac:dyDescent="0.2">
      <c r="A1482" s="5">
        <v>1421</v>
      </c>
      <c r="B1482" s="138">
        <f>'Expenditures 15-22'!K240</f>
        <v>1478</v>
      </c>
      <c r="C1482" s="2" t="s">
        <v>594</v>
      </c>
      <c r="D1482" s="2" t="str">
        <f t="shared" si="22"/>
        <v>Error?</v>
      </c>
    </row>
    <row r="1483" spans="1:4" x14ac:dyDescent="0.2">
      <c r="A1483" s="5">
        <v>1422</v>
      </c>
      <c r="B1483" s="138">
        <f>'Expenditures 15-22'!K241</f>
        <v>6398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7876</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11025</v>
      </c>
      <c r="C1487" s="2" t="s">
        <v>594</v>
      </c>
      <c r="D1487" s="2" t="str">
        <f t="shared" si="22"/>
        <v>Error?</v>
      </c>
    </row>
    <row r="1488" spans="1:4" x14ac:dyDescent="0.2">
      <c r="A1488" s="5">
        <v>1427</v>
      </c>
      <c r="B1488" s="138">
        <f>'Expenditures 15-22'!K257</f>
        <v>12333</v>
      </c>
      <c r="C1488" s="2" t="s">
        <v>594</v>
      </c>
      <c r="D1488" s="2" t="str">
        <f t="shared" si="22"/>
        <v>Error?</v>
      </c>
    </row>
    <row r="1489" spans="1:4" x14ac:dyDescent="0.2">
      <c r="A1489" s="5">
        <v>1428</v>
      </c>
      <c r="B1489" s="138">
        <f>'Expenditures 15-22'!K259</f>
        <v>31962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31962</v>
      </c>
      <c r="C1491" s="2" t="s">
        <v>594</v>
      </c>
      <c r="D1491" s="2" t="str">
        <f t="shared" si="22"/>
        <v>Error?</v>
      </c>
    </row>
    <row r="1492" spans="1:4" x14ac:dyDescent="0.2">
      <c r="A1492" s="5">
        <v>1431</v>
      </c>
      <c r="B1492" s="138">
        <f>'Expenditures 15-22'!K263</f>
        <v>1742</v>
      </c>
      <c r="C1492" s="2" t="s">
        <v>594</v>
      </c>
      <c r="D1492" s="2" t="str">
        <f t="shared" si="22"/>
        <v>Error?</v>
      </c>
    </row>
    <row r="1493" spans="1:4" x14ac:dyDescent="0.2">
      <c r="A1493" s="5">
        <v>1432</v>
      </c>
      <c r="B1493" s="138">
        <f>'Expenditures 15-22'!K264</f>
        <v>5693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57531</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30401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95367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25708</v>
      </c>
      <c r="C1506" s="2" t="s">
        <v>594</v>
      </c>
      <c r="D1506" s="2" t="str">
        <f t="shared" si="22"/>
        <v>Error?</v>
      </c>
    </row>
    <row r="1507" spans="1:4" x14ac:dyDescent="0.2">
      <c r="A1507" s="10">
        <v>1446</v>
      </c>
      <c r="D1507" s="2" t="str">
        <f t="shared" si="22"/>
        <v>OK</v>
      </c>
    </row>
    <row r="1508" spans="1:4" x14ac:dyDescent="0.2">
      <c r="A1508" s="5">
        <v>1447</v>
      </c>
      <c r="B1508" s="138">
        <f>'Expenditures 15-22'!K277</f>
        <v>25708</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209530</v>
      </c>
      <c r="C1510" s="2" t="s">
        <v>594</v>
      </c>
      <c r="D1510" s="2" t="str">
        <f t="shared" si="22"/>
        <v>Error?</v>
      </c>
    </row>
    <row r="1511" spans="1:4" x14ac:dyDescent="0.2">
      <c r="A1511" s="5">
        <v>1450</v>
      </c>
      <c r="B1511" s="138">
        <f>'Expenditures 15-22'!K280</f>
        <v>11847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416196</v>
      </c>
      <c r="C1517" s="2" t="s">
        <v>594</v>
      </c>
      <c r="D1517" s="2" t="str">
        <f t="shared" si="22"/>
        <v>Error?</v>
      </c>
    </row>
    <row r="1518" spans="1:4" x14ac:dyDescent="0.2">
      <c r="A1518" s="5">
        <v>1457</v>
      </c>
      <c r="B1518" s="138">
        <f>'Expenditures 15-22'!K296</f>
        <v>7075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9017426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11185792</v>
      </c>
      <c r="C1630" s="2" t="s">
        <v>594</v>
      </c>
      <c r="D1630" s="2" t="str">
        <f t="shared" si="24"/>
        <v>Error?</v>
      </c>
    </row>
    <row r="1631" spans="1:4" x14ac:dyDescent="0.2">
      <c r="A1631" s="5">
        <v>1570</v>
      </c>
      <c r="B1631" s="138">
        <f>'Acct Summary 7-8'!D79</f>
        <v>2255775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2501385</v>
      </c>
      <c r="C1644" s="2" t="s">
        <v>594</v>
      </c>
      <c r="D1644" s="2" t="str">
        <f t="shared" si="24"/>
        <v>Error?</v>
      </c>
    </row>
    <row r="1645" spans="1:4" x14ac:dyDescent="0.2">
      <c r="A1645" s="5">
        <v>1584</v>
      </c>
      <c r="B1645" s="138">
        <f>'Acct Summary 7-8'!E79</f>
        <v>968610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897763</v>
      </c>
      <c r="C1658" s="2" t="s">
        <v>594</v>
      </c>
      <c r="D1658" s="2" t="str">
        <f t="shared" si="24"/>
        <v>Error?</v>
      </c>
    </row>
    <row r="1659" spans="1:4" x14ac:dyDescent="0.2">
      <c r="A1659" s="5">
        <v>1598</v>
      </c>
      <c r="B1659" s="138">
        <f>'Acct Summary 7-8'!F79</f>
        <v>763295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804887</v>
      </c>
      <c r="C1672" s="2" t="s">
        <v>594</v>
      </c>
      <c r="D1672" s="2" t="str">
        <f t="shared" si="25"/>
        <v>Error?</v>
      </c>
    </row>
    <row r="1673" spans="1:4" x14ac:dyDescent="0.2">
      <c r="A1673" s="5">
        <v>1612</v>
      </c>
      <c r="B1673" s="138">
        <f>'Acct Summary 7-8'!G79</f>
        <v>795564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802639</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9865054</v>
      </c>
      <c r="C1744" s="2" t="s">
        <v>594</v>
      </c>
      <c r="D1744" s="2" t="str">
        <f t="shared" si="26"/>
        <v>Error?</v>
      </c>
    </row>
    <row r="1745" spans="1:5" x14ac:dyDescent="0.2">
      <c r="A1745" s="5">
        <v>1684</v>
      </c>
      <c r="B1745" s="138">
        <f>'Tax Sched 23'!B5</f>
        <v>1285882</v>
      </c>
      <c r="C1745" s="2" t="s">
        <v>594</v>
      </c>
      <c r="D1745" s="2" t="str">
        <f t="shared" si="26"/>
        <v>Error?</v>
      </c>
    </row>
    <row r="1746" spans="1:5" x14ac:dyDescent="0.2">
      <c r="A1746" s="5">
        <v>1685</v>
      </c>
      <c r="B1746" s="138">
        <f>'Tax Sched 23'!B6</f>
        <v>903698</v>
      </c>
      <c r="C1746" s="2" t="s">
        <v>594</v>
      </c>
      <c r="D1746" s="2" t="str">
        <f t="shared" si="26"/>
        <v>Error?</v>
      </c>
    </row>
    <row r="1747" spans="1:5" x14ac:dyDescent="0.2">
      <c r="A1747" s="5">
        <v>1686</v>
      </c>
      <c r="B1747" s="138">
        <f>'Tax Sched 23'!B7</f>
        <v>442936</v>
      </c>
      <c r="C1747" s="2" t="s">
        <v>594</v>
      </c>
      <c r="D1747" s="2" t="str">
        <f t="shared" si="26"/>
        <v>Error?</v>
      </c>
    </row>
    <row r="1748" spans="1:5" x14ac:dyDescent="0.2">
      <c r="A1748" s="5">
        <v>1687</v>
      </c>
      <c r="B1748" s="138">
        <f>'Tax Sched 23'!B8</f>
        <v>181892</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60902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13035780</v>
      </c>
      <c r="C1759" s="2" t="s">
        <v>594</v>
      </c>
      <c r="D1759" s="2" t="str">
        <f t="shared" si="26"/>
        <v>Error?</v>
      </c>
    </row>
    <row r="1760" spans="1:5" x14ac:dyDescent="0.2">
      <c r="A1760" s="5">
        <v>1699</v>
      </c>
      <c r="B1760" s="138">
        <f>'Tax Sched 23'!D4</f>
        <v>4502556</v>
      </c>
      <c r="C1760" s="2" t="s">
        <v>594</v>
      </c>
      <c r="D1760" s="2" t="str">
        <f t="shared" si="26"/>
        <v>Error?</v>
      </c>
    </row>
    <row r="1761" spans="1:5" x14ac:dyDescent="0.2">
      <c r="A1761" s="5">
        <v>1700</v>
      </c>
      <c r="B1761" s="138">
        <f>'Tax Sched 23'!D5</f>
        <v>588076</v>
      </c>
      <c r="C1761" s="2" t="s">
        <v>594</v>
      </c>
      <c r="D1761" s="2" t="str">
        <f t="shared" si="26"/>
        <v>Error?</v>
      </c>
    </row>
    <row r="1762" spans="1:5" s="8" customFormat="1" x14ac:dyDescent="0.2">
      <c r="A1762" s="5">
        <v>1701</v>
      </c>
      <c r="B1762" s="138">
        <f>'Tax Sched 23'!D6</f>
        <v>451779</v>
      </c>
      <c r="C1762" s="2" t="s">
        <v>594</v>
      </c>
      <c r="D1762" s="2" t="str">
        <f t="shared" si="26"/>
        <v>Error?</v>
      </c>
      <c r="E1762" s="9"/>
    </row>
    <row r="1763" spans="1:5" x14ac:dyDescent="0.2">
      <c r="A1763" s="5">
        <v>1702</v>
      </c>
      <c r="B1763" s="138">
        <f>'Tax Sched 23'!D7</f>
        <v>193721</v>
      </c>
      <c r="C1763" s="2" t="s">
        <v>594</v>
      </c>
      <c r="D1763" s="2" t="str">
        <f t="shared" si="26"/>
        <v>Error?</v>
      </c>
    </row>
    <row r="1764" spans="1:5" x14ac:dyDescent="0.2">
      <c r="A1764" s="5">
        <v>1703</v>
      </c>
      <c r="B1764" s="138">
        <f>'Tax Sched 23'!D8</f>
        <v>65587</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27676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5908821</v>
      </c>
      <c r="C1775" s="2" t="s">
        <v>594</v>
      </c>
      <c r="D1775" s="2" t="str">
        <f t="shared" si="26"/>
        <v>Error?</v>
      </c>
    </row>
    <row r="1776" spans="1:5" x14ac:dyDescent="0.2">
      <c r="A1776" s="5">
        <v>1715</v>
      </c>
      <c r="B1776" s="138">
        <f>'Tax Sched 23'!C4</f>
        <v>5362498</v>
      </c>
      <c r="D1776" s="2" t="str">
        <f t="shared" si="26"/>
        <v>Error?</v>
      </c>
    </row>
    <row r="1777" spans="1:4" x14ac:dyDescent="0.2">
      <c r="A1777" s="5">
        <v>1716</v>
      </c>
      <c r="B1777" s="138">
        <f>'Tax Sched 23'!C5</f>
        <v>697806</v>
      </c>
      <c r="D1777" s="2" t="str">
        <f t="shared" si="26"/>
        <v>Error?</v>
      </c>
    </row>
    <row r="1778" spans="1:4" x14ac:dyDescent="0.2">
      <c r="A1778" s="5">
        <v>1717</v>
      </c>
      <c r="B1778" s="138">
        <f>'Tax Sched 23'!C6</f>
        <v>451919</v>
      </c>
      <c r="D1778" s="2" t="str">
        <f t="shared" si="26"/>
        <v>Error?</v>
      </c>
    </row>
    <row r="1779" spans="1:4" x14ac:dyDescent="0.2">
      <c r="A1779" s="5">
        <v>1718</v>
      </c>
      <c r="B1779" s="138">
        <f>'Tax Sched 23'!C7</f>
        <v>249215</v>
      </c>
      <c r="D1779" s="2" t="str">
        <f t="shared" si="26"/>
        <v>Error?</v>
      </c>
    </row>
    <row r="1780" spans="1:4" x14ac:dyDescent="0.2">
      <c r="A1780" s="5">
        <v>1719</v>
      </c>
      <c r="B1780" s="138">
        <f>'Tax Sched 23'!C8</f>
        <v>116305</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33226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7126959</v>
      </c>
      <c r="C1791" s="2" t="s">
        <v>594</v>
      </c>
      <c r="D1791" s="2" t="str">
        <f t="shared" ref="D1791:D1854" si="27">IF(ISBLANK(B1791),"OK",IF(A1791-B1791=0,"OK","Error?"))</f>
        <v>Error?</v>
      </c>
    </row>
    <row r="1792" spans="1:4" x14ac:dyDescent="0.2">
      <c r="A1792" s="5">
        <v>1731</v>
      </c>
      <c r="B1792" s="138">
        <f>'Tax Sched 23'!F4</f>
        <v>4489759</v>
      </c>
      <c r="C1792" s="2" t="s">
        <v>594</v>
      </c>
      <c r="D1792" s="2" t="str">
        <f t="shared" si="27"/>
        <v>Error?</v>
      </c>
    </row>
    <row r="1793" spans="1:4" x14ac:dyDescent="0.2">
      <c r="A1793" s="5">
        <v>1732</v>
      </c>
      <c r="B1793" s="138">
        <f>'Tax Sched 23'!F5</f>
        <v>584245</v>
      </c>
      <c r="C1793" s="2" t="s">
        <v>594</v>
      </c>
      <c r="D1793" s="2" t="str">
        <f t="shared" si="27"/>
        <v>Error?</v>
      </c>
    </row>
    <row r="1794" spans="1:4" x14ac:dyDescent="0.2">
      <c r="A1794" s="5">
        <v>1733</v>
      </c>
      <c r="B1794" s="138">
        <f>'Tax Sched 23'!F6</f>
        <v>378362</v>
      </c>
      <c r="C1794" s="2" t="s">
        <v>594</v>
      </c>
      <c r="D1794" s="2" t="str">
        <f t="shared" si="27"/>
        <v>Error?</v>
      </c>
    </row>
    <row r="1795" spans="1:4" x14ac:dyDescent="0.2">
      <c r="A1795" s="5">
        <v>1734</v>
      </c>
      <c r="B1795" s="138">
        <f>'Tax Sched 23'!F7</f>
        <v>208660</v>
      </c>
      <c r="C1795" s="2" t="s">
        <v>594</v>
      </c>
      <c r="D1795" s="2" t="str">
        <f t="shared" si="27"/>
        <v>Error?</v>
      </c>
    </row>
    <row r="1796" spans="1:4" x14ac:dyDescent="0.2">
      <c r="A1796" s="5">
        <v>1735</v>
      </c>
      <c r="B1796" s="138">
        <f>'Tax Sched 23'!F8</f>
        <v>97370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27824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5967055</v>
      </c>
      <c r="C1807" s="2" t="s">
        <v>594</v>
      </c>
      <c r="D1807" s="2" t="str">
        <f t="shared" si="27"/>
        <v>Error?</v>
      </c>
    </row>
    <row r="1808" spans="1:4" x14ac:dyDescent="0.2">
      <c r="A1808" s="5">
        <v>1747</v>
      </c>
      <c r="B1808" s="138">
        <f>'Tax Sched 23'!E4</f>
        <v>9852257</v>
      </c>
      <c r="D1808" s="2" t="str">
        <f t="shared" si="27"/>
        <v>Error?</v>
      </c>
    </row>
    <row r="1809" spans="1:4" x14ac:dyDescent="0.2">
      <c r="A1809" s="5">
        <v>1748</v>
      </c>
      <c r="B1809" s="138">
        <f>'Tax Sched 23'!E5</f>
        <v>1282051</v>
      </c>
      <c r="D1809" s="2" t="str">
        <f t="shared" si="27"/>
        <v>Error?</v>
      </c>
    </row>
    <row r="1810" spans="1:4" x14ac:dyDescent="0.2">
      <c r="A1810" s="5">
        <v>1749</v>
      </c>
      <c r="B1810" s="138">
        <f>'Tax Sched 23'!E6</f>
        <v>830281</v>
      </c>
      <c r="D1810" s="2" t="str">
        <f t="shared" si="27"/>
        <v>Error?</v>
      </c>
    </row>
    <row r="1811" spans="1:4" x14ac:dyDescent="0.2">
      <c r="A1811" s="5">
        <v>1750</v>
      </c>
      <c r="B1811" s="138">
        <f>'Tax Sched 23'!E7</f>
        <v>457875</v>
      </c>
      <c r="D1811" s="2" t="str">
        <f t="shared" si="27"/>
        <v>Error?</v>
      </c>
    </row>
    <row r="1812" spans="1:4" x14ac:dyDescent="0.2">
      <c r="A1812" s="5">
        <v>1751</v>
      </c>
      <c r="B1812" s="138">
        <f>'Tax Sched 23'!E8</f>
        <v>213675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61050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13094014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4394730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60903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60903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60903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1146728</v>
      </c>
      <c r="D2008" s="2" t="str">
        <f t="shared" si="30"/>
        <v>Error?</v>
      </c>
    </row>
    <row r="2009" spans="1:4" x14ac:dyDescent="0.2">
      <c r="A2009" s="5">
        <v>1948</v>
      </c>
      <c r="B2009" s="138">
        <f>'Cap Outlay Deprec 26'!C8</f>
        <v>24482793</v>
      </c>
      <c r="D2009" s="2" t="str">
        <f t="shared" si="30"/>
        <v>Error?</v>
      </c>
    </row>
    <row r="2010" spans="1:4" x14ac:dyDescent="0.2">
      <c r="A2010" s="5">
        <v>1949</v>
      </c>
      <c r="B2010" s="138">
        <f>'Cap Outlay Deprec 26'!C10</f>
        <v>2227260</v>
      </c>
      <c r="D2010" s="2" t="str">
        <f t="shared" si="30"/>
        <v>Error?</v>
      </c>
    </row>
    <row r="2011" spans="1:4" x14ac:dyDescent="0.2">
      <c r="A2011" s="5">
        <v>1950</v>
      </c>
      <c r="B2011" s="138">
        <f>'Cap Outlay Deprec 26'!C12</f>
        <v>3282159</v>
      </c>
      <c r="D2011" s="2" t="str">
        <f t="shared" si="30"/>
        <v>Error?</v>
      </c>
    </row>
    <row r="2012" spans="1:4" x14ac:dyDescent="0.2">
      <c r="A2012" s="5">
        <v>1951</v>
      </c>
      <c r="B2012" s="138">
        <f>'Cap Outlay Deprec 26'!C13</f>
        <v>573061</v>
      </c>
      <c r="D2012" s="2" t="str">
        <f t="shared" si="30"/>
        <v>Error?</v>
      </c>
    </row>
    <row r="2013" spans="1:4" x14ac:dyDescent="0.2">
      <c r="A2013" s="5">
        <v>1952</v>
      </c>
      <c r="B2013" s="138">
        <f>'Cap Outlay Deprec 26'!C16</f>
        <v>31719007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635607</v>
      </c>
      <c r="D2015" s="2" t="str">
        <f t="shared" si="30"/>
        <v>Error?</v>
      </c>
    </row>
    <row r="2016" spans="1:4" x14ac:dyDescent="0.2">
      <c r="A2016" s="5">
        <v>1955</v>
      </c>
      <c r="B2016" s="138">
        <f>'Cap Outlay Deprec 26'!D10</f>
        <v>20230</v>
      </c>
      <c r="D2016" s="2" t="str">
        <f t="shared" si="30"/>
        <v>Error?</v>
      </c>
    </row>
    <row r="2017" spans="1:4" x14ac:dyDescent="0.2">
      <c r="A2017" s="5">
        <v>1956</v>
      </c>
      <c r="B2017" s="138">
        <f>'Cap Outlay Deprec 26'!D12</f>
        <v>102597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758434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30703</v>
      </c>
      <c r="D2023" s="2" t="str">
        <f t="shared" si="30"/>
        <v>Error?</v>
      </c>
    </row>
    <row r="2024" spans="1:4" x14ac:dyDescent="0.2">
      <c r="A2024" s="5">
        <v>1963</v>
      </c>
      <c r="B2024" s="138">
        <f>'Cap Outlay Deprec 26'!E13</f>
        <v>83139</v>
      </c>
      <c r="D2024" s="2" t="str">
        <f t="shared" si="30"/>
        <v>Error?</v>
      </c>
    </row>
    <row r="2025" spans="1:4" x14ac:dyDescent="0.2">
      <c r="A2025" s="5">
        <v>1964</v>
      </c>
      <c r="B2025" s="138">
        <f>'Cap Outlay Deprec 26'!E16</f>
        <v>113842</v>
      </c>
      <c r="C2025" s="2" t="s">
        <v>594</v>
      </c>
      <c r="D2025" s="2" t="str">
        <f t="shared" si="30"/>
        <v>Error?</v>
      </c>
    </row>
    <row r="2026" spans="1:4" x14ac:dyDescent="0.2">
      <c r="A2026" s="5">
        <v>1965</v>
      </c>
      <c r="B2026" s="138">
        <f>'Cap Outlay Deprec 26'!F5</f>
        <v>1146728</v>
      </c>
      <c r="C2026" s="2" t="s">
        <v>594</v>
      </c>
      <c r="D2026" s="2" t="str">
        <f t="shared" si="30"/>
        <v>Error?</v>
      </c>
    </row>
    <row r="2027" spans="1:4" x14ac:dyDescent="0.2">
      <c r="A2027" s="5">
        <v>1966</v>
      </c>
      <c r="B2027" s="138">
        <f>'Cap Outlay Deprec 26'!F8</f>
        <v>25118400</v>
      </c>
      <c r="C2027" s="2" t="s">
        <v>594</v>
      </c>
      <c r="D2027" s="2" t="str">
        <f t="shared" si="30"/>
        <v>Error?</v>
      </c>
    </row>
    <row r="2028" spans="1:4" x14ac:dyDescent="0.2">
      <c r="A2028" s="5">
        <v>1967</v>
      </c>
      <c r="B2028" s="138">
        <f>'Cap Outlay Deprec 26'!F10</f>
        <v>2247490</v>
      </c>
      <c r="C2028" s="2" t="s">
        <v>594</v>
      </c>
      <c r="D2028" s="2" t="str">
        <f t="shared" si="30"/>
        <v>Error?</v>
      </c>
    </row>
    <row r="2029" spans="1:4" x14ac:dyDescent="0.2">
      <c r="A2029" s="5">
        <v>1968</v>
      </c>
      <c r="B2029" s="138">
        <f>'Cap Outlay Deprec 26'!F12</f>
        <v>3354053</v>
      </c>
      <c r="C2029" s="2" t="s">
        <v>594</v>
      </c>
      <c r="D2029" s="2" t="str">
        <f t="shared" si="30"/>
        <v>Error?</v>
      </c>
    </row>
    <row r="2030" spans="1:4" x14ac:dyDescent="0.2">
      <c r="A2030" s="5">
        <v>1969</v>
      </c>
      <c r="B2030" s="138">
        <f>'Cap Outlay Deprec 26'!F13</f>
        <v>489922</v>
      </c>
      <c r="C2030" s="2" t="s">
        <v>594</v>
      </c>
      <c r="D2030" s="2" t="str">
        <f t="shared" si="30"/>
        <v>Error?</v>
      </c>
    </row>
    <row r="2031" spans="1:4" x14ac:dyDescent="0.2">
      <c r="A2031" s="5">
        <v>1970</v>
      </c>
      <c r="B2031" s="138">
        <f>'Cap Outlay Deprec 26'!F16</f>
        <v>32363599</v>
      </c>
      <c r="C2031" s="2" t="s">
        <v>594</v>
      </c>
      <c r="D2031" s="2" t="str">
        <f t="shared" si="30"/>
        <v>Error?</v>
      </c>
    </row>
    <row r="2032" spans="1:4" x14ac:dyDescent="0.2">
      <c r="A2032" s="10">
        <v>1971</v>
      </c>
      <c r="D2032" s="2" t="str">
        <f t="shared" si="30"/>
        <v>OK</v>
      </c>
    </row>
    <row r="2033" spans="1:4" x14ac:dyDescent="0.2">
      <c r="A2033" s="5">
        <v>1972</v>
      </c>
      <c r="B2033" s="138">
        <f>'Cap Outlay Deprec 26'!H8</f>
        <v>7986058</v>
      </c>
      <c r="D2033" s="2" t="str">
        <f t="shared" si="30"/>
        <v>Error?</v>
      </c>
    </row>
    <row r="2034" spans="1:4" x14ac:dyDescent="0.2">
      <c r="A2034" s="5">
        <v>1973</v>
      </c>
      <c r="B2034" s="138">
        <f>'Cap Outlay Deprec 26'!H10</f>
        <v>1017845</v>
      </c>
      <c r="D2034" s="2" t="str">
        <f t="shared" si="30"/>
        <v>Error?</v>
      </c>
    </row>
    <row r="2035" spans="1:4" x14ac:dyDescent="0.2">
      <c r="A2035" s="5">
        <v>1974</v>
      </c>
      <c r="B2035" s="138">
        <f>'Cap Outlay Deprec 26'!H12</f>
        <v>3043127</v>
      </c>
      <c r="D2035" s="2" t="str">
        <f t="shared" si="30"/>
        <v>Error?</v>
      </c>
    </row>
    <row r="2036" spans="1:4" x14ac:dyDescent="0.2">
      <c r="A2036" s="5">
        <v>1975</v>
      </c>
      <c r="B2036" s="138">
        <f>'Cap Outlay Deprec 26'!H13</f>
        <v>409193</v>
      </c>
      <c r="D2036" s="2" t="str">
        <f t="shared" si="30"/>
        <v>Error?</v>
      </c>
    </row>
    <row r="2037" spans="1:4" x14ac:dyDescent="0.2">
      <c r="A2037" s="5">
        <v>1976</v>
      </c>
      <c r="B2037" s="138">
        <f>'Cap Outlay Deprec 26'!H16</f>
        <v>12456993</v>
      </c>
      <c r="C2037" s="2" t="s">
        <v>594</v>
      </c>
      <c r="D2037" s="2" t="str">
        <f t="shared" si="30"/>
        <v>Error?</v>
      </c>
    </row>
    <row r="2038" spans="1:4" x14ac:dyDescent="0.2">
      <c r="A2038" s="10">
        <v>1977</v>
      </c>
      <c r="D2038" s="2" t="str">
        <f t="shared" si="30"/>
        <v>OK</v>
      </c>
    </row>
    <row r="2039" spans="1:4" x14ac:dyDescent="0.2">
      <c r="A2039" s="5">
        <v>1978</v>
      </c>
      <c r="B2039" s="138">
        <f>'Cap Outlay Deprec 26'!I8</f>
        <v>498192</v>
      </c>
      <c r="D2039" s="2" t="str">
        <f t="shared" si="30"/>
        <v>Error?</v>
      </c>
    </row>
    <row r="2040" spans="1:4" x14ac:dyDescent="0.2">
      <c r="A2040" s="5">
        <v>1979</v>
      </c>
      <c r="B2040" s="138">
        <f>'Cap Outlay Deprec 26'!I10</f>
        <v>112246</v>
      </c>
      <c r="D2040" s="2" t="str">
        <f t="shared" si="30"/>
        <v>Error?</v>
      </c>
    </row>
    <row r="2041" spans="1:4" x14ac:dyDescent="0.2">
      <c r="A2041" s="5">
        <v>1980</v>
      </c>
      <c r="B2041" s="138">
        <f>'Cap Outlay Deprec 26'!I12</f>
        <v>29732</v>
      </c>
      <c r="D2041" s="2" t="str">
        <f t="shared" si="30"/>
        <v>Error?</v>
      </c>
    </row>
    <row r="2042" spans="1:4" x14ac:dyDescent="0.2">
      <c r="A2042" s="5">
        <v>1981</v>
      </c>
      <c r="B2042" s="138">
        <f>'Cap Outlay Deprec 26'!I13</f>
        <v>114612</v>
      </c>
      <c r="D2042" s="2" t="str">
        <f t="shared" si="30"/>
        <v>Error?</v>
      </c>
    </row>
    <row r="2043" spans="1:4" x14ac:dyDescent="0.2">
      <c r="A2043" s="5">
        <v>1982</v>
      </c>
      <c r="B2043" s="138">
        <f>'Cap Outlay Deprec 26'!I16</f>
        <v>755132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30703</v>
      </c>
      <c r="D2047" s="2" t="str">
        <f t="shared" ref="D2047:D2110" si="31">IF(ISBLANK(B2047),"OK",IF(A2047-B2047=0,"OK","Error?"))</f>
        <v>Error?</v>
      </c>
    </row>
    <row r="2048" spans="1:4" x14ac:dyDescent="0.2">
      <c r="A2048" s="5">
        <v>1987</v>
      </c>
      <c r="B2048" s="138">
        <f>'Cap Outlay Deprec 26'!J13</f>
        <v>75993</v>
      </c>
      <c r="D2048" s="2" t="str">
        <f t="shared" si="31"/>
        <v>Error?</v>
      </c>
    </row>
    <row r="2049" spans="1:4" x14ac:dyDescent="0.2">
      <c r="A2049" s="5">
        <v>1988</v>
      </c>
      <c r="B2049" s="138">
        <f>'Cap Outlay Deprec 26'!J16</f>
        <v>106696</v>
      </c>
      <c r="C2049" s="2" t="s">
        <v>594</v>
      </c>
      <c r="D2049" s="2" t="str">
        <f t="shared" si="31"/>
        <v>Error?</v>
      </c>
    </row>
    <row r="2050" spans="1:4" x14ac:dyDescent="0.2">
      <c r="A2050" s="10">
        <v>1989</v>
      </c>
      <c r="D2050" s="2" t="str">
        <f t="shared" si="31"/>
        <v>OK</v>
      </c>
    </row>
    <row r="2051" spans="1:4" x14ac:dyDescent="0.2">
      <c r="A2051" s="5">
        <v>1990</v>
      </c>
      <c r="B2051" s="138">
        <f>'Cap Outlay Deprec 26'!K8</f>
        <v>8484250</v>
      </c>
      <c r="C2051" s="2" t="s">
        <v>594</v>
      </c>
      <c r="D2051" s="2" t="str">
        <f t="shared" si="31"/>
        <v>Error?</v>
      </c>
    </row>
    <row r="2052" spans="1:4" x14ac:dyDescent="0.2">
      <c r="A2052" s="5">
        <v>1991</v>
      </c>
      <c r="B2052" s="138">
        <f>'Cap Outlay Deprec 26'!K10</f>
        <v>1130091</v>
      </c>
      <c r="C2052" s="2" t="s">
        <v>594</v>
      </c>
      <c r="D2052" s="2" t="str">
        <f t="shared" si="31"/>
        <v>Error?</v>
      </c>
    </row>
    <row r="2053" spans="1:4" x14ac:dyDescent="0.2">
      <c r="A2053" s="5">
        <v>1992</v>
      </c>
      <c r="B2053" s="138">
        <f>'Cap Outlay Deprec 26'!K12</f>
        <v>3042156</v>
      </c>
      <c r="C2053" s="2" t="s">
        <v>594</v>
      </c>
      <c r="D2053" s="2" t="str">
        <f t="shared" si="31"/>
        <v>Error?</v>
      </c>
    </row>
    <row r="2054" spans="1:4" x14ac:dyDescent="0.2">
      <c r="A2054" s="5">
        <v>1993</v>
      </c>
      <c r="B2054" s="138">
        <f>'Cap Outlay Deprec 26'!K13</f>
        <v>447812</v>
      </c>
      <c r="C2054" s="2" t="s">
        <v>594</v>
      </c>
      <c r="D2054" s="2" t="str">
        <f t="shared" si="31"/>
        <v>Error?</v>
      </c>
    </row>
    <row r="2055" spans="1:4" x14ac:dyDescent="0.2">
      <c r="A2055" s="5">
        <v>1994</v>
      </c>
      <c r="B2055" s="138">
        <f>'Cap Outlay Deprec 26'!K16</f>
        <v>13105429</v>
      </c>
      <c r="C2055" s="2" t="s">
        <v>594</v>
      </c>
      <c r="D2055" s="2" t="str">
        <f t="shared" si="31"/>
        <v>Error?</v>
      </c>
    </row>
    <row r="2056" spans="1:4" x14ac:dyDescent="0.2">
      <c r="A2056" s="5">
        <v>1995</v>
      </c>
      <c r="B2056" s="138">
        <f>'Cap Outlay Deprec 26'!L5</f>
        <v>1146728</v>
      </c>
      <c r="C2056" s="2" t="s">
        <v>594</v>
      </c>
      <c r="D2056" s="2" t="str">
        <f t="shared" si="31"/>
        <v>Error?</v>
      </c>
    </row>
    <row r="2057" spans="1:4" x14ac:dyDescent="0.2">
      <c r="A2057" s="5">
        <v>1996</v>
      </c>
      <c r="B2057" s="138">
        <f>'Cap Outlay Deprec 26'!L8</f>
        <v>16634150</v>
      </c>
      <c r="C2057" s="2" t="s">
        <v>594</v>
      </c>
      <c r="D2057" s="2" t="str">
        <f t="shared" si="31"/>
        <v>Error?</v>
      </c>
    </row>
    <row r="2058" spans="1:4" x14ac:dyDescent="0.2">
      <c r="A2058" s="5">
        <v>1997</v>
      </c>
      <c r="B2058" s="138">
        <f>'Cap Outlay Deprec 26'!L10</f>
        <v>1117399</v>
      </c>
      <c r="C2058" s="2" t="s">
        <v>594</v>
      </c>
      <c r="D2058" s="2" t="str">
        <f t="shared" si="31"/>
        <v>Error?</v>
      </c>
    </row>
    <row r="2059" spans="1:4" x14ac:dyDescent="0.2">
      <c r="A2059" s="5">
        <v>1998</v>
      </c>
      <c r="B2059" s="138">
        <f>'Cap Outlay Deprec 26'!L12</f>
        <v>311897</v>
      </c>
      <c r="C2059" s="2" t="s">
        <v>594</v>
      </c>
      <c r="D2059" s="2" t="str">
        <f t="shared" si="31"/>
        <v>Error?</v>
      </c>
    </row>
    <row r="2060" spans="1:4" x14ac:dyDescent="0.2">
      <c r="A2060" s="5">
        <v>1999</v>
      </c>
      <c r="B2060" s="138">
        <f>'Cap Outlay Deprec 26'!L13</f>
        <v>42110</v>
      </c>
      <c r="C2060" s="2" t="s">
        <v>594</v>
      </c>
      <c r="D2060" s="2" t="str">
        <f t="shared" si="31"/>
        <v>Error?</v>
      </c>
    </row>
    <row r="2061" spans="1:4" x14ac:dyDescent="0.2">
      <c r="A2061" s="5">
        <v>2000</v>
      </c>
      <c r="B2061" s="138">
        <f>'Cap Outlay Deprec 26'!L16</f>
        <v>19258170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1186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471338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83072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375279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11035445</v>
      </c>
      <c r="C2551" s="2" t="s">
        <v>594</v>
      </c>
      <c r="D2551" s="2" t="str">
        <f t="shared" si="38"/>
        <v>Error?</v>
      </c>
    </row>
    <row r="2552" spans="1:4" x14ac:dyDescent="0.2">
      <c r="A2552" s="10">
        <v>2491</v>
      </c>
      <c r="D2552" s="2" t="str">
        <f t="shared" si="38"/>
        <v>OK</v>
      </c>
    </row>
    <row r="2553" spans="1:4" x14ac:dyDescent="0.2">
      <c r="A2553" s="5">
        <v>2492</v>
      </c>
      <c r="B2553" s="138">
        <f>'Acct Summary 7-8'!C6</f>
        <v>4584759</v>
      </c>
      <c r="C2553" s="2" t="s">
        <v>594</v>
      </c>
      <c r="D2553" s="2" t="str">
        <f t="shared" si="38"/>
        <v>Error?</v>
      </c>
    </row>
    <row r="2554" spans="1:4" x14ac:dyDescent="0.2">
      <c r="A2554" s="5">
        <v>2493</v>
      </c>
      <c r="B2554" s="138">
        <f>'Acct Summary 7-8'!C7</f>
        <v>866646</v>
      </c>
      <c r="C2554" s="2" t="s">
        <v>594</v>
      </c>
      <c r="D2554" s="2" t="str">
        <f t="shared" si="38"/>
        <v>Error?</v>
      </c>
    </row>
    <row r="2555" spans="1:4" x14ac:dyDescent="0.2">
      <c r="A2555" s="5">
        <v>2494</v>
      </c>
      <c r="B2555" s="138">
        <f>'Acct Summary 7-8'!C8</f>
        <v>16486850</v>
      </c>
      <c r="C2555" s="2" t="s">
        <v>594</v>
      </c>
      <c r="D2555" s="2" t="str">
        <f t="shared" si="38"/>
        <v>Error?</v>
      </c>
    </row>
    <row r="2556" spans="1:4" x14ac:dyDescent="0.2">
      <c r="A2556" s="5">
        <v>2495</v>
      </c>
      <c r="B2556" s="138">
        <f>'Acct Summary 7-8'!C12</f>
        <v>9909059</v>
      </c>
      <c r="C2556" s="2" t="s">
        <v>594</v>
      </c>
      <c r="D2556" s="2" t="str">
        <f t="shared" si="38"/>
        <v>Error?</v>
      </c>
    </row>
    <row r="2557" spans="1:4" x14ac:dyDescent="0.2">
      <c r="A2557" s="5">
        <v>2496</v>
      </c>
      <c r="B2557" s="138">
        <f>'Acct Summary 7-8'!C13</f>
        <v>3791167</v>
      </c>
      <c r="C2557" s="2" t="s">
        <v>594</v>
      </c>
      <c r="D2557" s="2" t="str">
        <f t="shared" si="38"/>
        <v>Error?</v>
      </c>
    </row>
    <row r="2558" spans="1:4" x14ac:dyDescent="0.2">
      <c r="A2558" s="5">
        <v>2497</v>
      </c>
      <c r="B2558" s="138">
        <f>'Acct Summary 7-8'!C14</f>
        <v>106435</v>
      </c>
      <c r="C2558" s="2" t="s">
        <v>594</v>
      </c>
      <c r="D2558" s="2" t="str">
        <f t="shared" si="38"/>
        <v>Error?</v>
      </c>
    </row>
    <row r="2559" spans="1:4" x14ac:dyDescent="0.2">
      <c r="A2559" s="5">
        <v>2498</v>
      </c>
      <c r="B2559" s="138">
        <f>'Acct Summary 7-8'!C15</f>
        <v>471338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14277999</v>
      </c>
      <c r="C2561" s="2" t="s">
        <v>594</v>
      </c>
      <c r="D2561" s="2" t="str">
        <f t="shared" si="39"/>
        <v>Error?</v>
      </c>
    </row>
    <row r="2562" spans="1:4" x14ac:dyDescent="0.2">
      <c r="A2562" s="5">
        <v>2501</v>
      </c>
      <c r="B2562" s="138">
        <f>'Acct Summary 7-8'!C20</f>
        <v>2208851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1770385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1770385</v>
      </c>
      <c r="C2568" s="2" t="s">
        <v>594</v>
      </c>
      <c r="D2568" s="2" t="str">
        <f t="shared" si="39"/>
        <v>Error?</v>
      </c>
    </row>
    <row r="2569" spans="1:4" x14ac:dyDescent="0.2">
      <c r="A2569" s="5">
        <v>2508</v>
      </c>
      <c r="B2569" s="138">
        <f>'Acct Summary 7-8'!D13</f>
        <v>1524775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1524775</v>
      </c>
      <c r="C2573" s="2" t="s">
        <v>594</v>
      </c>
      <c r="D2573" s="2" t="str">
        <f t="shared" si="39"/>
        <v>Error?</v>
      </c>
    </row>
    <row r="2574" spans="1:4" x14ac:dyDescent="0.2">
      <c r="A2574" s="5">
        <v>2513</v>
      </c>
      <c r="B2574" s="138">
        <f>'Acct Summary 7-8'!D20</f>
        <v>245610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468007</v>
      </c>
      <c r="C2591" s="2" t="s">
        <v>594</v>
      </c>
      <c r="D2591" s="2" t="str">
        <f t="shared" si="39"/>
        <v>Error?</v>
      </c>
    </row>
    <row r="2592" spans="1:4" x14ac:dyDescent="0.2">
      <c r="A2592" s="10">
        <v>2531</v>
      </c>
      <c r="D2592" s="2" t="str">
        <f t="shared" si="39"/>
        <v>OK</v>
      </c>
    </row>
    <row r="2593" spans="1:4" x14ac:dyDescent="0.2">
      <c r="A2593" s="5">
        <v>2532</v>
      </c>
      <c r="B2593" s="138">
        <f>'Acct Summary 7-8'!F6</f>
        <v>487704</v>
      </c>
      <c r="C2593" s="2" t="s">
        <v>594</v>
      </c>
      <c r="D2593" s="2" t="str">
        <f t="shared" si="39"/>
        <v>Error?</v>
      </c>
    </row>
    <row r="2594" spans="1:4" x14ac:dyDescent="0.2">
      <c r="A2594" s="5">
        <v>2533</v>
      </c>
      <c r="B2594" s="138">
        <f>'Acct Summary 7-8'!F7</f>
        <v>13404</v>
      </c>
      <c r="C2594" s="2" t="s">
        <v>594</v>
      </c>
      <c r="D2594" s="2" t="str">
        <f t="shared" si="39"/>
        <v>Error?</v>
      </c>
    </row>
    <row r="2595" spans="1:4" x14ac:dyDescent="0.2">
      <c r="A2595" s="5">
        <v>2534</v>
      </c>
      <c r="B2595" s="138">
        <f>'Acct Summary 7-8'!F8</f>
        <v>969115</v>
      </c>
      <c r="C2595" s="2" t="s">
        <v>594</v>
      </c>
      <c r="D2595" s="2" t="str">
        <f t="shared" si="39"/>
        <v>Error?</v>
      </c>
    </row>
    <row r="2596" spans="1:4" x14ac:dyDescent="0.2">
      <c r="A2596" s="5">
        <v>2535</v>
      </c>
      <c r="B2596" s="138">
        <f>'Acct Summary 7-8'!F13</f>
        <v>926853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670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927523</v>
      </c>
      <c r="C2600" s="2" t="s">
        <v>594</v>
      </c>
      <c r="D2600" s="2" t="str">
        <f t="shared" si="39"/>
        <v>Error?</v>
      </c>
    </row>
    <row r="2601" spans="1:4" x14ac:dyDescent="0.2">
      <c r="A2601" s="5">
        <v>2540</v>
      </c>
      <c r="B2601" s="138">
        <f>'Acct Summary 7-8'!F20</f>
        <v>41592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423271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423271</v>
      </c>
      <c r="C2606" s="2" t="s">
        <v>594</v>
      </c>
      <c r="D2606" s="2" t="str">
        <f t="shared" si="39"/>
        <v>Error?</v>
      </c>
    </row>
    <row r="2607" spans="1:4" x14ac:dyDescent="0.2">
      <c r="A2607" s="5">
        <v>2546</v>
      </c>
      <c r="B2607" s="138">
        <f>'Acct Summary 7-8'!G12</f>
        <v>194819</v>
      </c>
      <c r="C2607" s="2" t="s">
        <v>594</v>
      </c>
      <c r="D2607" s="2" t="str">
        <f t="shared" si="39"/>
        <v>Error?</v>
      </c>
    </row>
    <row r="2608" spans="1:4" x14ac:dyDescent="0.2">
      <c r="A2608" s="5">
        <v>2547</v>
      </c>
      <c r="B2608" s="138">
        <f>'Acct Summary 7-8'!G13</f>
        <v>209530</v>
      </c>
      <c r="C2608" s="2" t="s">
        <v>594</v>
      </c>
      <c r="D2608" s="2" t="str">
        <f t="shared" si="39"/>
        <v>Error?</v>
      </c>
    </row>
    <row r="2609" spans="1:4" x14ac:dyDescent="0.2">
      <c r="A2609" s="5">
        <v>2548</v>
      </c>
      <c r="B2609" s="138">
        <f>'Acct Summary 7-8'!G14</f>
        <v>11847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416196</v>
      </c>
      <c r="C2612" s="2" t="s">
        <v>594</v>
      </c>
      <c r="D2612" s="2" t="str">
        <f t="shared" si="39"/>
        <v>Error?</v>
      </c>
    </row>
    <row r="2613" spans="1:4" x14ac:dyDescent="0.2">
      <c r="A2613" s="5">
        <v>2552</v>
      </c>
      <c r="B2613" s="138">
        <f>'Acct Summary 7-8'!G20</f>
        <v>7075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913686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913686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1025018</v>
      </c>
      <c r="C2634" s="2" t="s">
        <v>594</v>
      </c>
      <c r="D2634" s="2" t="str">
        <f t="shared" si="40"/>
        <v>Error?</v>
      </c>
    </row>
    <row r="2635" spans="1:4" x14ac:dyDescent="0.2">
      <c r="A2635" s="5">
        <v>2574</v>
      </c>
      <c r="B2635" s="138">
        <f>'Acct Summary 7-8'!E17</f>
        <v>1025018</v>
      </c>
      <c r="C2635" s="2" t="s">
        <v>594</v>
      </c>
      <c r="D2635" s="2" t="str">
        <f t="shared" si="40"/>
        <v>Error?</v>
      </c>
    </row>
    <row r="2636" spans="1:4" x14ac:dyDescent="0.2">
      <c r="A2636" s="5">
        <v>2575</v>
      </c>
      <c r="B2636" s="138">
        <f>'Acct Summary 7-8'!E20</f>
        <v>-111332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82149</v>
      </c>
      <c r="D2718" s="2" t="str">
        <f t="shared" si="41"/>
        <v>Error?</v>
      </c>
    </row>
    <row r="2719" spans="1:4" x14ac:dyDescent="0.2">
      <c r="A2719" s="5">
        <v>2658</v>
      </c>
      <c r="B2719" s="138">
        <f>'Expenditures 15-22'!D51</f>
        <v>37282</v>
      </c>
      <c r="D2719" s="2" t="str">
        <f t="shared" si="41"/>
        <v>Error?</v>
      </c>
    </row>
    <row r="2720" spans="1:4" x14ac:dyDescent="0.2">
      <c r="A2720" s="5">
        <v>2659</v>
      </c>
      <c r="B2720" s="138">
        <f>'Expenditures 15-22'!E51</f>
        <v>500</v>
      </c>
      <c r="D2720" s="2" t="str">
        <f t="shared" si="41"/>
        <v>Error?</v>
      </c>
    </row>
    <row r="2721" spans="1:4" x14ac:dyDescent="0.2">
      <c r="A2721" s="5">
        <v>2660</v>
      </c>
      <c r="B2721" s="138">
        <f>'Expenditures 15-22'!F51</f>
        <v>1059</v>
      </c>
      <c r="D2721" s="2" t="str">
        <f t="shared" si="41"/>
        <v>Error?</v>
      </c>
    </row>
    <row r="2722" spans="1:4" x14ac:dyDescent="0.2">
      <c r="A2722" s="5">
        <v>2661</v>
      </c>
      <c r="B2722" s="138">
        <f>'Expenditures 15-22'!G51</f>
        <v>3836</v>
      </c>
      <c r="D2722" s="2" t="str">
        <f t="shared" si="41"/>
        <v>Error?</v>
      </c>
    </row>
    <row r="2723" spans="1:4" x14ac:dyDescent="0.2">
      <c r="A2723" s="5">
        <v>2662</v>
      </c>
      <c r="B2723" s="138">
        <f>'Expenditures 15-22'!H51</f>
        <v>1425</v>
      </c>
      <c r="D2723" s="2" t="str">
        <f t="shared" si="41"/>
        <v>Error?</v>
      </c>
    </row>
    <row r="2724" spans="1:4" x14ac:dyDescent="0.2">
      <c r="A2724" s="5">
        <v>2663</v>
      </c>
      <c r="B2724" s="138">
        <f>'Expenditures 15-22'!K51</f>
        <v>126251</v>
      </c>
      <c r="C2724" s="2" t="s">
        <v>594</v>
      </c>
      <c r="D2724" s="2" t="str">
        <f t="shared" si="41"/>
        <v>Error?</v>
      </c>
    </row>
    <row r="2725" spans="1:4" x14ac:dyDescent="0.2">
      <c r="A2725" s="5">
        <v>2664</v>
      </c>
      <c r="B2725" s="138">
        <f>'Expenditures 15-22'!D247</f>
        <v>1308</v>
      </c>
      <c r="D2725" s="2" t="str">
        <f t="shared" si="41"/>
        <v>Error?</v>
      </c>
    </row>
    <row r="2726" spans="1:4" x14ac:dyDescent="0.2">
      <c r="A2726" s="5">
        <v>2665</v>
      </c>
      <c r="B2726" s="138">
        <f>'Expenditures 15-22'!K247</f>
        <v>1308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470152</v>
      </c>
      <c r="C2789" s="2" t="s">
        <v>594</v>
      </c>
      <c r="D2789" s="2" t="str">
        <f t="shared" si="42"/>
        <v>Error?</v>
      </c>
    </row>
    <row r="2790" spans="1:4" x14ac:dyDescent="0.2">
      <c r="A2790" s="5">
        <v>2729</v>
      </c>
      <c r="B2790" s="138">
        <f>'Expenditures 15-22'!E102</f>
        <v>470152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670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670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670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1053021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1122362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74154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1122362</v>
      </c>
      <c r="D2912" s="2" t="str">
        <f t="shared" si="44"/>
        <v>Error?</v>
      </c>
    </row>
    <row r="2913" spans="1:4" x14ac:dyDescent="0.2">
      <c r="A2913" s="5">
        <v>2852</v>
      </c>
      <c r="B2913" s="138">
        <f>'Assets-Liab 5-6'!I41</f>
        <v>1122362</v>
      </c>
      <c r="C2913" s="2" t="s">
        <v>594</v>
      </c>
      <c r="D2913" s="2" t="str">
        <f t="shared" si="44"/>
        <v>Error?</v>
      </c>
    </row>
    <row r="2914" spans="1:4" x14ac:dyDescent="0.2">
      <c r="A2914" s="5">
        <v>2853</v>
      </c>
      <c r="B2914" s="138">
        <f>'Assets-Liab 5-6'!L33</f>
        <v>74154</v>
      </c>
      <c r="D2914" s="2" t="str">
        <f t="shared" si="44"/>
        <v>Error?</v>
      </c>
    </row>
    <row r="2915" spans="1:4" x14ac:dyDescent="0.2">
      <c r="A2915" s="10">
        <v>2854</v>
      </c>
      <c r="D2915" s="2" t="str">
        <f t="shared" si="44"/>
        <v>OK</v>
      </c>
    </row>
    <row r="2916" spans="1:4" x14ac:dyDescent="0.2">
      <c r="A2916" s="5">
        <v>2855</v>
      </c>
      <c r="B2916" s="138">
        <f>'Assets-Liab 5-6'!L34</f>
        <v>74154</v>
      </c>
      <c r="C2916" s="2" t="s">
        <v>594</v>
      </c>
      <c r="D2916" s="2" t="str">
        <f t="shared" si="44"/>
        <v>Error?</v>
      </c>
    </row>
    <row r="2917" spans="1:4" x14ac:dyDescent="0.2">
      <c r="A2917" s="5">
        <v>2856</v>
      </c>
      <c r="B2917" s="138">
        <f>'Assets-Liab 5-6'!L41</f>
        <v>74154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470152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1186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471338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670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670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213393</v>
      </c>
      <c r="D3055" s="2" t="str">
        <f t="shared" si="46"/>
        <v>Error?</v>
      </c>
    </row>
    <row r="3056" spans="1:4" x14ac:dyDescent="0.2">
      <c r="A3056" s="5">
        <v>2995</v>
      </c>
      <c r="B3056" s="138">
        <f>'Expenditures 15-22'!D10</f>
        <v>37232</v>
      </c>
      <c r="D3056" s="2" t="str">
        <f t="shared" si="46"/>
        <v>Error?</v>
      </c>
    </row>
    <row r="3057" spans="1:4" x14ac:dyDescent="0.2">
      <c r="A3057" s="5">
        <v>2996</v>
      </c>
      <c r="B3057" s="138">
        <f>'Expenditures 15-22'!E10</f>
        <v>60815</v>
      </c>
      <c r="D3057" s="2" t="str">
        <f t="shared" si="46"/>
        <v>Error?</v>
      </c>
    </row>
    <row r="3058" spans="1:4" x14ac:dyDescent="0.2">
      <c r="A3058" s="5">
        <v>2997</v>
      </c>
      <c r="B3058" s="138">
        <f>'Expenditures 15-22'!F10</f>
        <v>55008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366448</v>
      </c>
      <c r="C3062" s="2" t="s">
        <v>594</v>
      </c>
      <c r="D3062" s="2" t="str">
        <f t="shared" si="46"/>
        <v>Error?</v>
      </c>
    </row>
    <row r="3063" spans="1:4" x14ac:dyDescent="0.2">
      <c r="A3063" s="10">
        <v>3002</v>
      </c>
      <c r="D3063" s="2" t="str">
        <f t="shared" si="46"/>
        <v>OK</v>
      </c>
    </row>
    <row r="3064" spans="1:4" x14ac:dyDescent="0.2">
      <c r="A3064" s="5">
        <v>3003</v>
      </c>
      <c r="B3064" s="138">
        <f>'Expenditures 15-22'!D219</f>
        <v>3088</v>
      </c>
      <c r="D3064" s="2" t="str">
        <f t="shared" si="46"/>
        <v>Error?</v>
      </c>
    </row>
    <row r="3065" spans="1:4" x14ac:dyDescent="0.2">
      <c r="A3065" s="5">
        <v>3004</v>
      </c>
      <c r="B3065" s="138">
        <f>'Expenditures 15-22'!K219</f>
        <v>3088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15092</v>
      </c>
      <c r="C3225" s="2" t="s">
        <v>594</v>
      </c>
      <c r="D3225" s="2" t="str">
        <f t="shared" si="49"/>
        <v>Error?</v>
      </c>
    </row>
    <row r="3226" spans="1:4" x14ac:dyDescent="0.2">
      <c r="A3226" s="5">
        <v>3165</v>
      </c>
      <c r="B3226" s="138">
        <f>'Acct Summary 7-8'!I8</f>
        <v>15092</v>
      </c>
      <c r="C3226" s="2" t="s">
        <v>594</v>
      </c>
      <c r="D3226" s="2" t="str">
        <f t="shared" si="49"/>
        <v>Error?</v>
      </c>
    </row>
    <row r="3227" spans="1:4" x14ac:dyDescent="0.2">
      <c r="A3227" s="5">
        <v>3166</v>
      </c>
      <c r="B3227" s="138">
        <f>'Acct Summary 7-8'!I20</f>
        <v>15092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40485</v>
      </c>
      <c r="C3231" s="2" t="s">
        <v>594</v>
      </c>
      <c r="D3231" s="2" t="str">
        <f t="shared" si="49"/>
        <v>Error?</v>
      </c>
    </row>
    <row r="3232" spans="1:4" x14ac:dyDescent="0.2">
      <c r="A3232" s="5">
        <v>3171</v>
      </c>
      <c r="B3232" s="138">
        <f>'Acct Summary 7-8'!C77</f>
        <v>-40485</v>
      </c>
      <c r="C3232" s="2" t="s">
        <v>594</v>
      </c>
      <c r="D3232" s="2" t="str">
        <f t="shared" si="49"/>
        <v>Error?</v>
      </c>
    </row>
    <row r="3233" spans="1:4" x14ac:dyDescent="0.2">
      <c r="A3233" s="5">
        <v>3172</v>
      </c>
      <c r="B3233" s="138">
        <f>'Acct Summary 7-8'!C78</f>
        <v>2168366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245610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41592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7075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40485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40485</v>
      </c>
      <c r="C3277" s="2" t="s">
        <v>594</v>
      </c>
      <c r="D3277" s="2" t="str">
        <f t="shared" si="50"/>
        <v>Error?</v>
      </c>
    </row>
    <row r="3278" spans="1:4" x14ac:dyDescent="0.2">
      <c r="A3278" s="5">
        <v>3217</v>
      </c>
      <c r="B3278" s="138">
        <f>'Acct Summary 7-8'!E78</f>
        <v>-70847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15092</v>
      </c>
      <c r="C3320" s="2" t="s">
        <v>594</v>
      </c>
      <c r="D3320" s="2" t="str">
        <f t="shared" si="50"/>
        <v>Error?</v>
      </c>
    </row>
    <row r="3321" spans="1:4" x14ac:dyDescent="0.2">
      <c r="A3321" s="5">
        <v>3260</v>
      </c>
      <c r="B3321" s="138">
        <f>'Acct Summary 7-8'!I79</f>
        <v>1107270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1122362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1500808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214907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24194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11381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20346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309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1771945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81246</v>
      </c>
      <c r="D3387" s="2" t="str">
        <f t="shared" si="51"/>
        <v>Error?</v>
      </c>
    </row>
    <row r="3388" spans="1:4" x14ac:dyDescent="0.2">
      <c r="A3388" s="5">
        <v>3327</v>
      </c>
      <c r="B3388" s="138">
        <f>'Expenditures 15-22'!D217</f>
        <v>106768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81246</v>
      </c>
      <c r="C3390" s="2" t="s">
        <v>594</v>
      </c>
      <c r="D3390" s="2" t="str">
        <f t="shared" si="51"/>
        <v>Error?</v>
      </c>
    </row>
    <row r="3391" spans="1:4" x14ac:dyDescent="0.2">
      <c r="A3391" s="5">
        <v>3330</v>
      </c>
      <c r="B3391" s="138">
        <f>'Expenditures 15-22'!K217</f>
        <v>106768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73923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85663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150397</v>
      </c>
      <c r="D3417" s="2" t="str">
        <f t="shared" si="52"/>
        <v>Error?</v>
      </c>
    </row>
    <row r="3418" spans="1:4" x14ac:dyDescent="0.2">
      <c r="A3418" s="10">
        <v>3357</v>
      </c>
      <c r="D3418" s="2" t="str">
        <f t="shared" si="52"/>
        <v>OK</v>
      </c>
    </row>
    <row r="3419" spans="1:4" x14ac:dyDescent="0.2">
      <c r="A3419" s="5">
        <v>3358</v>
      </c>
      <c r="B3419" s="138">
        <f>'Assets-Liab 5-6'!F4</f>
        <v>151247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14622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69341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74154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212344</v>
      </c>
      <c r="C3446" s="2" t="s">
        <v>594</v>
      </c>
      <c r="D3446" s="2" t="str">
        <f t="shared" si="52"/>
        <v>Error?</v>
      </c>
    </row>
    <row r="3447" spans="1:4" x14ac:dyDescent="0.2">
      <c r="A3447" s="5">
        <v>3386</v>
      </c>
      <c r="B3447" s="138">
        <f>'Tax Sched 23'!D16</f>
        <v>79426</v>
      </c>
      <c r="C3447" s="2" t="s">
        <v>594</v>
      </c>
      <c r="D3447" s="2" t="str">
        <f t="shared" si="52"/>
        <v>Error?</v>
      </c>
    </row>
    <row r="3448" spans="1:4" x14ac:dyDescent="0.2">
      <c r="A3448" s="5">
        <v>3387</v>
      </c>
      <c r="B3448" s="138">
        <f>'Tax Sched 23'!C16</f>
        <v>132918</v>
      </c>
      <c r="D3448" s="2" t="str">
        <f t="shared" si="52"/>
        <v>Error?</v>
      </c>
    </row>
    <row r="3449" spans="1:4" x14ac:dyDescent="0.2">
      <c r="A3449" s="5">
        <v>3388</v>
      </c>
      <c r="B3449" s="138">
        <f>'Tax Sched 23'!F16</f>
        <v>111282</v>
      </c>
      <c r="C3449" s="2" t="s">
        <v>594</v>
      </c>
      <c r="D3449" s="2" t="str">
        <f t="shared" si="52"/>
        <v>Error?</v>
      </c>
    </row>
    <row r="3450" spans="1:4" x14ac:dyDescent="0.2">
      <c r="A3450" s="5">
        <v>3389</v>
      </c>
      <c r="B3450" s="138">
        <f>'Tax Sched 23'!E16</f>
        <v>244200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83072</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83072</v>
      </c>
      <c r="D3727" s="2" t="str">
        <f t="shared" si="57"/>
        <v>Error?</v>
      </c>
    </row>
    <row r="3728" spans="1:4" x14ac:dyDescent="0.2">
      <c r="A3728" s="5">
        <v>3667</v>
      </c>
      <c r="B3728" s="138">
        <f>'Tax Sched 23'!F13</f>
        <v>69553</v>
      </c>
      <c r="C3728" s="2" t="s">
        <v>594</v>
      </c>
      <c r="D3728" s="2" t="str">
        <f t="shared" si="57"/>
        <v>Error?</v>
      </c>
    </row>
    <row r="3729" spans="1:4" x14ac:dyDescent="0.2">
      <c r="A3729" s="5">
        <v>3668</v>
      </c>
      <c r="B3729" s="138">
        <f>'Tax Sched 23'!E13</f>
        <v>152625</v>
      </c>
      <c r="D3729" s="2" t="str">
        <f t="shared" si="57"/>
        <v>Error?</v>
      </c>
    </row>
    <row r="3730" spans="1:4" x14ac:dyDescent="0.2">
      <c r="A3730" s="5">
        <v>3669</v>
      </c>
      <c r="B3730" s="138">
        <f>'ICR Computation 30'!E10</f>
        <v>196796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982303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17469153</v>
      </c>
      <c r="C4122" s="2" t="s">
        <v>594</v>
      </c>
      <c r="D4122" s="2" t="str">
        <f t="shared" si="63"/>
        <v>Error?</v>
      </c>
    </row>
    <row r="4123" spans="1:4" x14ac:dyDescent="0.2">
      <c r="A4123" s="5">
        <v>4062</v>
      </c>
      <c r="B4123" s="138">
        <f>'Acct Summary 7-8'!D10</f>
        <v>1770385</v>
      </c>
      <c r="C4123" s="2" t="s">
        <v>594</v>
      </c>
      <c r="D4123" s="2" t="str">
        <f t="shared" si="63"/>
        <v>Error?</v>
      </c>
    </row>
    <row r="4124" spans="1:4" x14ac:dyDescent="0.2">
      <c r="A4124" s="5">
        <v>4063</v>
      </c>
      <c r="B4124" s="138">
        <f>'Acct Summary 7-8'!E10</f>
        <v>913686</v>
      </c>
      <c r="C4124" s="2" t="s">
        <v>594</v>
      </c>
      <c r="D4124" s="2" t="str">
        <f t="shared" si="63"/>
        <v>Error?</v>
      </c>
    </row>
    <row r="4125" spans="1:4" x14ac:dyDescent="0.2">
      <c r="A4125" s="5">
        <v>4064</v>
      </c>
      <c r="B4125" s="138">
        <f>'Acct Summary 7-8'!F10</f>
        <v>969115</v>
      </c>
      <c r="C4125" s="2" t="s">
        <v>594</v>
      </c>
      <c r="D4125" s="2" t="str">
        <f t="shared" si="63"/>
        <v>Error?</v>
      </c>
    </row>
    <row r="4126" spans="1:4" x14ac:dyDescent="0.2">
      <c r="A4126" s="5">
        <v>4065</v>
      </c>
      <c r="B4126" s="138">
        <f>'Acct Summary 7-8'!G10</f>
        <v>423271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15092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982303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15260302</v>
      </c>
      <c r="C4136" s="2" t="s">
        <v>594</v>
      </c>
      <c r="D4136" s="2" t="str">
        <f t="shared" si="63"/>
        <v>Error?</v>
      </c>
    </row>
    <row r="4137" spans="1:4" x14ac:dyDescent="0.2">
      <c r="A4137" s="5">
        <v>4076</v>
      </c>
      <c r="B4137" s="138">
        <f>'Acct Summary 7-8'!D19</f>
        <v>1524775</v>
      </c>
      <c r="C4137" s="2" t="s">
        <v>594</v>
      </c>
      <c r="D4137" s="2" t="str">
        <f t="shared" si="63"/>
        <v>Error?</v>
      </c>
    </row>
    <row r="4138" spans="1:4" x14ac:dyDescent="0.2">
      <c r="A4138" s="5">
        <v>4077</v>
      </c>
      <c r="B4138" s="138">
        <f>'Acct Summary 7-8'!E19</f>
        <v>1025018</v>
      </c>
      <c r="C4138" s="2" t="s">
        <v>594</v>
      </c>
      <c r="D4138" s="2" t="str">
        <f t="shared" si="63"/>
        <v>Error?</v>
      </c>
    </row>
    <row r="4139" spans="1:4" x14ac:dyDescent="0.2">
      <c r="A4139" s="5">
        <v>4078</v>
      </c>
      <c r="B4139" s="138">
        <f>'Acct Summary 7-8'!F19</f>
        <v>927523</v>
      </c>
      <c r="C4139" s="2" t="s">
        <v>594</v>
      </c>
      <c r="D4139" s="2" t="str">
        <f t="shared" si="63"/>
        <v>Error?</v>
      </c>
    </row>
    <row r="4140" spans="1:4" x14ac:dyDescent="0.2">
      <c r="A4140" s="5">
        <v>4079</v>
      </c>
      <c r="B4140" s="138">
        <f>'Acct Summary 7-8'!G19</f>
        <v>416196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3505000</v>
      </c>
      <c r="C4171" s="2" t="s">
        <v>594</v>
      </c>
      <c r="D4171" s="2" t="str">
        <f t="shared" si="64"/>
        <v>Error?</v>
      </c>
    </row>
    <row r="4172" spans="1:4" x14ac:dyDescent="0.2">
      <c r="A4172" s="5">
        <v>4111</v>
      </c>
      <c r="B4172" s="138">
        <f>'Short-Term Long-Term Debt 24'!J49</f>
        <v>2607237</v>
      </c>
      <c r="C4172" s="2" t="s">
        <v>594</v>
      </c>
      <c r="D4172" s="2" t="str">
        <f t="shared" si="64"/>
        <v>Error?</v>
      </c>
    </row>
    <row r="4173" spans="1:4" x14ac:dyDescent="0.2">
      <c r="A4173" s="5">
        <v>4112</v>
      </c>
      <c r="B4173" s="138">
        <f>'Short-Term Long-Term Debt 24'!H49</f>
        <v>889730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3227.6</v>
      </c>
      <c r="C4265" s="2" t="s">
        <v>594</v>
      </c>
      <c r="D4265" s="2" t="str">
        <f t="shared" si="65"/>
        <v>Error?</v>
      </c>
      <c r="E4265" s="128"/>
    </row>
    <row r="4266" spans="1:5" x14ac:dyDescent="0.2">
      <c r="A4266" s="12">
        <v>4205</v>
      </c>
      <c r="B4266" s="138">
        <f>('FP Info 3'!F10)*100000</f>
        <v>420</v>
      </c>
      <c r="C4266" s="2" t="s">
        <v>594</v>
      </c>
      <c r="D4266" s="2" t="str">
        <f t="shared" si="65"/>
        <v>Error?</v>
      </c>
      <c r="E4266" s="128"/>
    </row>
    <row r="4267" spans="1:5" x14ac:dyDescent="0.2">
      <c r="A4267" s="12">
        <v>4206</v>
      </c>
      <c r="B4267" s="138">
        <f>('FP Info 3'!H10)*100000</f>
        <v>150</v>
      </c>
      <c r="C4267" s="2" t="s">
        <v>594</v>
      </c>
      <c r="D4267" s="2" t="str">
        <f t="shared" si="65"/>
        <v>Error?</v>
      </c>
      <c r="E4267" s="128"/>
    </row>
    <row r="4268" spans="1:5" x14ac:dyDescent="0.2">
      <c r="A4268" s="12">
        <v>4207</v>
      </c>
      <c r="B4268" s="138">
        <f>('FP Info 3'!J10)*100000</f>
        <v>3798</v>
      </c>
      <c r="C4268" s="2" t="s">
        <v>594</v>
      </c>
      <c r="D4268" s="2" t="str">
        <f t="shared" si="65"/>
        <v>Error?</v>
      </c>
    </row>
    <row r="4269" spans="1:5" x14ac:dyDescent="0.2">
      <c r="A4269" s="12">
        <v>4208</v>
      </c>
      <c r="B4269" s="138">
        <f>'FP Info 3'!J16</f>
        <v>15614426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23678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36214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8400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16236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13404</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305327905</v>
      </c>
      <c r="D4995" s="2" t="str">
        <f t="shared" si="77"/>
        <v>Error?</v>
      </c>
    </row>
    <row r="4996" spans="1:4" x14ac:dyDescent="0.2">
      <c r="A4996" s="12">
        <v>4935</v>
      </c>
      <c r="B4996" s="138">
        <f>'FP Info 3'!H31</f>
        <v>21067625.445</v>
      </c>
      <c r="D4996" s="2" t="str">
        <f t="shared" si="77"/>
        <v>Error?</v>
      </c>
    </row>
    <row r="4997" spans="1:4" x14ac:dyDescent="0.2">
      <c r="A4997" s="12">
        <v>4936</v>
      </c>
      <c r="B4997" s="138">
        <f>'FP Info 3'!H37</f>
        <v>3505000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83072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9865054</v>
      </c>
      <c r="D5061" s="2" t="str">
        <f t="shared" si="78"/>
        <v>Error?</v>
      </c>
    </row>
    <row r="5062" spans="1:4" x14ac:dyDescent="0.2">
      <c r="A5062" s="10">
        <v>5001</v>
      </c>
      <c r="D5062" s="2" t="str">
        <f t="shared" si="78"/>
        <v>OK</v>
      </c>
    </row>
    <row r="5063" spans="1:4" x14ac:dyDescent="0.2">
      <c r="A5063" s="5">
        <v>5002</v>
      </c>
      <c r="B5063" s="138">
        <f>'Revenues 9-14'!C7</f>
        <v>60902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10009028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100000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100000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5835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5835</v>
      </c>
      <c r="C5087" s="2" t="s">
        <v>594</v>
      </c>
      <c r="D5087" s="2" t="str">
        <f t="shared" si="78"/>
        <v>Error?</v>
      </c>
    </row>
    <row r="5088" spans="1:4" x14ac:dyDescent="0.2">
      <c r="A5088" s="5">
        <v>5027</v>
      </c>
      <c r="B5088" s="138">
        <f>'Revenues 9-14'!C65</f>
        <v>113401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113401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1862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244895</v>
      </c>
      <c r="C5096" s="2" t="s">
        <v>594</v>
      </c>
      <c r="D5096" s="2" t="str">
        <f t="shared" si="78"/>
        <v>Error?</v>
      </c>
    </row>
    <row r="5097" spans="1:4" x14ac:dyDescent="0.2">
      <c r="A5097" s="5">
        <v>5036</v>
      </c>
      <c r="B5097" s="138">
        <f>'Revenues 9-14'!C77</f>
        <v>3406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2756</v>
      </c>
      <c r="D5101" s="2" t="str">
        <f t="shared" si="78"/>
        <v>Error?</v>
      </c>
    </row>
    <row r="5102" spans="1:4" x14ac:dyDescent="0.2">
      <c r="A5102" s="5">
        <v>5041</v>
      </c>
      <c r="B5102" s="138">
        <f>'Revenues 9-14'!C82</f>
        <v>6162</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1150</v>
      </c>
      <c r="D5113" s="2" t="str">
        <f t="shared" si="78"/>
        <v>Error?</v>
      </c>
    </row>
    <row r="5114" spans="1:4" x14ac:dyDescent="0.2">
      <c r="A5114" s="5">
        <v>5053</v>
      </c>
      <c r="B5114" s="138">
        <f>'Revenues 9-14'!C96</f>
        <v>83287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31266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440421</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556124</v>
      </c>
      <c r="C5120" s="2" t="s">
        <v>594</v>
      </c>
      <c r="D5120" s="2" t="str">
        <f t="shared" si="79"/>
        <v>Error?</v>
      </c>
    </row>
    <row r="5121" spans="1:4" x14ac:dyDescent="0.2">
      <c r="A5121" s="5">
        <v>5060</v>
      </c>
      <c r="B5121" s="138">
        <f>'Revenues 9-14'!C109</f>
        <v>11035445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4155615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4155615</v>
      </c>
      <c r="C5132" s="2" t="s">
        <v>594</v>
      </c>
      <c r="D5132" s="2" t="str">
        <f t="shared" si="79"/>
        <v>Error?</v>
      </c>
    </row>
    <row r="5133" spans="1:4" x14ac:dyDescent="0.2">
      <c r="A5133" s="5">
        <v>5072</v>
      </c>
      <c r="B5133" s="138">
        <f>'Revenues 9-14'!C124</f>
        <v>66008</v>
      </c>
      <c r="D5133" s="2" t="str">
        <f t="shared" si="79"/>
        <v>Error?</v>
      </c>
    </row>
    <row r="5134" spans="1:4" x14ac:dyDescent="0.2">
      <c r="A5134" s="5">
        <v>5073</v>
      </c>
      <c r="B5134" s="138">
        <f>'Revenues 9-14'!C125</f>
        <v>111626</v>
      </c>
      <c r="D5134" s="2" t="str">
        <f t="shared" si="79"/>
        <v>Error?</v>
      </c>
    </row>
    <row r="5135" spans="1:4" x14ac:dyDescent="0.2">
      <c r="A5135" s="5">
        <v>5074</v>
      </c>
      <c r="B5135" s="138">
        <f>'Revenues 9-14'!C126</f>
        <v>205444</v>
      </c>
      <c r="D5135" s="2" t="str">
        <f t="shared" si="79"/>
        <v>Error?</v>
      </c>
    </row>
    <row r="5136" spans="1:4" x14ac:dyDescent="0.2">
      <c r="A5136" s="10">
        <v>5075</v>
      </c>
      <c r="D5136" s="2" t="str">
        <f t="shared" si="79"/>
        <v>OK</v>
      </c>
    </row>
    <row r="5137" spans="1:4" x14ac:dyDescent="0.2">
      <c r="A5137" s="5">
        <v>5076</v>
      </c>
      <c r="B5137" s="138">
        <f>'Revenues 9-14'!C127</f>
        <v>27916</v>
      </c>
      <c r="D5137" s="2" t="str">
        <f t="shared" si="79"/>
        <v>Error?</v>
      </c>
    </row>
    <row r="5138" spans="1:4" x14ac:dyDescent="0.2">
      <c r="A5138" s="10">
        <v>5077</v>
      </c>
      <c r="D5138" s="2" t="str">
        <f t="shared" si="79"/>
        <v>OK</v>
      </c>
    </row>
    <row r="5139" spans="1:4" x14ac:dyDescent="0.2">
      <c r="A5139" s="5">
        <v>5078</v>
      </c>
      <c r="B5139" s="138">
        <f>'Revenues 9-14'!C128</f>
        <v>13213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2664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426871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2273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429144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4584759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187765</v>
      </c>
      <c r="D5239" s="2" t="str">
        <f t="shared" si="80"/>
        <v>Error?</v>
      </c>
    </row>
    <row r="5240" spans="1:4" x14ac:dyDescent="0.2">
      <c r="A5240" s="5">
        <v>5179</v>
      </c>
      <c r="B5240" s="138">
        <f>'Revenues 9-14'!C195</f>
        <v>1820</v>
      </c>
      <c r="D5240" s="2" t="str">
        <f t="shared" si="80"/>
        <v>Error?</v>
      </c>
    </row>
    <row r="5241" spans="1:4" x14ac:dyDescent="0.2">
      <c r="A5241" s="5">
        <v>5180</v>
      </c>
      <c r="B5241" s="138">
        <f>'Revenues 9-14'!C196</f>
        <v>7210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196795</v>
      </c>
      <c r="C5246" s="2" t="s">
        <v>594</v>
      </c>
      <c r="D5246" s="2" t="str">
        <f t="shared" si="80"/>
        <v>Error?</v>
      </c>
    </row>
    <row r="5247" spans="1:4" x14ac:dyDescent="0.2">
      <c r="A5247" s="5">
        <v>5186</v>
      </c>
      <c r="B5247" s="138">
        <f>'Revenues 9-14'!C203</f>
        <v>190902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8400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190902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20011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374410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394421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866646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866646</v>
      </c>
      <c r="C5326" s="2" t="s">
        <v>594</v>
      </c>
      <c r="D5326" s="2" t="str">
        <f t="shared" si="82"/>
        <v>Error?</v>
      </c>
    </row>
    <row r="5327" spans="1:4" x14ac:dyDescent="0.2">
      <c r="A5327" s="5">
        <v>5266</v>
      </c>
      <c r="B5327" s="138">
        <f>'Revenues 9-14'!C275</f>
        <v>16486850</v>
      </c>
      <c r="C5327" s="2" t="s">
        <v>594</v>
      </c>
      <c r="D5327" s="2" t="str">
        <f t="shared" si="82"/>
        <v>Error?</v>
      </c>
    </row>
    <row r="5328" spans="1:4" x14ac:dyDescent="0.2">
      <c r="A5328" s="5">
        <v>5267</v>
      </c>
      <c r="B5328" s="138">
        <f>'Revenues 9-14'!D5</f>
        <v>1285882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1285882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427927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427927</v>
      </c>
      <c r="C5339" s="2" t="s">
        <v>594</v>
      </c>
      <c r="D5339" s="2" t="str">
        <f t="shared" si="82"/>
        <v>Error?</v>
      </c>
    </row>
    <row r="5340" spans="1:4" x14ac:dyDescent="0.2">
      <c r="A5340" s="5">
        <v>5279</v>
      </c>
      <c r="B5340" s="138">
        <f>'Revenues 9-14'!D65</f>
        <v>25776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25776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10410</v>
      </c>
      <c r="D5349" s="2" t="str">
        <f t="shared" si="82"/>
        <v>Error?</v>
      </c>
    </row>
    <row r="5350" spans="1:4" x14ac:dyDescent="0.2">
      <c r="A5350" s="5">
        <v>5289</v>
      </c>
      <c r="B5350" s="138">
        <f>'Revenues 9-14'!D96</f>
        <v>19303</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1087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30800</v>
      </c>
      <c r="C5355" s="2" t="s">
        <v>594</v>
      </c>
      <c r="D5355" s="2" t="str">
        <f t="shared" si="82"/>
        <v>Error?</v>
      </c>
    </row>
    <row r="5356" spans="1:4" x14ac:dyDescent="0.2">
      <c r="A5356" s="5">
        <v>5295</v>
      </c>
      <c r="B5356" s="138">
        <f>'Revenues 9-14'!D109</f>
        <v>1770385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1770385</v>
      </c>
      <c r="C5508" s="2" t="s">
        <v>594</v>
      </c>
      <c r="D5508" s="2" t="str">
        <f t="shared" si="85"/>
        <v>Error?</v>
      </c>
    </row>
    <row r="5509" spans="1:4" x14ac:dyDescent="0.2">
      <c r="A5509" s="5">
        <v>5448</v>
      </c>
      <c r="B5509" s="138">
        <f>'Revenues 9-14'!E5</f>
        <v>903698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903698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9988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9988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913686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913686</v>
      </c>
      <c r="C5552" s="2" t="s">
        <v>594</v>
      </c>
      <c r="D5552" s="2" t="str">
        <f t="shared" si="85"/>
        <v>Error?</v>
      </c>
    </row>
    <row r="5553" spans="1:4" x14ac:dyDescent="0.2">
      <c r="A5553" s="5">
        <v>5492</v>
      </c>
      <c r="B5553" s="138">
        <f>'Revenues 9-14'!F5</f>
        <v>442936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442936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14671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14671</v>
      </c>
      <c r="C5579" s="2" t="s">
        <v>594</v>
      </c>
      <c r="D5579" s="2" t="str">
        <f t="shared" si="86"/>
        <v>Error?</v>
      </c>
    </row>
    <row r="5580" spans="1:4" x14ac:dyDescent="0.2">
      <c r="A5580" s="5">
        <v>5519</v>
      </c>
      <c r="B5580" s="138">
        <f>'Revenues 9-14'!F65</f>
        <v>10400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10400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468007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272497</v>
      </c>
      <c r="D5615" s="2" t="str">
        <f t="shared" si="86"/>
        <v>Error?</v>
      </c>
    </row>
    <row r="5616" spans="1:4" x14ac:dyDescent="0.2">
      <c r="A5616" s="10">
        <v>5555</v>
      </c>
      <c r="D5616" s="2" t="str">
        <f t="shared" si="86"/>
        <v>OK</v>
      </c>
    </row>
    <row r="5617" spans="1:4" x14ac:dyDescent="0.2">
      <c r="A5617" s="5">
        <v>5556</v>
      </c>
      <c r="B5617" s="138">
        <f>'Revenues 9-14'!F152</f>
        <v>215207</v>
      </c>
      <c r="D5617" s="2" t="str">
        <f t="shared" si="86"/>
        <v>Error?</v>
      </c>
    </row>
    <row r="5618" spans="1:4" x14ac:dyDescent="0.2">
      <c r="A5618" s="5">
        <v>5557</v>
      </c>
      <c r="B5618" s="138">
        <f>'Revenues 9-14'!F154</f>
        <v>487704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487704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487704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13404</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13404</v>
      </c>
      <c r="C5719" s="2" t="s">
        <v>594</v>
      </c>
      <c r="D5719" s="2" t="str">
        <f t="shared" si="88"/>
        <v>Error?</v>
      </c>
    </row>
    <row r="5720" spans="1:4" x14ac:dyDescent="0.2">
      <c r="A5720" s="5">
        <v>5659</v>
      </c>
      <c r="B5720" s="138">
        <f>'Revenues 9-14'!F275</f>
        <v>969115</v>
      </c>
      <c r="C5720" s="2" t="s">
        <v>594</v>
      </c>
      <c r="D5720" s="2" t="str">
        <f t="shared" si="88"/>
        <v>Error?</v>
      </c>
    </row>
    <row r="5721" spans="1:4" x14ac:dyDescent="0.2">
      <c r="A5721" s="5">
        <v>5660</v>
      </c>
      <c r="B5721" s="138">
        <f>'Revenues 9-14'!G5</f>
        <v>181892</v>
      </c>
      <c r="D5721" s="2" t="str">
        <f t="shared" si="88"/>
        <v>Error?</v>
      </c>
    </row>
    <row r="5722" spans="1:4" x14ac:dyDescent="0.2">
      <c r="A5722" s="5">
        <v>5661</v>
      </c>
      <c r="B5722" s="138">
        <f>'Revenues 9-14'!G7</f>
        <v>0</v>
      </c>
      <c r="D5722" s="2" t="str">
        <f t="shared" si="88"/>
        <v>Error?</v>
      </c>
    </row>
    <row r="5723" spans="1:4" x14ac:dyDescent="0.2">
      <c r="A5723" s="5">
        <v>5662</v>
      </c>
      <c r="B5723" s="138">
        <f>'Revenues 9-14'!G8</f>
        <v>212344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394236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20000</v>
      </c>
      <c r="C5730" s="2" t="s">
        <v>594</v>
      </c>
      <c r="D5730" s="2" t="str">
        <f t="shared" si="88"/>
        <v>Error?</v>
      </c>
    </row>
    <row r="5731" spans="1:4" x14ac:dyDescent="0.2">
      <c r="A5731" s="5">
        <v>5670</v>
      </c>
      <c r="B5731" s="138">
        <f>'Revenues 9-14'!G65</f>
        <v>9035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9035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423271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15092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15092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15092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423271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15092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243033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53098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1587.72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1685</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2168366</v>
      </c>
      <c r="D6267" s="2" t="str">
        <f t="shared" si="96"/>
        <v>Error?</v>
      </c>
      <c r="E6267" s="2" t="s">
        <v>199</v>
      </c>
    </row>
    <row r="6268" spans="1:5" x14ac:dyDescent="0.2">
      <c r="A6268">
        <v>6207</v>
      </c>
      <c r="B6268" s="138">
        <f>'Acct Summary 7-8'!D82</f>
        <v>245610</v>
      </c>
      <c r="D6268" s="2" t="str">
        <f t="shared" si="96"/>
        <v>Error?</v>
      </c>
      <c r="E6268" s="2" t="s">
        <v>199</v>
      </c>
    </row>
    <row r="6269" spans="1:5" x14ac:dyDescent="0.2">
      <c r="A6269">
        <v>6208</v>
      </c>
      <c r="B6269" s="138">
        <f>'Acct Summary 7-8'!E82</f>
        <v>-70847</v>
      </c>
      <c r="D6269" s="2" t="str">
        <f t="shared" si="96"/>
        <v>Error?</v>
      </c>
      <c r="E6269" s="2" t="s">
        <v>199</v>
      </c>
    </row>
    <row r="6270" spans="1:5" x14ac:dyDescent="0.2">
      <c r="A6270">
        <v>6209</v>
      </c>
      <c r="B6270" s="138">
        <f>'Acct Summary 7-8'!F82</f>
        <v>41592</v>
      </c>
      <c r="D6270" s="2" t="str">
        <f t="shared" si="96"/>
        <v>Error?</v>
      </c>
      <c r="E6270" s="2" t="s">
        <v>199</v>
      </c>
    </row>
    <row r="6271" spans="1:5" x14ac:dyDescent="0.2">
      <c r="A6271">
        <v>6210</v>
      </c>
      <c r="B6271" s="138">
        <f>'Acct Summary 7-8'!G82</f>
        <v>7075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15092</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0.19385001973932647</v>
      </c>
      <c r="D6276" s="2" t="str">
        <f t="shared" si="97"/>
        <v>Error?</v>
      </c>
      <c r="E6276" s="2" t="s">
        <v>199</v>
      </c>
    </row>
    <row r="6277" spans="1:5" x14ac:dyDescent="0.2">
      <c r="A6277">
        <v>6216</v>
      </c>
      <c r="B6277" s="138">
        <f>'Acct Summary 7-8'!D83</f>
        <v>9.8189602959960182E-2</v>
      </c>
      <c r="D6277" s="2" t="str">
        <f t="shared" si="97"/>
        <v>Error?</v>
      </c>
      <c r="E6277" s="2" t="s">
        <v>199</v>
      </c>
    </row>
    <row r="6278" spans="1:5" x14ac:dyDescent="0.2">
      <c r="A6278">
        <v>6217</v>
      </c>
      <c r="B6278" s="138">
        <f>'Acct Summary 7-8'!E83</f>
        <v>-7.8915036596518232E-2</v>
      </c>
      <c r="D6278" s="2" t="str">
        <f t="shared" si="97"/>
        <v>Error?</v>
      </c>
      <c r="E6278" s="2" t="s">
        <v>199</v>
      </c>
    </row>
    <row r="6279" spans="1:5" x14ac:dyDescent="0.2">
      <c r="A6279">
        <v>6218</v>
      </c>
      <c r="B6279" s="138">
        <f>'Acct Summary 7-8'!F83</f>
        <v>5.16743344096749E-2</v>
      </c>
      <c r="D6279" s="2" t="str">
        <f t="shared" si="97"/>
        <v>Error?</v>
      </c>
      <c r="E6279" s="2" t="s">
        <v>199</v>
      </c>
    </row>
    <row r="6280" spans="1:5" x14ac:dyDescent="0.2">
      <c r="A6280">
        <v>6219</v>
      </c>
      <c r="B6280" s="138">
        <f>'Acct Summary 7-8'!G83</f>
        <v>8.814672598764825E-3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1.344664199251222E-2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39730</v>
      </c>
      <c r="D6285" s="2" t="str">
        <f t="shared" si="97"/>
        <v>Error?</v>
      </c>
      <c r="E6285" s="2" t="s">
        <v>199</v>
      </c>
    </row>
    <row r="6286" spans="1:5" x14ac:dyDescent="0.2">
      <c r="A6286">
        <v>6225</v>
      </c>
      <c r="B6286" s="138">
        <f>'Acct Summary 7-8'!E38</f>
        <v>755</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59418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60388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156725</v>
      </c>
      <c r="D6880" s="2" t="str">
        <f t="shared" si="106"/>
        <v>Error?</v>
      </c>
    </row>
    <row r="6881" spans="1:4" x14ac:dyDescent="0.2">
      <c r="A6881">
        <v>6820</v>
      </c>
      <c r="B6881" s="138">
        <f>'Expenditures 15-22'!K22</f>
        <v>156725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3433</v>
      </c>
      <c r="D7073" s="2" t="str">
        <f t="shared" si="109"/>
        <v>Error?</v>
      </c>
    </row>
    <row r="7074" spans="1:4" x14ac:dyDescent="0.2">
      <c r="A7074">
        <v>7013</v>
      </c>
      <c r="B7074" s="138">
        <f>'Expenditures 15-22'!K216</f>
        <v>3433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970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7006</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7006</v>
      </c>
      <c r="D7609" s="2" t="str">
        <f t="shared" si="122"/>
        <v>Error?</v>
      </c>
      <c r="E7609" s="2" t="s">
        <v>19</v>
      </c>
    </row>
    <row r="7610" spans="1:5" x14ac:dyDescent="0.2">
      <c r="A7610">
        <f t="shared" si="123"/>
        <v>7549</v>
      </c>
      <c r="B7610" s="138">
        <f>'Cap Outlay Deprec 26'!H9</f>
        <v>770</v>
      </c>
      <c r="D7610" s="2" t="str">
        <f t="shared" si="122"/>
        <v>Error?</v>
      </c>
      <c r="E7610" s="2" t="s">
        <v>19</v>
      </c>
    </row>
    <row r="7611" spans="1:5" x14ac:dyDescent="0.2">
      <c r="A7611">
        <f t="shared" si="123"/>
        <v>7550</v>
      </c>
      <c r="B7611" s="138">
        <f>'Cap Outlay Deprec 26'!I9</f>
        <v>350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1120</v>
      </c>
      <c r="D7613" s="2" t="str">
        <f t="shared" si="122"/>
        <v>Error?</v>
      </c>
      <c r="E7613" s="2" t="s">
        <v>19</v>
      </c>
    </row>
    <row r="7614" spans="1:5" x14ac:dyDescent="0.2">
      <c r="A7614">
        <f t="shared" si="123"/>
        <v>7553</v>
      </c>
      <c r="B7614" s="138">
        <f>'Cap Outlay Deprec 26'!L9</f>
        <v>5886</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755132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39730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755</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60903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982890</v>
      </c>
      <c r="D7797" s="2" t="str">
        <f t="shared" si="127"/>
        <v>Error?</v>
      </c>
      <c r="E7797" s="4" t="s">
        <v>2017</v>
      </c>
    </row>
    <row r="7798" spans="1:5" x14ac:dyDescent="0.2">
      <c r="A7798">
        <v>7737</v>
      </c>
      <c r="B7798" s="138">
        <f>'Contracts Paid in CY 29'!F141</f>
        <v>75000</v>
      </c>
      <c r="D7798" s="2" t="str">
        <f t="shared" si="127"/>
        <v>Error?</v>
      </c>
      <c r="E7798" s="4" t="s">
        <v>2017</v>
      </c>
    </row>
    <row r="7799" spans="1:5" x14ac:dyDescent="0.2">
      <c r="A7799">
        <v>7738</v>
      </c>
      <c r="B7799" s="138">
        <f>'Contracts Paid in CY 29'!G141</f>
        <v>907890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60"/>
  <sheetViews>
    <sheetView showGridLines="0" showZeros="0" zoomScale="110" zoomScaleNormal="110" workbookViewId="0">
      <selection activeCell="L24" sqref="L24"/>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3" t="s">
        <v>1253</v>
      </c>
      <c r="B2" s="2433"/>
      <c r="C2" s="2433"/>
      <c r="D2" s="2433"/>
      <c r="E2" s="2433"/>
      <c r="F2" s="2433"/>
      <c r="G2" s="2433"/>
      <c r="H2" s="2433"/>
      <c r="I2" s="2433"/>
      <c r="J2" s="2433"/>
      <c r="K2" s="2433"/>
      <c r="L2" s="2433"/>
    </row>
    <row r="3" spans="1:29" ht="13.5" customHeight="1" x14ac:dyDescent="0.2">
      <c r="A3" s="2419" t="s">
        <v>1252</v>
      </c>
      <c r="B3" s="2419"/>
      <c r="C3" s="2419"/>
      <c r="D3" s="2419"/>
      <c r="E3" s="2419"/>
      <c r="F3" s="2419"/>
      <c r="G3" s="2419"/>
      <c r="H3" s="2419"/>
      <c r="I3" s="2419"/>
      <c r="J3" s="2419"/>
      <c r="K3" s="2419"/>
      <c r="L3" s="2419"/>
    </row>
    <row r="4" spans="1:29" ht="13.5" customHeight="1" x14ac:dyDescent="0.2">
      <c r="A4" s="2433" t="s">
        <v>1799</v>
      </c>
      <c r="B4" s="2450"/>
      <c r="C4" s="2450"/>
      <c r="D4" s="2450"/>
      <c r="E4" s="2450"/>
      <c r="F4" s="2450"/>
      <c r="G4" s="2450"/>
      <c r="H4" s="2450"/>
      <c r="I4" s="2450"/>
      <c r="J4" s="2450"/>
      <c r="K4" s="2450"/>
      <c r="L4" s="245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3" t="str">
        <f>COVER!A17</f>
        <v>Kinnikinnick Community Consolidated School District #131</v>
      </c>
      <c r="B7" s="2414"/>
      <c r="C7" s="2414"/>
      <c r="D7" s="2451"/>
      <c r="E7" s="2452">
        <f>COVER!A13</f>
        <v>4101131004</v>
      </c>
      <c r="F7" s="2453"/>
      <c r="G7" s="2420" t="str">
        <f>COVER!T23</f>
        <v>066-004238</v>
      </c>
      <c r="H7" s="2421"/>
      <c r="I7" s="2421"/>
      <c r="J7" s="2421"/>
      <c r="K7" s="2421"/>
      <c r="L7" s="242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3"/>
      <c r="B9" s="2424"/>
      <c r="C9" s="2424"/>
      <c r="D9" s="2424"/>
      <c r="E9" s="2424"/>
      <c r="F9" s="2425"/>
      <c r="G9" s="2426" t="str">
        <f>COVER!T13</f>
        <v xml:space="preserve">Benning Group, LLC </v>
      </c>
      <c r="H9" s="2427"/>
      <c r="I9" s="2427"/>
      <c r="J9" s="2427"/>
      <c r="K9" s="2427"/>
      <c r="L9" s="2428"/>
    </row>
    <row r="10" spans="1:29" ht="13.5" customHeight="1" x14ac:dyDescent="0.2">
      <c r="A10" s="2410" t="str">
        <f>COVER!A38</f>
        <v xml:space="preserve">Ms. Keli Freedlund </v>
      </c>
      <c r="B10" s="2411"/>
      <c r="C10" s="2411"/>
      <c r="D10" s="2411"/>
      <c r="E10" s="2411"/>
      <c r="F10" s="2412"/>
      <c r="G10" s="2426" t="str">
        <f>COVER!T17</f>
        <v>50 W Douglas Street, Suite 801</v>
      </c>
      <c r="H10" s="2439"/>
      <c r="I10" s="2439"/>
      <c r="J10" s="2439"/>
      <c r="K10" s="2439"/>
      <c r="L10" s="2440"/>
    </row>
    <row r="11" spans="1:29" ht="13.5" customHeight="1" x14ac:dyDescent="0.2">
      <c r="A11" s="1185" t="s">
        <v>1599</v>
      </c>
      <c r="B11" s="1186"/>
      <c r="C11" s="1187"/>
      <c r="D11" s="1192"/>
      <c r="E11" s="1187"/>
      <c r="F11" s="1191"/>
      <c r="G11" s="2426" t="str">
        <f>COVER!T19</f>
        <v>Freeport</v>
      </c>
      <c r="H11" s="2439"/>
      <c r="I11" s="2439"/>
      <c r="J11" s="2439"/>
      <c r="K11" s="2439"/>
      <c r="L11" s="2440"/>
    </row>
    <row r="12" spans="1:29" ht="13.5" customHeight="1" x14ac:dyDescent="0.2">
      <c r="A12" s="2444" t="s">
        <v>1598</v>
      </c>
      <c r="B12" s="2445"/>
      <c r="C12" s="2445"/>
      <c r="D12" s="2445"/>
      <c r="E12" s="2445"/>
      <c r="F12" s="2446"/>
      <c r="G12" s="2441"/>
      <c r="H12" s="2442"/>
      <c r="I12" s="2442"/>
      <c r="J12" s="2442"/>
      <c r="K12" s="2442"/>
      <c r="L12" s="2443"/>
    </row>
    <row r="13" spans="1:29" ht="13.5" customHeight="1" x14ac:dyDescent="0.2">
      <c r="A13" s="2426"/>
      <c r="B13" s="2439"/>
      <c r="C13" s="2439"/>
      <c r="D13" s="2439"/>
      <c r="E13" s="2439"/>
      <c r="F13" s="2440"/>
      <c r="G13" s="2434" t="s">
        <v>1600</v>
      </c>
      <c r="H13" s="2435"/>
      <c r="I13" s="2447" t="str">
        <f>COVER!T25</f>
        <v>jblocker@benninggroup.com</v>
      </c>
      <c r="J13" s="2448"/>
      <c r="K13" s="2448"/>
      <c r="L13" s="2449"/>
    </row>
    <row r="14" spans="1:29" ht="13.5" customHeight="1" x14ac:dyDescent="0.2">
      <c r="A14" s="2426" t="str">
        <f>COVER!A19</f>
        <v>5410 Pine Lane</v>
      </c>
      <c r="B14" s="2439"/>
      <c r="C14" s="2439"/>
      <c r="D14" s="2439"/>
      <c r="E14" s="2439"/>
      <c r="F14" s="2440"/>
      <c r="G14" s="1196" t="s">
        <v>1247</v>
      </c>
      <c r="H14" s="1194"/>
      <c r="I14" s="1194"/>
      <c r="J14" s="1194"/>
      <c r="K14" s="1194"/>
      <c r="L14" s="1195"/>
    </row>
    <row r="15" spans="1:29" ht="13.5" customHeight="1" x14ac:dyDescent="0.2">
      <c r="A15" s="2426" t="str">
        <f>COVER!A21</f>
        <v>Roscoe</v>
      </c>
      <c r="B15" s="2439"/>
      <c r="C15" s="2439"/>
      <c r="D15" s="2439"/>
      <c r="E15" s="2439"/>
      <c r="F15" s="2440"/>
      <c r="G15" s="2436" t="str">
        <f>COVER!T15</f>
        <v>Jenny L. Blocker</v>
      </c>
      <c r="H15" s="2437"/>
      <c r="I15" s="2437"/>
      <c r="J15" s="2437"/>
      <c r="K15" s="2437"/>
      <c r="L15" s="2438"/>
    </row>
    <row r="16" spans="1:29" ht="12.2" customHeight="1" x14ac:dyDescent="0.2">
      <c r="A16" s="2416">
        <f>COVER!A25</f>
        <v>61073</v>
      </c>
      <c r="B16" s="2417"/>
      <c r="C16" s="2417"/>
      <c r="D16" s="2417"/>
      <c r="E16" s="2417"/>
      <c r="F16" s="2418"/>
      <c r="G16" s="2429"/>
      <c r="H16" s="2430"/>
      <c r="I16" s="2430"/>
      <c r="J16" s="2430"/>
      <c r="K16" s="2430"/>
      <c r="L16" s="2431"/>
    </row>
    <row r="17" spans="1:13" ht="12.2" customHeight="1" x14ac:dyDescent="0.2">
      <c r="A17" s="2432"/>
      <c r="B17" s="2417"/>
      <c r="C17" s="2417"/>
      <c r="D17" s="2417"/>
      <c r="E17" s="2417"/>
      <c r="F17" s="2418"/>
      <c r="G17" s="1196" t="s">
        <v>1246</v>
      </c>
      <c r="H17" s="1194"/>
      <c r="I17" s="1194"/>
      <c r="J17" s="1194"/>
      <c r="K17" s="1198" t="s">
        <v>1245</v>
      </c>
      <c r="L17" s="1191"/>
      <c r="M17" s="1184"/>
    </row>
    <row r="18" spans="1:13" ht="12.2" customHeight="1" x14ac:dyDescent="0.2">
      <c r="A18" s="2410"/>
      <c r="B18" s="2411"/>
      <c r="C18" s="2411"/>
      <c r="D18" s="2411"/>
      <c r="E18" s="2411"/>
      <c r="F18" s="2412"/>
      <c r="G18" s="2413">
        <f>COVER!T21</f>
        <v>8152353157</v>
      </c>
      <c r="H18" s="2414"/>
      <c r="I18" s="2414"/>
      <c r="J18" s="2414"/>
      <c r="K18" s="2413">
        <f>COVER!X21</f>
        <v>8152353158</v>
      </c>
      <c r="L18" s="241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2107</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2107</v>
      </c>
      <c r="C26" s="1203" t="s">
        <v>1801</v>
      </c>
    </row>
    <row r="27" spans="1:13" s="1199" customFormat="1" ht="9" customHeight="1" x14ac:dyDescent="0.2">
      <c r="B27" s="1204"/>
      <c r="C27" s="1203"/>
    </row>
    <row r="28" spans="1:13" s="1199" customFormat="1" ht="12.2" customHeight="1" x14ac:dyDescent="0.2">
      <c r="A28" s="1206"/>
      <c r="B28" s="1202" t="s">
        <v>2107</v>
      </c>
      <c r="C28" s="1203" t="s">
        <v>1802</v>
      </c>
    </row>
    <row r="29" spans="1:13" s="1199" customFormat="1" ht="9" customHeight="1" x14ac:dyDescent="0.2">
      <c r="A29" s="1206"/>
      <c r="B29" s="1204"/>
      <c r="C29" s="1203"/>
    </row>
    <row r="30" spans="1:13" s="1199" customFormat="1" ht="12.2" customHeight="1" x14ac:dyDescent="0.2">
      <c r="B30" s="1202" t="s">
        <v>2107</v>
      </c>
      <c r="C30" s="1203" t="s">
        <v>1643</v>
      </c>
      <c r="D30" s="1197"/>
      <c r="E30" s="1197"/>
    </row>
    <row r="31" spans="1:13" s="1199" customFormat="1" ht="9" customHeight="1" x14ac:dyDescent="0.2">
      <c r="B31" s="1204"/>
      <c r="C31" s="1203"/>
      <c r="D31" s="1197"/>
      <c r="E31" s="1197"/>
    </row>
    <row r="32" spans="1:13" s="1199" customFormat="1" ht="12.2" customHeight="1" x14ac:dyDescent="0.2">
      <c r="B32" s="1202" t="s">
        <v>2107</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2107</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2107</v>
      </c>
      <c r="C38" s="1203" t="s">
        <v>1647</v>
      </c>
    </row>
    <row r="39" spans="1:8" ht="9" customHeight="1" x14ac:dyDescent="0.2">
      <c r="B39" s="1204"/>
      <c r="C39" s="1207"/>
    </row>
    <row r="40" spans="1:8" s="1199" customFormat="1" ht="13.5" customHeight="1" x14ac:dyDescent="0.2">
      <c r="B40" s="1202" t="s">
        <v>2107</v>
      </c>
      <c r="C40" s="1203" t="s">
        <v>1648</v>
      </c>
    </row>
    <row r="41" spans="1:8" ht="9" customHeight="1" x14ac:dyDescent="0.2">
      <c r="A41" s="1208"/>
      <c r="B41" s="1204"/>
      <c r="C41" s="1207"/>
    </row>
    <row r="42" spans="1:8" s="1199" customFormat="1" ht="13.5" customHeight="1" x14ac:dyDescent="0.2">
      <c r="B42" s="1202" t="s">
        <v>2107</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t="s">
        <v>2107</v>
      </c>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27"/>
  <sheetViews>
    <sheetView showGridLines="0" topLeftCell="A31" zoomScale="125" zoomScaleNormal="125" workbookViewId="0">
      <selection activeCell="F65" sqref="F65"/>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4" t="str">
        <f>'Single Audit Cover'!A7</f>
        <v>Kinnikinnick Community Consolidated School District #131</v>
      </c>
      <c r="B1" s="2450"/>
      <c r="C1" s="2450"/>
      <c r="D1" s="2450"/>
    </row>
    <row r="2" spans="1:11" s="1215" customFormat="1" ht="12.75" x14ac:dyDescent="0.2">
      <c r="A2" s="2455">
        <f>'Single Audit Cover'!E7</f>
        <v>4101131004</v>
      </c>
      <c r="B2" s="2456"/>
      <c r="C2" s="2456"/>
      <c r="D2" s="2456"/>
    </row>
    <row r="3" spans="1:11" s="1215" customFormat="1" ht="12.75" x14ac:dyDescent="0.2">
      <c r="A3" s="2454" t="s">
        <v>1593</v>
      </c>
      <c r="B3" s="2450"/>
      <c r="C3" s="2450"/>
      <c r="D3" s="245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2107</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2107</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2107</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2107</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2107</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2107</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2107</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2107</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2117</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2117</v>
      </c>
      <c r="C42" s="1232">
        <v>11</v>
      </c>
      <c r="D42" s="1243" t="s">
        <v>1655</v>
      </c>
      <c r="E42" s="312"/>
    </row>
    <row r="43" spans="1:5" ht="3" customHeight="1" x14ac:dyDescent="0.2">
      <c r="A43" s="1222"/>
      <c r="B43" s="1239"/>
      <c r="C43" s="1240"/>
      <c r="D43" s="1221"/>
    </row>
    <row r="44" spans="1:5" x14ac:dyDescent="0.2">
      <c r="A44" s="1222"/>
      <c r="B44" s="1225" t="s">
        <v>2107</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2107</v>
      </c>
      <c r="C48" s="1226">
        <f>C44+1</f>
        <v>13</v>
      </c>
      <c r="D48" s="1237" t="s">
        <v>1656</v>
      </c>
    </row>
    <row r="49" spans="1:4" ht="3" customHeight="1" x14ac:dyDescent="0.2">
      <c r="A49" s="1222"/>
      <c r="B49" s="1229"/>
      <c r="C49" s="1226"/>
      <c r="D49" s="1237"/>
    </row>
    <row r="50" spans="1:4" x14ac:dyDescent="0.2">
      <c r="A50" s="1222"/>
      <c r="B50" s="1225" t="s">
        <v>2107</v>
      </c>
      <c r="C50" s="1226">
        <f>C48+1</f>
        <v>14</v>
      </c>
      <c r="D50" s="1237" t="s">
        <v>1274</v>
      </c>
    </row>
    <row r="51" spans="1:4" ht="3" customHeight="1" x14ac:dyDescent="0.2">
      <c r="A51" s="1222"/>
      <c r="B51" s="1229"/>
      <c r="C51" s="1226"/>
      <c r="D51" s="1237"/>
    </row>
    <row r="52" spans="1:4" x14ac:dyDescent="0.2">
      <c r="A52" s="1222"/>
      <c r="B52" s="1225" t="s">
        <v>2107</v>
      </c>
      <c r="C52" s="1226">
        <f>C50+1</f>
        <v>15</v>
      </c>
      <c r="D52" s="1237" t="s">
        <v>1273</v>
      </c>
    </row>
    <row r="53" spans="1:4" ht="3" customHeight="1" x14ac:dyDescent="0.2">
      <c r="A53" s="1222"/>
      <c r="B53" s="1229"/>
      <c r="C53" s="1226"/>
      <c r="D53" s="1237"/>
    </row>
    <row r="54" spans="1:4" x14ac:dyDescent="0.2">
      <c r="A54" s="1222"/>
      <c r="B54" s="1225" t="s">
        <v>2107</v>
      </c>
      <c r="C54" s="1226">
        <f>C52+1</f>
        <v>16</v>
      </c>
      <c r="D54" s="1237" t="s">
        <v>1272</v>
      </c>
    </row>
    <row r="55" spans="1:4" ht="3" customHeight="1" x14ac:dyDescent="0.2">
      <c r="A55" s="1222"/>
      <c r="B55" s="1229"/>
      <c r="C55" s="1226"/>
      <c r="D55" s="1237"/>
    </row>
    <row r="56" spans="1:4" x14ac:dyDescent="0.2">
      <c r="A56" s="1222"/>
      <c r="B56" s="1225" t="s">
        <v>2107</v>
      </c>
      <c r="C56" s="1226">
        <f>C54+1</f>
        <v>17</v>
      </c>
      <c r="D56" s="1221" t="s">
        <v>1811</v>
      </c>
    </row>
    <row r="57" spans="1:4" ht="10.5" customHeight="1" x14ac:dyDescent="0.2">
      <c r="A57" s="1222"/>
      <c r="D57" s="1237" t="s">
        <v>1812</v>
      </c>
    </row>
    <row r="58" spans="1:4" x14ac:dyDescent="0.2">
      <c r="A58" s="1222"/>
      <c r="C58" s="1244" t="s">
        <v>2107</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2117</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2107</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2107</v>
      </c>
      <c r="D69" s="1237" t="s">
        <v>1816</v>
      </c>
    </row>
    <row r="70" spans="1:4" x14ac:dyDescent="0.2">
      <c r="A70" s="1222"/>
      <c r="D70" s="1246" t="s">
        <v>1268</v>
      </c>
    </row>
    <row r="71" spans="1:4" ht="3" customHeight="1" x14ac:dyDescent="0.2">
      <c r="A71" s="1222"/>
      <c r="D71" s="1221"/>
    </row>
    <row r="72" spans="1:4" x14ac:dyDescent="0.2">
      <c r="A72" s="1222"/>
      <c r="B72" s="1225" t="s">
        <v>2107</v>
      </c>
      <c r="C72" s="1226">
        <f>C56+1</f>
        <v>18</v>
      </c>
      <c r="D72" s="1247" t="s">
        <v>1817</v>
      </c>
    </row>
    <row r="73" spans="1:4" ht="3" customHeight="1" x14ac:dyDescent="0.2">
      <c r="A73" s="1222"/>
      <c r="B73" s="1229"/>
      <c r="C73" s="1226"/>
      <c r="D73" s="1247"/>
    </row>
    <row r="74" spans="1:4" x14ac:dyDescent="0.2">
      <c r="A74" s="1222"/>
      <c r="B74" s="1225" t="s">
        <v>2107</v>
      </c>
      <c r="C74" s="1226">
        <f>C72+1</f>
        <v>19</v>
      </c>
      <c r="D74" s="1237" t="s">
        <v>1267</v>
      </c>
    </row>
    <row r="75" spans="1:4" ht="3" customHeight="1" x14ac:dyDescent="0.2">
      <c r="A75" s="1222"/>
      <c r="B75" s="1229"/>
      <c r="C75" s="1226"/>
      <c r="D75" s="1237"/>
    </row>
    <row r="76" spans="1:4" x14ac:dyDescent="0.2">
      <c r="A76" s="1222"/>
      <c r="B76" s="1225" t="s">
        <v>2107</v>
      </c>
      <c r="C76" s="1226">
        <f>C74+1</f>
        <v>20</v>
      </c>
      <c r="D76" s="1248" t="s">
        <v>1818</v>
      </c>
    </row>
    <row r="77" spans="1:4" ht="3" customHeight="1" x14ac:dyDescent="0.2">
      <c r="A77" s="1222"/>
      <c r="B77" s="1229"/>
      <c r="C77" s="1226"/>
      <c r="D77" s="1248"/>
    </row>
    <row r="78" spans="1:4" x14ac:dyDescent="0.2">
      <c r="A78" s="1222"/>
      <c r="B78" s="1225" t="s">
        <v>2107</v>
      </c>
      <c r="C78" s="1226">
        <f>C76+1</f>
        <v>21</v>
      </c>
      <c r="D78" s="1221" t="s">
        <v>1819</v>
      </c>
    </row>
    <row r="79" spans="1:4" ht="3" customHeight="1" x14ac:dyDescent="0.2">
      <c r="A79" s="1222"/>
      <c r="B79" s="1229"/>
      <c r="C79" s="1226"/>
      <c r="D79" s="1221"/>
    </row>
    <row r="80" spans="1:4" x14ac:dyDescent="0.2">
      <c r="A80" s="1222"/>
      <c r="B80" s="1225" t="s">
        <v>2107</v>
      </c>
      <c r="C80" s="1226">
        <f>C78+1</f>
        <v>22</v>
      </c>
      <c r="D80" s="1249" t="s">
        <v>1820</v>
      </c>
    </row>
    <row r="81" spans="1:4" ht="3" customHeight="1" x14ac:dyDescent="0.2">
      <c r="A81" s="1222"/>
      <c r="B81" s="1229"/>
      <c r="C81" s="1226"/>
      <c r="D81" s="1249"/>
    </row>
    <row r="82" spans="1:4" x14ac:dyDescent="0.2">
      <c r="A82" s="1222"/>
      <c r="B82" s="1225" t="s">
        <v>2107</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2107</v>
      </c>
      <c r="C85" s="1226">
        <f>C82+1</f>
        <v>24</v>
      </c>
      <c r="D85" s="1237" t="s">
        <v>1265</v>
      </c>
    </row>
    <row r="86" spans="1:4" ht="3" customHeight="1" x14ac:dyDescent="0.2">
      <c r="A86" s="1222"/>
      <c r="B86" s="1229"/>
      <c r="C86" s="1226"/>
      <c r="D86" s="1237"/>
    </row>
    <row r="87" spans="1:4" x14ac:dyDescent="0.2">
      <c r="A87" s="1222"/>
      <c r="B87" s="1225" t="s">
        <v>2107</v>
      </c>
      <c r="C87" s="1226">
        <f>C85+1</f>
        <v>25</v>
      </c>
      <c r="D87" s="1237" t="s">
        <v>1264</v>
      </c>
    </row>
    <row r="88" spans="1:4" ht="3" customHeight="1" x14ac:dyDescent="0.2">
      <c r="A88" s="1222"/>
      <c r="B88" s="1229"/>
      <c r="C88" s="1226"/>
      <c r="D88" s="1237"/>
    </row>
    <row r="89" spans="1:4" x14ac:dyDescent="0.2">
      <c r="A89" s="1222"/>
      <c r="B89" s="1225" t="s">
        <v>2107</v>
      </c>
      <c r="C89" s="1226">
        <f>C87+1</f>
        <v>26</v>
      </c>
      <c r="D89" s="1237" t="s">
        <v>1263</v>
      </c>
    </row>
    <row r="90" spans="1:4" ht="3" customHeight="1" x14ac:dyDescent="0.2">
      <c r="A90" s="1222"/>
      <c r="B90" s="1229"/>
      <c r="C90" s="1226"/>
      <c r="D90" s="1237"/>
    </row>
    <row r="91" spans="1:4" x14ac:dyDescent="0.2">
      <c r="A91" s="1222"/>
      <c r="B91" s="1225" t="s">
        <v>2117</v>
      </c>
      <c r="C91" s="1226">
        <f>C89+1</f>
        <v>27</v>
      </c>
      <c r="D91" s="1237" t="s">
        <v>1822</v>
      </c>
    </row>
    <row r="92" spans="1:4" x14ac:dyDescent="0.2">
      <c r="A92" s="1222"/>
      <c r="B92" s="1250"/>
      <c r="C92" s="1244" t="s">
        <v>2117</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2107</v>
      </c>
      <c r="C96" s="1226">
        <f>C91+1</f>
        <v>28</v>
      </c>
      <c r="D96" s="1237" t="s">
        <v>1823</v>
      </c>
    </row>
    <row r="97" spans="1:4" ht="3" customHeight="1" x14ac:dyDescent="0.2">
      <c r="A97" s="1222"/>
      <c r="B97" s="1229"/>
      <c r="C97" s="1226"/>
      <c r="D97" s="1237"/>
    </row>
    <row r="98" spans="1:4" x14ac:dyDescent="0.2">
      <c r="A98" s="1222"/>
      <c r="B98" s="1225" t="s">
        <v>2107</v>
      </c>
      <c r="C98" s="1226">
        <f>C96+1</f>
        <v>29</v>
      </c>
      <c r="D98" s="1251" t="s">
        <v>1824</v>
      </c>
    </row>
    <row r="99" spans="1:4" ht="3" customHeight="1" x14ac:dyDescent="0.2">
      <c r="A99" s="1222"/>
      <c r="B99" s="1229"/>
      <c r="C99" s="1226"/>
      <c r="D99" s="1251"/>
    </row>
    <row r="100" spans="1:4" x14ac:dyDescent="0.2">
      <c r="A100" s="1222"/>
      <c r="B100" s="1225" t="s">
        <v>2107</v>
      </c>
      <c r="C100" s="1226">
        <f>C98+1</f>
        <v>30</v>
      </c>
      <c r="D100" s="1237" t="s">
        <v>1825</v>
      </c>
    </row>
    <row r="101" spans="1:4" ht="3" customHeight="1" x14ac:dyDescent="0.2">
      <c r="A101" s="1222"/>
      <c r="B101" s="1229"/>
      <c r="C101" s="1226"/>
      <c r="D101" s="1252"/>
    </row>
    <row r="102" spans="1:4" x14ac:dyDescent="0.2">
      <c r="A102" s="1222"/>
      <c r="B102" s="1225" t="s">
        <v>2107</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2107</v>
      </c>
      <c r="C106" s="1226">
        <f>C102+1</f>
        <v>32</v>
      </c>
      <c r="D106" s="1221" t="s">
        <v>1661</v>
      </c>
    </row>
    <row r="107" spans="1:4" ht="3" customHeight="1" x14ac:dyDescent="0.2">
      <c r="A107" s="1222"/>
      <c r="B107" s="1229"/>
      <c r="C107" s="1226"/>
      <c r="D107" s="1221"/>
    </row>
    <row r="108" spans="1:4" x14ac:dyDescent="0.2">
      <c r="A108" s="1222"/>
      <c r="B108" s="1225" t="s">
        <v>2117</v>
      </c>
      <c r="C108" s="1226">
        <v>33</v>
      </c>
      <c r="D108" s="1221" t="s">
        <v>1826</v>
      </c>
    </row>
    <row r="109" spans="1:4" ht="3" customHeight="1" x14ac:dyDescent="0.2">
      <c r="A109" s="1222"/>
      <c r="B109" s="1229"/>
      <c r="C109" s="1226"/>
      <c r="D109" s="1221"/>
    </row>
    <row r="110" spans="1:4" x14ac:dyDescent="0.2">
      <c r="A110" s="1222"/>
      <c r="B110" s="1225" t="s">
        <v>2117</v>
      </c>
      <c r="C110" s="1226">
        <f>C108+1</f>
        <v>34</v>
      </c>
      <c r="D110" s="1221" t="s">
        <v>1260</v>
      </c>
    </row>
    <row r="111" spans="1:4" ht="3" customHeight="1" x14ac:dyDescent="0.2">
      <c r="A111" s="1222"/>
      <c r="B111" s="1229"/>
      <c r="C111" s="1226"/>
      <c r="D111" s="1221"/>
    </row>
    <row r="112" spans="1:4" x14ac:dyDescent="0.2">
      <c r="A112" s="1222"/>
      <c r="B112" s="1225" t="s">
        <v>2117</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2117</v>
      </c>
      <c r="C115" s="1226">
        <f>C112+1</f>
        <v>36</v>
      </c>
      <c r="D115" s="1237" t="s">
        <v>1257</v>
      </c>
    </row>
    <row r="116" spans="1:4" ht="3" customHeight="1" x14ac:dyDescent="0.2">
      <c r="A116" s="1222"/>
      <c r="B116" s="1229"/>
      <c r="C116" s="1226"/>
      <c r="D116" s="1237"/>
    </row>
    <row r="117" spans="1:4" x14ac:dyDescent="0.2">
      <c r="A117" s="1222"/>
      <c r="B117" s="1225" t="s">
        <v>2117</v>
      </c>
      <c r="C117" s="1226">
        <f>C115+1</f>
        <v>37</v>
      </c>
      <c r="D117" s="1237" t="s">
        <v>1827</v>
      </c>
    </row>
    <row r="118" spans="1:4" ht="3" customHeight="1" x14ac:dyDescent="0.2">
      <c r="A118" s="1222"/>
      <c r="B118" s="1229"/>
      <c r="C118" s="1226"/>
      <c r="D118" s="1237"/>
    </row>
    <row r="119" spans="1:4" x14ac:dyDescent="0.2">
      <c r="A119" s="1222"/>
      <c r="B119" s="1225" t="s">
        <v>2117</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2107</v>
      </c>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9"/>
  <sheetViews>
    <sheetView showGridLines="0" topLeftCell="A13" zoomScale="110" zoomScaleNormal="110" zoomScaleSheetLayoutView="100" workbookViewId="0">
      <selection activeCell="I49" sqref="I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8" t="str">
        <f>'Single Audit Cover'!A7</f>
        <v>Kinnikinnick Community Consolidated School District #131</v>
      </c>
      <c r="B1" s="2458"/>
      <c r="C1" s="2458"/>
      <c r="D1" s="2458"/>
      <c r="E1" s="2458"/>
    </row>
    <row r="2" spans="1:5" x14ac:dyDescent="0.2">
      <c r="A2" s="2459">
        <f>'Single Audit Cover'!E7</f>
        <v>4101131004</v>
      </c>
      <c r="B2" s="2459"/>
      <c r="C2" s="2459"/>
      <c r="D2" s="2459"/>
      <c r="E2" s="2459"/>
    </row>
    <row r="3" spans="1:5" ht="4.5" customHeight="1" x14ac:dyDescent="0.2"/>
    <row r="4" spans="1:5" x14ac:dyDescent="0.2">
      <c r="A4" s="2458" t="s">
        <v>1307</v>
      </c>
      <c r="B4" s="2458"/>
      <c r="C4" s="2458"/>
      <c r="D4" s="2458"/>
      <c r="E4" s="2458"/>
    </row>
    <row r="5" spans="1:5" x14ac:dyDescent="0.2">
      <c r="A5" s="2461" t="str">
        <f>'Single Audit Cover'!A4</f>
        <v>Year Ending June 30, 2018</v>
      </c>
      <c r="B5" s="2461"/>
      <c r="C5" s="2461"/>
      <c r="D5" s="2461"/>
      <c r="E5" s="2461"/>
    </row>
    <row r="6" spans="1:5" x14ac:dyDescent="0.2">
      <c r="A6" s="2458" t="s">
        <v>1306</v>
      </c>
      <c r="B6" s="2458"/>
      <c r="C6" s="2458"/>
      <c r="D6" s="2458"/>
      <c r="E6" s="2458"/>
    </row>
    <row r="8" spans="1:5" x14ac:dyDescent="0.2">
      <c r="A8" s="1260" t="s">
        <v>1305</v>
      </c>
    </row>
    <row r="10" spans="1:5" x14ac:dyDescent="0.2">
      <c r="A10" s="1261" t="s">
        <v>1304</v>
      </c>
      <c r="B10" s="1262" t="s">
        <v>1303</v>
      </c>
      <c r="C10" s="1262"/>
      <c r="D10" s="1263">
        <f>SUM('Acct Summary 7-8'!C7:K7)</f>
        <v>880050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53098</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-49618</v>
      </c>
    </row>
    <row r="19" spans="1:4" ht="13.5" thickBot="1" x14ac:dyDescent="0.25">
      <c r="A19" s="1265" t="s">
        <v>1297</v>
      </c>
      <c r="D19" s="1266">
        <f>SUM(D10:D17)</f>
        <v>883530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0"/>
      <c r="B24" s="2460"/>
      <c r="D24" s="1268"/>
    </row>
    <row r="25" spans="1:4" x14ac:dyDescent="0.2">
      <c r="A25" s="2457"/>
      <c r="B25" s="2457"/>
      <c r="D25" s="1268"/>
    </row>
    <row r="26" spans="1:4" x14ac:dyDescent="0.2">
      <c r="A26" s="2457"/>
      <c r="B26" s="2457"/>
      <c r="D26" s="1268"/>
    </row>
    <row r="27" spans="1:4" x14ac:dyDescent="0.2">
      <c r="A27" s="2457"/>
      <c r="B27" s="2457"/>
      <c r="D27" s="1268"/>
    </row>
    <row r="28" spans="1:4" x14ac:dyDescent="0.2">
      <c r="A28" s="2457"/>
      <c r="B28" s="2457"/>
      <c r="D28" s="1268"/>
    </row>
    <row r="29" spans="1:4" x14ac:dyDescent="0.2">
      <c r="A29" s="2457"/>
      <c r="B29" s="2457"/>
      <c r="D29" s="1268"/>
    </row>
    <row r="30" spans="1:4" x14ac:dyDescent="0.2">
      <c r="A30" s="2457"/>
      <c r="B30" s="2457"/>
      <c r="D30" s="1268"/>
    </row>
    <row r="32" spans="1:4" x14ac:dyDescent="0.2">
      <c r="A32" s="1260" t="s">
        <v>1295</v>
      </c>
      <c r="D32" s="1263">
        <f>SUM(D19:D30)</f>
        <v>883530</v>
      </c>
    </row>
    <row r="33" spans="1:4" x14ac:dyDescent="0.2">
      <c r="D33" s="1269"/>
    </row>
    <row r="34" spans="1:4" x14ac:dyDescent="0.2">
      <c r="A34" s="317" t="s">
        <v>1294</v>
      </c>
    </row>
    <row r="35" spans="1:4" x14ac:dyDescent="0.2">
      <c r="A35" s="317" t="s">
        <v>1293</v>
      </c>
      <c r="B35" s="1258" t="s">
        <v>1292</v>
      </c>
      <c r="D35" s="1270">
        <f>' SEFA (3)'!F27</f>
        <v>883530</v>
      </c>
    </row>
    <row r="37" spans="1:4" x14ac:dyDescent="0.2">
      <c r="A37" s="1260" t="s">
        <v>1291</v>
      </c>
    </row>
    <row r="39" spans="1:4" ht="13.35" customHeight="1" x14ac:dyDescent="0.2">
      <c r="A39" s="1267" t="s">
        <v>1290</v>
      </c>
    </row>
    <row r="40" spans="1:4" x14ac:dyDescent="0.2">
      <c r="A40" s="2457"/>
      <c r="B40" s="2457"/>
      <c r="D40" s="1268"/>
    </row>
    <row r="41" spans="1:4" x14ac:dyDescent="0.2">
      <c r="A41" s="2457"/>
      <c r="B41" s="2457"/>
      <c r="D41" s="1271"/>
    </row>
    <row r="42" spans="1:4" x14ac:dyDescent="0.2">
      <c r="A42" s="2457"/>
      <c r="B42" s="2457"/>
      <c r="D42" s="1271"/>
    </row>
    <row r="43" spans="1:4" x14ac:dyDescent="0.2">
      <c r="A43" s="2457"/>
      <c r="B43" s="2457"/>
      <c r="D43" s="1271"/>
    </row>
    <row r="44" spans="1:4" x14ac:dyDescent="0.2">
      <c r="A44" s="2457"/>
      <c r="B44" s="2457"/>
      <c r="D44" s="1271"/>
    </row>
    <row r="45" spans="1:4" x14ac:dyDescent="0.2">
      <c r="A45" s="2457"/>
      <c r="B45" s="2457"/>
      <c r="D45" s="1271"/>
    </row>
    <row r="47" spans="1:4" x14ac:dyDescent="0.2">
      <c r="B47" s="1272" t="s">
        <v>1289</v>
      </c>
      <c r="C47" s="1272"/>
      <c r="D47" s="1273">
        <f>SUM(D35:D45)</f>
        <v>883530</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2"/>
  <sheetViews>
    <sheetView showGridLines="0" topLeftCell="A4" zoomScale="120" zoomScaleNormal="120" workbookViewId="0">
      <selection activeCell="C33" sqref="C3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Kinnikinnick Community Consolidated School District #131</v>
      </c>
      <c r="B1" s="2463"/>
      <c r="C1" s="2463"/>
      <c r="D1" s="2463"/>
      <c r="E1" s="2463"/>
      <c r="F1" s="2463"/>
    </row>
    <row r="2" spans="1:7" ht="13.5" customHeight="1" x14ac:dyDescent="0.2">
      <c r="A2" s="2464">
        <f>'Single Audit Cover'!E7</f>
        <v>4101131004</v>
      </c>
      <c r="B2" s="2464"/>
      <c r="C2" s="2464"/>
      <c r="D2" s="2464"/>
      <c r="E2" s="2464"/>
      <c r="F2" s="2464"/>
      <c r="G2" s="1275"/>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6" t="s">
        <v>1831</v>
      </c>
      <c r="C6" s="317"/>
      <c r="D6" s="317"/>
    </row>
    <row r="7" spans="1:7" ht="60.95" customHeight="1" x14ac:dyDescent="0.2">
      <c r="A7" s="2462" t="s">
        <v>2119</v>
      </c>
      <c r="B7" s="2462"/>
      <c r="C7" s="2462"/>
      <c r="D7" s="2462"/>
      <c r="E7" s="2462"/>
      <c r="F7" s="2462"/>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2107</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27.75" customHeight="1" x14ac:dyDescent="0.2">
      <c r="A13" s="2462" t="s">
        <v>2201</v>
      </c>
      <c r="B13" s="2462"/>
      <c r="C13" s="2462"/>
      <c r="D13" s="2462"/>
      <c r="E13" s="2462"/>
      <c r="F13" s="2462"/>
    </row>
    <row r="14" spans="1:7" ht="9.75" customHeight="1" x14ac:dyDescent="0.2">
      <c r="C14" s="1260"/>
      <c r="D14" s="1260"/>
    </row>
    <row r="15" spans="1:7" ht="13.5" customHeight="1" x14ac:dyDescent="0.2">
      <c r="C15" s="1871" t="s">
        <v>1332</v>
      </c>
      <c r="D15" s="2468" t="s">
        <v>1331</v>
      </c>
      <c r="E15" s="2468"/>
      <c r="F15" s="2468"/>
    </row>
    <row r="16" spans="1:7" ht="13.5" customHeight="1" x14ac:dyDescent="0.2">
      <c r="A16" s="1282"/>
      <c r="B16" s="1276" t="s">
        <v>1330</v>
      </c>
      <c r="C16" s="1871" t="s">
        <v>1329</v>
      </c>
      <c r="D16" s="2469" t="s">
        <v>1670</v>
      </c>
      <c r="E16" s="2469"/>
      <c r="F16" s="2469"/>
    </row>
    <row r="17" spans="1:6" ht="20.45" customHeight="1" x14ac:dyDescent="0.2">
      <c r="A17" s="1283"/>
      <c r="B17" s="1284" t="s">
        <v>2118</v>
      </c>
      <c r="C17" s="1285"/>
      <c r="D17" s="2467"/>
      <c r="E17" s="2467"/>
      <c r="F17" s="2467"/>
    </row>
    <row r="18" spans="1:6" ht="20.65" customHeight="1" x14ac:dyDescent="0.2">
      <c r="A18" s="1283"/>
      <c r="B18" s="1284"/>
      <c r="C18" s="1285"/>
      <c r="D18" s="2467"/>
      <c r="E18" s="2467"/>
      <c r="F18" s="2467"/>
    </row>
    <row r="19" spans="1:6" ht="20.65" customHeight="1" x14ac:dyDescent="0.2">
      <c r="A19" s="1283"/>
      <c r="B19" s="1284"/>
      <c r="C19" s="1285"/>
      <c r="D19" s="2467"/>
      <c r="E19" s="2467"/>
      <c r="F19" s="2467"/>
    </row>
    <row r="20" spans="1:6" ht="20.65" customHeight="1" x14ac:dyDescent="0.2">
      <c r="A20" s="1283"/>
      <c r="B20" s="1284"/>
      <c r="C20" s="1285"/>
      <c r="D20" s="2467"/>
      <c r="E20" s="2467"/>
      <c r="F20" s="2467"/>
    </row>
    <row r="21" spans="1:6" ht="20.65" customHeight="1" x14ac:dyDescent="0.2">
      <c r="A21" s="1283"/>
      <c r="B21" s="1284"/>
      <c r="C21" s="1285"/>
      <c r="D21" s="2467"/>
      <c r="E21" s="2467"/>
      <c r="F21" s="2467"/>
    </row>
    <row r="22" spans="1:6" ht="20.65" customHeight="1" x14ac:dyDescent="0.2">
      <c r="A22" s="1283"/>
      <c r="B22" s="1284"/>
      <c r="C22" s="1285"/>
      <c r="D22" s="2467"/>
      <c r="E22" s="2467"/>
      <c r="F22" s="2467"/>
    </row>
    <row r="23" spans="1:6" ht="20.65" customHeight="1" x14ac:dyDescent="0.2">
      <c r="A23" s="1283"/>
      <c r="B23" s="1284"/>
      <c r="C23" s="1285"/>
      <c r="D23" s="2467"/>
      <c r="E23" s="2467"/>
      <c r="F23" s="2467"/>
    </row>
    <row r="24" spans="1:6" ht="20.65" customHeight="1" x14ac:dyDescent="0.2">
      <c r="A24" s="1283"/>
      <c r="B24" s="1284"/>
      <c r="C24" s="1285"/>
      <c r="D24" s="2467"/>
      <c r="E24" s="2467"/>
      <c r="F24" s="2467"/>
    </row>
    <row r="25" spans="1:6" ht="20.65" customHeight="1" x14ac:dyDescent="0.2">
      <c r="A25" s="1283"/>
      <c r="B25" s="1284"/>
      <c r="C25" s="1285"/>
      <c r="D25" s="2467"/>
      <c r="E25" s="2467"/>
      <c r="F25" s="2467"/>
    </row>
    <row r="26" spans="1:6" ht="20.65" customHeight="1" x14ac:dyDescent="0.2">
      <c r="A26" s="1283"/>
      <c r="B26" s="1284"/>
      <c r="C26" s="1285"/>
      <c r="D26" s="2467"/>
      <c r="E26" s="2467"/>
      <c r="F26" s="2467"/>
    </row>
    <row r="27" spans="1:6" ht="20.65" customHeight="1" x14ac:dyDescent="0.2">
      <c r="A27" s="1283"/>
      <c r="B27" s="1284"/>
      <c r="C27" s="1285"/>
      <c r="D27" s="2467"/>
      <c r="E27" s="2467"/>
      <c r="F27" s="2467"/>
    </row>
    <row r="28" spans="1:6" ht="20.65" customHeight="1" x14ac:dyDescent="0.2">
      <c r="A28" s="1283"/>
      <c r="B28" s="1284"/>
      <c r="C28" s="1285"/>
      <c r="D28" s="2467"/>
      <c r="E28" s="2467"/>
      <c r="F28" s="2467"/>
    </row>
    <row r="29" spans="1:6" ht="20.65" customHeight="1" x14ac:dyDescent="0.2">
      <c r="A29" s="1283"/>
      <c r="B29" s="1284"/>
      <c r="C29" s="1285"/>
      <c r="D29" s="2467"/>
      <c r="E29" s="2467"/>
      <c r="F29" s="246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1" t="s">
        <v>2120</v>
      </c>
      <c r="B32" s="2471"/>
      <c r="C32" s="2471"/>
      <c r="D32" s="2471"/>
      <c r="E32" s="2471"/>
      <c r="F32" s="2471"/>
    </row>
    <row r="33" spans="1:6" ht="13.5" customHeight="1" x14ac:dyDescent="0.2">
      <c r="A33" s="328" t="s">
        <v>1509</v>
      </c>
      <c r="B33" s="328"/>
      <c r="C33" s="1288">
        <v>53098</v>
      </c>
      <c r="D33" s="1928"/>
      <c r="E33" s="1286"/>
    </row>
    <row r="34" spans="1:6" ht="13.5" customHeight="1" x14ac:dyDescent="0.2">
      <c r="A34" s="328" t="s">
        <v>1946</v>
      </c>
      <c r="B34" s="328"/>
      <c r="C34" s="1289">
        <v>0</v>
      </c>
      <c r="D34" s="1928" t="s">
        <v>1671</v>
      </c>
      <c r="E34" s="2472">
        <f>+C33+C34</f>
        <v>53098</v>
      </c>
      <c r="F34" s="247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4" t="s">
        <v>1672</v>
      </c>
      <c r="C49" s="2474"/>
      <c r="D49" s="2474"/>
      <c r="E49" s="1399"/>
    </row>
    <row r="50" spans="1:5" s="1300" customFormat="1" ht="3.75" customHeight="1" x14ac:dyDescent="0.2">
      <c r="A50" s="1299"/>
      <c r="B50" s="1870"/>
      <c r="C50" s="1870"/>
      <c r="D50" s="1870"/>
      <c r="E50" s="1399"/>
    </row>
    <row r="51" spans="1:5" s="1300" customFormat="1" ht="20.25" customHeight="1" x14ac:dyDescent="0.2">
      <c r="A51" s="1301">
        <v>6</v>
      </c>
      <c r="B51" s="2470" t="s">
        <v>1632</v>
      </c>
      <c r="C51" s="2470"/>
      <c r="D51" s="2470"/>
    </row>
    <row r="52" spans="1:5" ht="14.25" customHeight="1" x14ac:dyDescent="0.2">
      <c r="A52" s="1301"/>
      <c r="B52" s="2470"/>
      <c r="C52" s="2470"/>
      <c r="D52" s="247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1"/>
  <sheetViews>
    <sheetView showGridLines="0" topLeftCell="A19" zoomScaleNormal="100" workbookViewId="0">
      <selection activeCell="G19" sqref="G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9" t="str">
        <f>'Single Audit Cover'!A7</f>
        <v>Kinnikinnick Community Consolidated School District #131</v>
      </c>
      <c r="C1" s="2475"/>
      <c r="D1" s="2475"/>
      <c r="E1" s="2475"/>
      <c r="F1" s="2475"/>
      <c r="G1" s="2475"/>
      <c r="H1" s="2475"/>
      <c r="I1" s="2475"/>
      <c r="J1" s="2475"/>
      <c r="K1" s="2475"/>
      <c r="L1" s="2475"/>
      <c r="M1" s="2475"/>
    </row>
    <row r="2" spans="2:14" ht="15" x14ac:dyDescent="0.2">
      <c r="B2" s="2464">
        <f>'Single Audit Cover'!E7</f>
        <v>4101131004</v>
      </c>
      <c r="C2" s="2464"/>
      <c r="D2" s="2464"/>
      <c r="E2" s="2464"/>
      <c r="F2" s="2464"/>
      <c r="G2" s="2464"/>
      <c r="H2" s="2464"/>
      <c r="I2" s="2464"/>
      <c r="J2" s="2464"/>
      <c r="K2" s="2464"/>
      <c r="L2" s="2464"/>
      <c r="M2" s="2464"/>
      <c r="N2" s="1302"/>
    </row>
    <row r="3" spans="2:14" ht="15" x14ac:dyDescent="0.2">
      <c r="B3" s="2476" t="s">
        <v>1281</v>
      </c>
      <c r="C3" s="2476"/>
      <c r="D3" s="2476"/>
      <c r="E3" s="2476"/>
      <c r="F3" s="2476"/>
      <c r="G3" s="2476"/>
      <c r="H3" s="2476"/>
      <c r="I3" s="2476"/>
      <c r="J3" s="2476"/>
      <c r="K3" s="2476"/>
      <c r="L3" s="2476"/>
      <c r="M3" s="2476"/>
      <c r="N3" s="1302"/>
    </row>
    <row r="4" spans="2:14" ht="15" x14ac:dyDescent="0.2">
      <c r="B4" s="2477" t="str">
        <f>'Single Audit Cover'!A4</f>
        <v>Year Ending June 30, 2018</v>
      </c>
      <c r="C4" s="2477"/>
      <c r="D4" s="2477"/>
      <c r="E4" s="2477"/>
      <c r="F4" s="2477"/>
      <c r="G4" s="2477"/>
      <c r="H4" s="2477"/>
      <c r="I4" s="2477"/>
      <c r="J4" s="2477"/>
      <c r="K4" s="2477"/>
      <c r="L4" s="2477"/>
      <c r="M4" s="247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2121</v>
      </c>
      <c r="C11" s="1338"/>
      <c r="D11" s="1339"/>
      <c r="E11" s="1340"/>
      <c r="F11" s="1340"/>
      <c r="G11" s="1340"/>
      <c r="H11" s="1340"/>
      <c r="I11" s="1340"/>
      <c r="J11" s="1340"/>
      <c r="K11" s="1340"/>
      <c r="L11" s="1340">
        <f>+G11+I11+K11</f>
        <v>0</v>
      </c>
      <c r="M11" s="1340"/>
    </row>
    <row r="12" spans="2:14" ht="20.100000000000001" customHeight="1" x14ac:dyDescent="0.2">
      <c r="B12" s="1337" t="s">
        <v>2122</v>
      </c>
      <c r="C12" s="1341"/>
      <c r="D12" s="1342"/>
      <c r="E12" s="1343"/>
      <c r="F12" s="1343"/>
      <c r="G12" s="1343"/>
      <c r="H12" s="1343"/>
      <c r="I12" s="1343"/>
      <c r="J12" s="1343"/>
      <c r="K12" s="1343"/>
      <c r="L12" s="1340">
        <f t="shared" ref="L12:L27" si="0">+G12+I12+K12</f>
        <v>0</v>
      </c>
      <c r="M12" s="1343"/>
    </row>
    <row r="13" spans="2:14" ht="20.100000000000001" customHeight="1" x14ac:dyDescent="0.2">
      <c r="B13" s="1337" t="s">
        <v>2123</v>
      </c>
      <c r="C13" s="1341">
        <v>10.555</v>
      </c>
      <c r="D13" s="1342">
        <v>2017</v>
      </c>
      <c r="E13" s="1343">
        <v>14728</v>
      </c>
      <c r="F13" s="1343">
        <v>0</v>
      </c>
      <c r="G13" s="1343">
        <v>14728</v>
      </c>
      <c r="H13" s="1343">
        <v>0</v>
      </c>
      <c r="I13" s="1343">
        <v>0</v>
      </c>
      <c r="J13" s="1343">
        <v>0</v>
      </c>
      <c r="K13" s="1343">
        <v>0</v>
      </c>
      <c r="L13" s="1340">
        <f t="shared" ref="L13:L21" si="1">+G13+I13+K13</f>
        <v>14728</v>
      </c>
      <c r="M13" s="1343" t="s">
        <v>2117</v>
      </c>
    </row>
    <row r="14" spans="2:14" ht="20.100000000000001" customHeight="1" x14ac:dyDescent="0.2">
      <c r="B14" s="1337" t="s">
        <v>2123</v>
      </c>
      <c r="C14" s="1341">
        <v>10.555</v>
      </c>
      <c r="D14" s="1342">
        <v>2018</v>
      </c>
      <c r="E14" s="1343">
        <v>0</v>
      </c>
      <c r="F14" s="1343">
        <v>14860</v>
      </c>
      <c r="G14" s="1343">
        <v>0</v>
      </c>
      <c r="H14" s="1343">
        <v>0</v>
      </c>
      <c r="I14" s="1343">
        <v>14860</v>
      </c>
      <c r="J14" s="1343">
        <v>0</v>
      </c>
      <c r="K14" s="1343">
        <v>0</v>
      </c>
      <c r="L14" s="1340">
        <f t="shared" si="1"/>
        <v>14860</v>
      </c>
      <c r="M14" s="1343" t="s">
        <v>2117</v>
      </c>
    </row>
    <row r="15" spans="2:14" ht="20.100000000000001" customHeight="1" x14ac:dyDescent="0.2">
      <c r="B15" s="1337" t="s">
        <v>2202</v>
      </c>
      <c r="C15" s="1341">
        <v>10.555</v>
      </c>
      <c r="D15" s="1342">
        <v>2017</v>
      </c>
      <c r="E15" s="1343">
        <v>42828</v>
      </c>
      <c r="F15" s="1343">
        <v>0</v>
      </c>
      <c r="G15" s="1343">
        <v>42828</v>
      </c>
      <c r="H15" s="1343">
        <v>0</v>
      </c>
      <c r="I15" s="1343">
        <v>0</v>
      </c>
      <c r="J15" s="1343">
        <v>0</v>
      </c>
      <c r="K15" s="1343">
        <v>0</v>
      </c>
      <c r="L15" s="1340">
        <f t="shared" si="1"/>
        <v>42828</v>
      </c>
      <c r="M15" s="1343" t="s">
        <v>2117</v>
      </c>
    </row>
    <row r="16" spans="2:14" ht="20.100000000000001" customHeight="1" x14ac:dyDescent="0.2">
      <c r="B16" s="1337" t="s">
        <v>2202</v>
      </c>
      <c r="C16" s="1341">
        <v>10.555</v>
      </c>
      <c r="D16" s="1342">
        <v>2018</v>
      </c>
      <c r="E16" s="1343">
        <v>0</v>
      </c>
      <c r="F16" s="1343">
        <v>38238</v>
      </c>
      <c r="G16" s="1343">
        <v>0</v>
      </c>
      <c r="H16" s="1343">
        <v>0</v>
      </c>
      <c r="I16" s="1343">
        <v>38238</v>
      </c>
      <c r="J16" s="1343">
        <v>0</v>
      </c>
      <c r="K16" s="1343">
        <v>0</v>
      </c>
      <c r="L16" s="1340">
        <f t="shared" si="1"/>
        <v>38238</v>
      </c>
      <c r="M16" s="1343" t="s">
        <v>2117</v>
      </c>
    </row>
    <row r="17" spans="2:14" ht="20.100000000000001" customHeight="1" x14ac:dyDescent="0.2">
      <c r="B17" s="1337" t="s">
        <v>2124</v>
      </c>
      <c r="C17" s="1341">
        <v>10.555</v>
      </c>
      <c r="D17" s="1342" t="s">
        <v>2151</v>
      </c>
      <c r="E17" s="1343">
        <v>187902</v>
      </c>
      <c r="F17" s="1343">
        <v>32893</v>
      </c>
      <c r="G17" s="1343">
        <v>187902</v>
      </c>
      <c r="H17" s="1343">
        <v>0</v>
      </c>
      <c r="I17" s="1343">
        <v>32893</v>
      </c>
      <c r="J17" s="1343">
        <v>0</v>
      </c>
      <c r="K17" s="1343">
        <v>0</v>
      </c>
      <c r="L17" s="1340">
        <f t="shared" si="1"/>
        <v>220795</v>
      </c>
      <c r="M17" s="1343" t="s">
        <v>2117</v>
      </c>
    </row>
    <row r="18" spans="2:14" ht="20.100000000000001" customHeight="1" x14ac:dyDescent="0.2">
      <c r="B18" s="1337" t="s">
        <v>2124</v>
      </c>
      <c r="C18" s="1341">
        <v>10.555</v>
      </c>
      <c r="D18" s="1342" t="s">
        <v>2152</v>
      </c>
      <c r="E18" s="1961">
        <v>0</v>
      </c>
      <c r="F18" s="1961">
        <v>154872</v>
      </c>
      <c r="G18" s="1961">
        <v>0</v>
      </c>
      <c r="H18" s="1961">
        <v>0</v>
      </c>
      <c r="I18" s="1961">
        <v>154872</v>
      </c>
      <c r="J18" s="1961">
        <v>0</v>
      </c>
      <c r="K18" s="1961">
        <v>0</v>
      </c>
      <c r="L18" s="1962">
        <f t="shared" si="1"/>
        <v>154872</v>
      </c>
      <c r="M18" s="1343" t="s">
        <v>2117</v>
      </c>
    </row>
    <row r="19" spans="2:14" ht="20.100000000000001" customHeight="1" x14ac:dyDescent="0.2">
      <c r="B19" s="1337" t="s">
        <v>2127</v>
      </c>
      <c r="C19" s="1341"/>
      <c r="D19" s="1342"/>
      <c r="E19" s="1961">
        <f t="shared" ref="E19:K19" si="2">SUM(E13:E18)</f>
        <v>245458</v>
      </c>
      <c r="F19" s="1961">
        <f t="shared" si="2"/>
        <v>240863</v>
      </c>
      <c r="G19" s="1961">
        <f t="shared" si="2"/>
        <v>245458</v>
      </c>
      <c r="H19" s="1961">
        <f t="shared" si="2"/>
        <v>0</v>
      </c>
      <c r="I19" s="1961">
        <f t="shared" si="2"/>
        <v>240863</v>
      </c>
      <c r="J19" s="1961">
        <f t="shared" si="2"/>
        <v>0</v>
      </c>
      <c r="K19" s="1961">
        <f t="shared" si="2"/>
        <v>0</v>
      </c>
      <c r="L19" s="1962">
        <f t="shared" si="1"/>
        <v>486321</v>
      </c>
      <c r="M19" s="1343"/>
    </row>
    <row r="20" spans="2:14" ht="20.100000000000001" customHeight="1" x14ac:dyDescent="0.2">
      <c r="B20" s="1337" t="s">
        <v>2126</v>
      </c>
      <c r="C20" s="1341">
        <v>10.555999999999999</v>
      </c>
      <c r="D20" s="1342" t="s">
        <v>2153</v>
      </c>
      <c r="E20" s="1343">
        <v>1493</v>
      </c>
      <c r="F20" s="1343">
        <v>360</v>
      </c>
      <c r="G20" s="1343">
        <v>1493</v>
      </c>
      <c r="H20" s="1343">
        <v>0</v>
      </c>
      <c r="I20" s="1343">
        <v>360</v>
      </c>
      <c r="J20" s="1343">
        <v>0</v>
      </c>
      <c r="K20" s="1343">
        <v>0</v>
      </c>
      <c r="L20" s="1340">
        <f t="shared" si="1"/>
        <v>1853</v>
      </c>
      <c r="M20" s="1343" t="s">
        <v>2117</v>
      </c>
    </row>
    <row r="21" spans="2:14" ht="20.100000000000001" customHeight="1" x14ac:dyDescent="0.2">
      <c r="B21" s="1337" t="s">
        <v>2126</v>
      </c>
      <c r="C21" s="1341">
        <v>10.555999999999999</v>
      </c>
      <c r="D21" s="1342" t="s">
        <v>2154</v>
      </c>
      <c r="E21" s="1961">
        <v>0</v>
      </c>
      <c r="F21" s="1961">
        <v>1460</v>
      </c>
      <c r="G21" s="1961">
        <v>0</v>
      </c>
      <c r="H21" s="1961">
        <v>0</v>
      </c>
      <c r="I21" s="1961">
        <v>1460</v>
      </c>
      <c r="J21" s="1961">
        <v>0</v>
      </c>
      <c r="K21" s="1961">
        <v>0</v>
      </c>
      <c r="L21" s="1962">
        <f t="shared" si="1"/>
        <v>1460</v>
      </c>
      <c r="M21" s="1343" t="s">
        <v>2117</v>
      </c>
    </row>
    <row r="22" spans="2:14" ht="20.100000000000001" customHeight="1" x14ac:dyDescent="0.2">
      <c r="B22" s="1337" t="s">
        <v>2128</v>
      </c>
      <c r="C22" s="1341"/>
      <c r="D22" s="1342"/>
      <c r="E22" s="1961">
        <f t="shared" ref="E22:K22" si="3">SUM(E20:E21)</f>
        <v>1493</v>
      </c>
      <c r="F22" s="1961">
        <f t="shared" si="3"/>
        <v>1820</v>
      </c>
      <c r="G22" s="1961">
        <f t="shared" si="3"/>
        <v>1493</v>
      </c>
      <c r="H22" s="1961">
        <f t="shared" si="3"/>
        <v>0</v>
      </c>
      <c r="I22" s="1961">
        <f t="shared" si="3"/>
        <v>1820</v>
      </c>
      <c r="J22" s="1961">
        <f t="shared" si="3"/>
        <v>0</v>
      </c>
      <c r="K22" s="1961">
        <f t="shared" si="3"/>
        <v>0</v>
      </c>
      <c r="L22" s="1962">
        <f t="shared" si="0"/>
        <v>3313</v>
      </c>
      <c r="M22" s="1343"/>
    </row>
    <row r="23" spans="2:14" ht="20.100000000000001" customHeight="1" x14ac:dyDescent="0.2">
      <c r="B23" s="1337" t="s">
        <v>2125</v>
      </c>
      <c r="C23" s="1341">
        <v>10.553000000000001</v>
      </c>
      <c r="D23" s="1342" t="s">
        <v>2155</v>
      </c>
      <c r="E23" s="1343">
        <v>5683</v>
      </c>
      <c r="F23" s="1343">
        <v>1057</v>
      </c>
      <c r="G23" s="1343">
        <v>5683</v>
      </c>
      <c r="H23" s="1343">
        <v>0</v>
      </c>
      <c r="I23" s="1343">
        <v>1057</v>
      </c>
      <c r="J23" s="1343">
        <v>0</v>
      </c>
      <c r="K23" s="1343">
        <v>0</v>
      </c>
      <c r="L23" s="1340">
        <f t="shared" si="0"/>
        <v>6740</v>
      </c>
      <c r="M23" s="1343" t="s">
        <v>2117</v>
      </c>
    </row>
    <row r="24" spans="2:14" ht="20.100000000000001" customHeight="1" x14ac:dyDescent="0.2">
      <c r="B24" s="1337" t="s">
        <v>2125</v>
      </c>
      <c r="C24" s="1341">
        <v>10.553000000000001</v>
      </c>
      <c r="D24" s="1342" t="s">
        <v>2156</v>
      </c>
      <c r="E24" s="1961">
        <v>0</v>
      </c>
      <c r="F24" s="1961">
        <v>6153</v>
      </c>
      <c r="G24" s="1961">
        <v>0</v>
      </c>
      <c r="H24" s="1961">
        <v>0</v>
      </c>
      <c r="I24" s="1961">
        <v>6153</v>
      </c>
      <c r="J24" s="1961">
        <v>0</v>
      </c>
      <c r="K24" s="1961">
        <v>0</v>
      </c>
      <c r="L24" s="1962">
        <f t="shared" si="0"/>
        <v>6153</v>
      </c>
      <c r="M24" s="1343" t="s">
        <v>2117</v>
      </c>
    </row>
    <row r="25" spans="2:14" ht="20.100000000000001" customHeight="1" x14ac:dyDescent="0.2">
      <c r="B25" s="1337" t="s">
        <v>2129</v>
      </c>
      <c r="C25" s="1341"/>
      <c r="D25" s="1342"/>
      <c r="E25" s="1961">
        <f t="shared" ref="E25:K25" si="4">SUM(E23:E24)</f>
        <v>5683</v>
      </c>
      <c r="F25" s="1961">
        <f t="shared" si="4"/>
        <v>7210</v>
      </c>
      <c r="G25" s="1961">
        <f t="shared" si="4"/>
        <v>5683</v>
      </c>
      <c r="H25" s="1961">
        <f t="shared" si="4"/>
        <v>0</v>
      </c>
      <c r="I25" s="1961">
        <f t="shared" si="4"/>
        <v>7210</v>
      </c>
      <c r="J25" s="1961">
        <f t="shared" si="4"/>
        <v>0</v>
      </c>
      <c r="K25" s="1961">
        <f t="shared" si="4"/>
        <v>0</v>
      </c>
      <c r="L25" s="1962">
        <f t="shared" si="0"/>
        <v>12893</v>
      </c>
      <c r="M25" s="1343"/>
    </row>
    <row r="26" spans="2:14" ht="20.100000000000001" customHeight="1" x14ac:dyDescent="0.2">
      <c r="B26" s="1337" t="s">
        <v>2130</v>
      </c>
      <c r="C26" s="1341"/>
      <c r="D26" s="1342"/>
      <c r="E26" s="1961">
        <f t="shared" ref="E26:K26" si="5">+E19+E22+E25</f>
        <v>252634</v>
      </c>
      <c r="F26" s="1961">
        <f t="shared" si="5"/>
        <v>249893</v>
      </c>
      <c r="G26" s="1961">
        <f t="shared" si="5"/>
        <v>252634</v>
      </c>
      <c r="H26" s="1961">
        <f t="shared" si="5"/>
        <v>0</v>
      </c>
      <c r="I26" s="1961">
        <f t="shared" si="5"/>
        <v>249893</v>
      </c>
      <c r="J26" s="1961">
        <f t="shared" si="5"/>
        <v>0</v>
      </c>
      <c r="K26" s="1961">
        <f t="shared" si="5"/>
        <v>0</v>
      </c>
      <c r="L26" s="1962">
        <f>+G26+I26+K26</f>
        <v>502527</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1837</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1948</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1838</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1839</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1840</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1841</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election activeCell="D30" sqref="D3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2" t="s">
        <v>1230</v>
      </c>
      <c r="B2" s="2082"/>
      <c r="C2" s="2082"/>
      <c r="D2" s="2082"/>
      <c r="E2" s="2082"/>
      <c r="F2" s="2082"/>
      <c r="G2" s="2082"/>
      <c r="H2" s="2082"/>
      <c r="I2" s="2082"/>
      <c r="J2" s="208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2107</v>
      </c>
      <c r="C9" s="179">
        <v>1</v>
      </c>
      <c r="D9" s="221" t="s">
        <v>1639</v>
      </c>
    </row>
    <row r="10" spans="1:11" s="181" customFormat="1" x14ac:dyDescent="0.2">
      <c r="A10" s="222"/>
      <c r="B10" s="223"/>
      <c r="C10" s="224"/>
      <c r="D10" s="225" t="s">
        <v>1722</v>
      </c>
    </row>
    <row r="11" spans="1:11" s="181" customFormat="1" x14ac:dyDescent="0.2">
      <c r="A11" s="219"/>
      <c r="B11" s="226" t="s">
        <v>2107</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6" t="s">
        <v>1731</v>
      </c>
      <c r="B35" s="2097"/>
      <c r="C35" s="2097"/>
      <c r="D35" s="2097"/>
      <c r="E35" s="2098"/>
      <c r="F35" s="2098"/>
      <c r="G35" s="2098"/>
      <c r="H35" s="2098"/>
      <c r="I35" s="209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6" t="s">
        <v>331</v>
      </c>
      <c r="B47" s="2099"/>
      <c r="C47" s="2099"/>
      <c r="D47" s="2099"/>
      <c r="E47" s="2100"/>
      <c r="F47" s="2100"/>
      <c r="G47" s="2100"/>
      <c r="H47" s="2100"/>
      <c r="I47" s="210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2107</v>
      </c>
      <c r="C53" s="179">
        <v>22</v>
      </c>
      <c r="D53" s="247" t="s">
        <v>1537</v>
      </c>
      <c r="E53" s="248"/>
      <c r="F53" s="249"/>
      <c r="G53" s="249" t="s">
        <v>1536</v>
      </c>
      <c r="H53" s="250">
        <v>35612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3"/>
      <c r="C57" s="2104"/>
      <c r="D57" s="2104"/>
      <c r="E57" s="2104"/>
      <c r="F57" s="2104"/>
      <c r="G57" s="2104"/>
      <c r="H57" s="2104"/>
      <c r="I57" s="2104"/>
      <c r="J57" s="2105"/>
    </row>
    <row r="58" spans="1:10" s="181" customFormat="1" x14ac:dyDescent="0.2">
      <c r="A58" s="253"/>
      <c r="B58" s="2106"/>
      <c r="C58" s="2107"/>
      <c r="D58" s="2107"/>
      <c r="E58" s="2107"/>
      <c r="F58" s="2107"/>
      <c r="G58" s="2107"/>
      <c r="H58" s="2107"/>
      <c r="I58" s="2107"/>
      <c r="J58" s="2108"/>
    </row>
    <row r="59" spans="1:10" s="181" customFormat="1" x14ac:dyDescent="0.2">
      <c r="A59" s="253"/>
      <c r="B59" s="2106"/>
      <c r="C59" s="2107"/>
      <c r="D59" s="2107"/>
      <c r="E59" s="2107"/>
      <c r="F59" s="2107"/>
      <c r="G59" s="2107"/>
      <c r="H59" s="2107"/>
      <c r="I59" s="2107"/>
      <c r="J59" s="2108"/>
    </row>
    <row r="60" spans="1:10" s="181" customFormat="1" x14ac:dyDescent="0.2">
      <c r="A60" s="253"/>
      <c r="B60" s="2106"/>
      <c r="C60" s="2107"/>
      <c r="D60" s="2107"/>
      <c r="E60" s="2107"/>
      <c r="F60" s="2107"/>
      <c r="G60" s="2107"/>
      <c r="H60" s="2107"/>
      <c r="I60" s="2107"/>
      <c r="J60" s="2108"/>
    </row>
    <row r="61" spans="1:10" s="181" customFormat="1" x14ac:dyDescent="0.2">
      <c r="A61" s="253"/>
      <c r="B61" s="2106"/>
      <c r="C61" s="2107"/>
      <c r="D61" s="2107"/>
      <c r="E61" s="2107"/>
      <c r="F61" s="2107"/>
      <c r="G61" s="2107"/>
      <c r="H61" s="2107"/>
      <c r="I61" s="2107"/>
      <c r="J61" s="2108"/>
    </row>
    <row r="62" spans="1:10" s="181" customFormat="1" x14ac:dyDescent="0.2">
      <c r="A62" s="253"/>
      <c r="B62" s="2106"/>
      <c r="C62" s="2107"/>
      <c r="D62" s="2107"/>
      <c r="E62" s="2107"/>
      <c r="F62" s="2107"/>
      <c r="G62" s="2107"/>
      <c r="H62" s="2107"/>
      <c r="I62" s="2107"/>
      <c r="J62" s="2108"/>
    </row>
    <row r="63" spans="1:10" s="181" customFormat="1" x14ac:dyDescent="0.2">
      <c r="A63" s="253"/>
      <c r="B63" s="2106"/>
      <c r="C63" s="2107"/>
      <c r="D63" s="2107"/>
      <c r="E63" s="2107"/>
      <c r="F63" s="2107"/>
      <c r="G63" s="2107"/>
      <c r="H63" s="2107"/>
      <c r="I63" s="2107"/>
      <c r="J63" s="2108"/>
    </row>
    <row r="64" spans="1:10" s="181" customFormat="1" x14ac:dyDescent="0.2">
      <c r="A64" s="253"/>
      <c r="B64" s="2106"/>
      <c r="C64" s="2107"/>
      <c r="D64" s="2107"/>
      <c r="E64" s="2107"/>
      <c r="F64" s="2107"/>
      <c r="G64" s="2107"/>
      <c r="H64" s="2107"/>
      <c r="I64" s="2107"/>
      <c r="J64" s="2108"/>
    </row>
    <row r="65" spans="1:10" s="181" customFormat="1" x14ac:dyDescent="0.2">
      <c r="A65" s="253"/>
      <c r="B65" s="2106"/>
      <c r="C65" s="2107"/>
      <c r="D65" s="2107"/>
      <c r="E65" s="2107"/>
      <c r="F65" s="2107"/>
      <c r="G65" s="2107"/>
      <c r="H65" s="2107"/>
      <c r="I65" s="2107"/>
      <c r="J65" s="2108"/>
    </row>
    <row r="66" spans="1:10" s="181" customFormat="1" x14ac:dyDescent="0.2">
      <c r="A66" s="253"/>
      <c r="B66" s="2106"/>
      <c r="C66" s="2107"/>
      <c r="D66" s="2107"/>
      <c r="E66" s="2107"/>
      <c r="F66" s="2107"/>
      <c r="G66" s="2107"/>
      <c r="H66" s="2107"/>
      <c r="I66" s="2107"/>
      <c r="J66" s="2108"/>
    </row>
    <row r="67" spans="1:10" s="181" customFormat="1" ht="9" customHeight="1" x14ac:dyDescent="0.2">
      <c r="A67" s="254"/>
      <c r="B67" s="2109"/>
      <c r="C67" s="2110"/>
      <c r="D67" s="2110"/>
      <c r="E67" s="2110"/>
      <c r="F67" s="2110"/>
      <c r="G67" s="2110"/>
      <c r="H67" s="2110"/>
      <c r="I67" s="2110"/>
      <c r="J67" s="211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6" t="s">
        <v>1390</v>
      </c>
      <c r="B70" s="2099"/>
      <c r="C70" s="2099"/>
      <c r="D70" s="2099"/>
      <c r="E70" s="2100"/>
      <c r="F70" s="2100"/>
      <c r="G70" s="2100"/>
      <c r="H70" s="2100"/>
      <c r="I70" s="210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1" t="s">
        <v>1387</v>
      </c>
      <c r="B83" s="2101"/>
      <c r="C83" s="2101"/>
      <c r="D83" s="210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3"/>
      <c r="C102" s="2084"/>
      <c r="D102" s="2084"/>
      <c r="E102" s="2084"/>
      <c r="F102" s="2084"/>
      <c r="G102" s="2084"/>
      <c r="H102" s="2084"/>
      <c r="I102" s="2085"/>
    </row>
    <row r="103" spans="1:9" s="181" customFormat="1" ht="11.25" customHeight="1" x14ac:dyDescent="0.2">
      <c r="A103" s="316"/>
      <c r="B103" s="2086"/>
      <c r="C103" s="2087"/>
      <c r="D103" s="2087"/>
      <c r="E103" s="2087"/>
      <c r="F103" s="2087"/>
      <c r="G103" s="2087"/>
      <c r="H103" s="2087"/>
      <c r="I103" s="2088"/>
    </row>
    <row r="104" spans="1:9" s="181" customFormat="1" ht="11.25" customHeight="1" x14ac:dyDescent="0.2">
      <c r="A104" s="316"/>
      <c r="B104" s="2086"/>
      <c r="C104" s="2087"/>
      <c r="D104" s="2087"/>
      <c r="E104" s="2087"/>
      <c r="F104" s="2087"/>
      <c r="G104" s="2087"/>
      <c r="H104" s="2087"/>
      <c r="I104" s="2088"/>
    </row>
    <row r="105" spans="1:9" s="181" customFormat="1" x14ac:dyDescent="0.2">
      <c r="A105" s="316"/>
      <c r="B105" s="2086"/>
      <c r="C105" s="2087"/>
      <c r="D105" s="2087"/>
      <c r="E105" s="2087"/>
      <c r="F105" s="2087"/>
      <c r="G105" s="2087"/>
      <c r="H105" s="2087"/>
      <c r="I105" s="2088"/>
    </row>
    <row r="106" spans="1:9" s="181" customFormat="1" ht="11.25" customHeight="1" x14ac:dyDescent="0.2">
      <c r="A106" s="316"/>
      <c r="B106" s="2086"/>
      <c r="C106" s="2087"/>
      <c r="D106" s="2087"/>
      <c r="E106" s="2087"/>
      <c r="F106" s="2087"/>
      <c r="G106" s="2087"/>
      <c r="H106" s="2087"/>
      <c r="I106" s="2088"/>
    </row>
    <row r="107" spans="1:9" s="181" customFormat="1" ht="11.25" customHeight="1" x14ac:dyDescent="0.2">
      <c r="A107" s="316"/>
      <c r="B107" s="2086"/>
      <c r="C107" s="2087"/>
      <c r="D107" s="2087"/>
      <c r="E107" s="2087"/>
      <c r="F107" s="2087"/>
      <c r="G107" s="2087"/>
      <c r="H107" s="2087"/>
      <c r="I107" s="2088"/>
    </row>
    <row r="108" spans="1:9" s="181" customFormat="1" ht="11.25" customHeight="1" x14ac:dyDescent="0.2">
      <c r="A108" s="316"/>
      <c r="B108" s="2086"/>
      <c r="C108" s="2087"/>
      <c r="D108" s="2087"/>
      <c r="E108" s="2087"/>
      <c r="F108" s="2087"/>
      <c r="G108" s="2087"/>
      <c r="H108" s="2087"/>
      <c r="I108" s="2088"/>
    </row>
    <row r="109" spans="1:9" s="181" customFormat="1" ht="11.25" customHeight="1" x14ac:dyDescent="0.2">
      <c r="A109" s="316"/>
      <c r="B109" s="2086"/>
      <c r="C109" s="2087"/>
      <c r="D109" s="2087"/>
      <c r="E109" s="2087"/>
      <c r="F109" s="2087"/>
      <c r="G109" s="2087"/>
      <c r="H109" s="2087"/>
      <c r="I109" s="2088"/>
    </row>
    <row r="110" spans="1:9" s="181" customFormat="1" ht="11.25" customHeight="1" x14ac:dyDescent="0.2">
      <c r="A110" s="316"/>
      <c r="B110" s="2086"/>
      <c r="C110" s="2087"/>
      <c r="D110" s="2087"/>
      <c r="E110" s="2087"/>
      <c r="F110" s="2087"/>
      <c r="G110" s="2087"/>
      <c r="H110" s="2087"/>
      <c r="I110" s="2088"/>
    </row>
    <row r="111" spans="1:9" s="181" customFormat="1" ht="11.25" customHeight="1" x14ac:dyDescent="0.2">
      <c r="A111" s="316"/>
      <c r="B111" s="2086"/>
      <c r="C111" s="2087"/>
      <c r="D111" s="2087"/>
      <c r="E111" s="2087"/>
      <c r="F111" s="2087"/>
      <c r="G111" s="2087"/>
      <c r="H111" s="2087"/>
      <c r="I111" s="2088"/>
    </row>
    <row r="112" spans="1:9" s="181" customFormat="1" ht="11.25" customHeight="1" x14ac:dyDescent="0.2">
      <c r="A112" s="316"/>
      <c r="B112" s="2089"/>
      <c r="C112" s="2090"/>
      <c r="D112" s="2090"/>
      <c r="E112" s="2090"/>
      <c r="F112" s="2090"/>
      <c r="G112" s="2090"/>
      <c r="H112" s="2090"/>
      <c r="I112" s="209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2" t="s">
        <v>2108</v>
      </c>
      <c r="D114" s="209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3" t="s">
        <v>1397</v>
      </c>
      <c r="D117" s="2094"/>
      <c r="E117" s="2095"/>
      <c r="F117" s="2095"/>
      <c r="G117" s="2095"/>
      <c r="H117" s="209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1"/>
  <sheetViews>
    <sheetView showGridLines="0" topLeftCell="A13" zoomScaleNormal="100" workbookViewId="0">
      <selection activeCell="G26" sqref="G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9" t="str">
        <f>'Single Audit Cover'!A7</f>
        <v>Kinnikinnick Community Consolidated School District #131</v>
      </c>
      <c r="C1" s="2475"/>
      <c r="D1" s="2475"/>
      <c r="E1" s="2475"/>
      <c r="F1" s="2475"/>
      <c r="G1" s="2475"/>
      <c r="H1" s="2475"/>
      <c r="I1" s="2475"/>
      <c r="J1" s="2475"/>
      <c r="K1" s="2475"/>
      <c r="L1" s="2475"/>
      <c r="M1" s="2475"/>
    </row>
    <row r="2" spans="2:14" ht="15" x14ac:dyDescent="0.2">
      <c r="B2" s="2464">
        <f>'Single Audit Cover'!E7</f>
        <v>4101131004</v>
      </c>
      <c r="C2" s="2464"/>
      <c r="D2" s="2464"/>
      <c r="E2" s="2464"/>
      <c r="F2" s="2464"/>
      <c r="G2" s="2464"/>
      <c r="H2" s="2464"/>
      <c r="I2" s="2464"/>
      <c r="J2" s="2464"/>
      <c r="K2" s="2464"/>
      <c r="L2" s="2464"/>
      <c r="M2" s="2464"/>
      <c r="N2" s="1302"/>
    </row>
    <row r="3" spans="2:14" ht="15" x14ac:dyDescent="0.2">
      <c r="B3" s="2476" t="s">
        <v>1281</v>
      </c>
      <c r="C3" s="2476"/>
      <c r="D3" s="2476"/>
      <c r="E3" s="2476"/>
      <c r="F3" s="2476"/>
      <c r="G3" s="2476"/>
      <c r="H3" s="2476"/>
      <c r="I3" s="2476"/>
      <c r="J3" s="2476"/>
      <c r="K3" s="2476"/>
      <c r="L3" s="2476"/>
      <c r="M3" s="2476"/>
      <c r="N3" s="1302"/>
    </row>
    <row r="4" spans="2:14" ht="15" x14ac:dyDescent="0.2">
      <c r="B4" s="2477" t="str">
        <f>'Single Audit Cover'!A4</f>
        <v>Year Ending June 30, 2018</v>
      </c>
      <c r="C4" s="2477"/>
      <c r="D4" s="2477"/>
      <c r="E4" s="2477"/>
      <c r="F4" s="2477"/>
      <c r="G4" s="2477"/>
      <c r="H4" s="2477"/>
      <c r="I4" s="2477"/>
      <c r="J4" s="2477"/>
      <c r="K4" s="2477"/>
      <c r="L4" s="2477"/>
      <c r="M4" s="247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2141</v>
      </c>
      <c r="C11" s="1338"/>
      <c r="D11" s="1339"/>
      <c r="E11" s="1340"/>
      <c r="F11" s="1340"/>
      <c r="G11" s="1340"/>
      <c r="H11" s="1340"/>
      <c r="I11" s="1340"/>
      <c r="J11" s="1340"/>
      <c r="K11" s="1340"/>
      <c r="L11" s="1340"/>
      <c r="M11" s="1340"/>
    </row>
    <row r="12" spans="2:14" ht="20.100000000000001" customHeight="1" x14ac:dyDescent="0.2">
      <c r="B12" s="1337" t="s">
        <v>2131</v>
      </c>
      <c r="C12" s="1341"/>
      <c r="D12" s="1342"/>
      <c r="E12" s="1343"/>
      <c r="F12" s="1343"/>
      <c r="G12" s="1343"/>
      <c r="H12" s="1343"/>
      <c r="I12" s="1343"/>
      <c r="J12" s="1343"/>
      <c r="K12" s="1343"/>
      <c r="L12" s="1340"/>
      <c r="M12" s="1343"/>
    </row>
    <row r="13" spans="2:14" ht="20.100000000000001" customHeight="1" x14ac:dyDescent="0.2">
      <c r="B13" s="1337" t="s">
        <v>2132</v>
      </c>
      <c r="C13" s="1341" t="s">
        <v>2133</v>
      </c>
      <c r="D13" s="1342" t="s">
        <v>2145</v>
      </c>
      <c r="E13" s="1343">
        <v>42633</v>
      </c>
      <c r="F13" s="1343">
        <v>0</v>
      </c>
      <c r="G13" s="1343">
        <v>12024</v>
      </c>
      <c r="H13" s="1343">
        <v>0</v>
      </c>
      <c r="I13" s="1343">
        <v>0</v>
      </c>
      <c r="J13" s="1343">
        <v>0</v>
      </c>
      <c r="K13" s="1343">
        <v>0</v>
      </c>
      <c r="L13" s="1340">
        <f t="shared" ref="L13:L26" si="0">+G13+I13+K13</f>
        <v>12024</v>
      </c>
      <c r="M13" s="1343"/>
    </row>
    <row r="14" spans="2:14" ht="20.100000000000001" customHeight="1" x14ac:dyDescent="0.2">
      <c r="B14" s="1337" t="s">
        <v>2132</v>
      </c>
      <c r="C14" s="1341" t="s">
        <v>2133</v>
      </c>
      <c r="D14" s="1342" t="s">
        <v>2146</v>
      </c>
      <c r="E14" s="1343">
        <v>96241</v>
      </c>
      <c r="F14" s="1343">
        <v>50405</v>
      </c>
      <c r="G14" s="1343">
        <v>133032</v>
      </c>
      <c r="H14" s="1343">
        <v>0</v>
      </c>
      <c r="I14" s="1343">
        <v>13614</v>
      </c>
      <c r="J14" s="1343">
        <v>0</v>
      </c>
      <c r="K14" s="1963">
        <v>0</v>
      </c>
      <c r="L14" s="1340">
        <f t="shared" si="0"/>
        <v>146646</v>
      </c>
      <c r="M14" s="1343">
        <v>190699</v>
      </c>
    </row>
    <row r="15" spans="2:14" ht="20.100000000000001" customHeight="1" x14ac:dyDescent="0.2">
      <c r="B15" s="1337" t="s">
        <v>2132</v>
      </c>
      <c r="C15" s="1341" t="s">
        <v>2133</v>
      </c>
      <c r="D15" s="1342" t="s">
        <v>2147</v>
      </c>
      <c r="E15" s="1961">
        <v>0</v>
      </c>
      <c r="F15" s="1961">
        <v>140497</v>
      </c>
      <c r="G15" s="1961">
        <v>0</v>
      </c>
      <c r="H15" s="1961">
        <v>0</v>
      </c>
      <c r="I15" s="1961">
        <v>158147</v>
      </c>
      <c r="J15" s="1961">
        <v>0</v>
      </c>
      <c r="K15" s="1964">
        <v>5368</v>
      </c>
      <c r="L15" s="1962">
        <f t="shared" si="0"/>
        <v>163515</v>
      </c>
      <c r="M15" s="1343">
        <v>167448</v>
      </c>
    </row>
    <row r="16" spans="2:14" ht="20.100000000000001" customHeight="1" x14ac:dyDescent="0.2">
      <c r="B16" s="1337" t="s">
        <v>2134</v>
      </c>
      <c r="C16" s="1341"/>
      <c r="D16" s="1342"/>
      <c r="E16" s="1961">
        <f>SUM(E13:E15)</f>
        <v>138874</v>
      </c>
      <c r="F16" s="1961">
        <f t="shared" ref="F16:K16" si="1">SUM(F13:F15)</f>
        <v>190902</v>
      </c>
      <c r="G16" s="1961">
        <f t="shared" si="1"/>
        <v>145056</v>
      </c>
      <c r="H16" s="1961">
        <f t="shared" si="1"/>
        <v>0</v>
      </c>
      <c r="I16" s="1961">
        <f t="shared" si="1"/>
        <v>171761</v>
      </c>
      <c r="J16" s="1961">
        <f t="shared" si="1"/>
        <v>0</v>
      </c>
      <c r="K16" s="1961">
        <f t="shared" si="1"/>
        <v>5368</v>
      </c>
      <c r="L16" s="1962">
        <f t="shared" si="0"/>
        <v>322185</v>
      </c>
      <c r="M16" s="1343"/>
    </row>
    <row r="17" spans="2:14" ht="20.100000000000001" customHeight="1" x14ac:dyDescent="0.2">
      <c r="B17" s="1337" t="s">
        <v>2135</v>
      </c>
      <c r="C17" s="1341" t="s">
        <v>2136</v>
      </c>
      <c r="D17" s="1342" t="s">
        <v>2148</v>
      </c>
      <c r="E17" s="1343">
        <v>14156</v>
      </c>
      <c r="F17" s="1343">
        <v>1967</v>
      </c>
      <c r="G17" s="1343">
        <v>16123</v>
      </c>
      <c r="H17" s="1343">
        <v>0</v>
      </c>
      <c r="I17" s="1343">
        <v>0</v>
      </c>
      <c r="J17" s="1343">
        <v>0</v>
      </c>
      <c r="K17" s="1343">
        <v>0</v>
      </c>
      <c r="L17" s="1340">
        <f t="shared" si="0"/>
        <v>16123</v>
      </c>
      <c r="M17" s="1343">
        <v>26414</v>
      </c>
    </row>
    <row r="18" spans="2:14" ht="20.100000000000001" customHeight="1" x14ac:dyDescent="0.2">
      <c r="B18" s="1337" t="s">
        <v>2135</v>
      </c>
      <c r="C18" s="1341" t="s">
        <v>2136</v>
      </c>
      <c r="D18" s="1342" t="s">
        <v>2149</v>
      </c>
      <c r="E18" s="1961">
        <v>0</v>
      </c>
      <c r="F18" s="1961">
        <v>14269</v>
      </c>
      <c r="G18" s="1961">
        <v>0</v>
      </c>
      <c r="H18" s="1961">
        <v>0</v>
      </c>
      <c r="I18" s="1961">
        <v>25605</v>
      </c>
      <c r="J18" s="1961">
        <v>0</v>
      </c>
      <c r="K18" s="1961">
        <v>13563</v>
      </c>
      <c r="L18" s="1962">
        <f t="shared" si="0"/>
        <v>39168</v>
      </c>
      <c r="M18" s="1343">
        <v>48620</v>
      </c>
    </row>
    <row r="19" spans="2:14" ht="20.100000000000001" customHeight="1" x14ac:dyDescent="0.2">
      <c r="B19" s="1337" t="s">
        <v>2137</v>
      </c>
      <c r="C19" s="1341"/>
      <c r="D19" s="1342"/>
      <c r="E19" s="1961">
        <f>SUM(E17:E18)</f>
        <v>14156</v>
      </c>
      <c r="F19" s="1961">
        <f t="shared" ref="F19:K19" si="2">SUM(F17:F18)</f>
        <v>16236</v>
      </c>
      <c r="G19" s="1961">
        <f t="shared" si="2"/>
        <v>16123</v>
      </c>
      <c r="H19" s="1961">
        <f t="shared" si="2"/>
        <v>0</v>
      </c>
      <c r="I19" s="1961">
        <f t="shared" si="2"/>
        <v>25605</v>
      </c>
      <c r="J19" s="1961">
        <f t="shared" si="2"/>
        <v>0</v>
      </c>
      <c r="K19" s="1961">
        <f t="shared" si="2"/>
        <v>13563</v>
      </c>
      <c r="L19" s="1962">
        <f t="shared" si="0"/>
        <v>55291</v>
      </c>
      <c r="M19" s="1343"/>
    </row>
    <row r="20" spans="2:14" ht="20.100000000000001" customHeight="1" x14ac:dyDescent="0.2">
      <c r="B20" s="1337" t="s">
        <v>2138</v>
      </c>
      <c r="C20" s="1341" t="s">
        <v>2139</v>
      </c>
      <c r="D20" s="1342" t="s">
        <v>2150</v>
      </c>
      <c r="E20" s="1961">
        <v>0</v>
      </c>
      <c r="F20" s="1961">
        <v>8400</v>
      </c>
      <c r="G20" s="1961">
        <v>0</v>
      </c>
      <c r="H20" s="1961">
        <v>0</v>
      </c>
      <c r="I20" s="1961">
        <v>8400</v>
      </c>
      <c r="J20" s="1961">
        <v>0</v>
      </c>
      <c r="K20" s="1961">
        <v>0</v>
      </c>
      <c r="L20" s="1962">
        <f t="shared" si="0"/>
        <v>8400</v>
      </c>
      <c r="M20" s="1343">
        <v>10000</v>
      </c>
    </row>
    <row r="21" spans="2:14" ht="20.100000000000001" customHeight="1" x14ac:dyDescent="0.2">
      <c r="B21" s="1337" t="s">
        <v>2140</v>
      </c>
      <c r="C21" s="1341"/>
      <c r="D21" s="1342"/>
      <c r="E21" s="1961">
        <f>SUM(E20)</f>
        <v>0</v>
      </c>
      <c r="F21" s="1961">
        <f t="shared" ref="F21:K21" si="3">SUM(F20)</f>
        <v>8400</v>
      </c>
      <c r="G21" s="1961">
        <f t="shared" si="3"/>
        <v>0</v>
      </c>
      <c r="H21" s="1961">
        <f t="shared" si="3"/>
        <v>0</v>
      </c>
      <c r="I21" s="1961">
        <f t="shared" si="3"/>
        <v>8400</v>
      </c>
      <c r="J21" s="1961">
        <f t="shared" si="3"/>
        <v>0</v>
      </c>
      <c r="K21" s="1961">
        <f t="shared" si="3"/>
        <v>0</v>
      </c>
      <c r="L21" s="1962">
        <f t="shared" si="0"/>
        <v>8400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t="s">
        <v>2189</v>
      </c>
      <c r="C23" s="1341"/>
      <c r="D23" s="1342"/>
      <c r="E23" s="1343"/>
      <c r="F23" s="1343"/>
      <c r="G23" s="1343"/>
      <c r="H23" s="1343"/>
      <c r="I23" s="1343"/>
      <c r="J23" s="1343"/>
      <c r="K23" s="1343"/>
      <c r="L23" s="1340">
        <f t="shared" si="0"/>
        <v>0</v>
      </c>
      <c r="M23" s="1343"/>
    </row>
    <row r="24" spans="2:14" ht="20.100000000000001" customHeight="1" x14ac:dyDescent="0.2">
      <c r="B24" s="1337" t="s">
        <v>2142</v>
      </c>
      <c r="C24" s="1341" t="s">
        <v>2143</v>
      </c>
      <c r="D24" s="1342" t="s">
        <v>2144</v>
      </c>
      <c r="E24" s="1343">
        <v>160481</v>
      </c>
      <c r="F24" s="1343">
        <v>0</v>
      </c>
      <c r="G24" s="1343">
        <v>190000</v>
      </c>
      <c r="H24" s="1343">
        <v>0</v>
      </c>
      <c r="I24" s="1343">
        <v>0</v>
      </c>
      <c r="J24" s="1343">
        <v>0</v>
      </c>
      <c r="K24" s="1343">
        <v>0</v>
      </c>
      <c r="L24" s="1340">
        <f t="shared" si="0"/>
        <v>190000</v>
      </c>
      <c r="M24" s="1343">
        <v>437628</v>
      </c>
    </row>
    <row r="25" spans="2:14" ht="20.100000000000001" customHeight="1" x14ac:dyDescent="0.2">
      <c r="B25" s="1337" t="s">
        <v>2175</v>
      </c>
      <c r="C25" s="1341" t="s">
        <v>2143</v>
      </c>
      <c r="D25" s="1342" t="s">
        <v>2157</v>
      </c>
      <c r="E25" s="1961">
        <v>0</v>
      </c>
      <c r="F25" s="1961">
        <v>374410</v>
      </c>
      <c r="G25" s="1961">
        <v>0</v>
      </c>
      <c r="H25" s="1961">
        <v>0</v>
      </c>
      <c r="I25" s="1961">
        <v>374410</v>
      </c>
      <c r="J25" s="1961">
        <v>0</v>
      </c>
      <c r="K25" s="1961">
        <v>0</v>
      </c>
      <c r="L25" s="1962">
        <f t="shared" si="0"/>
        <v>374410</v>
      </c>
      <c r="M25" s="1343">
        <v>549202</v>
      </c>
    </row>
    <row r="26" spans="2:14" ht="20.100000000000001" customHeight="1" x14ac:dyDescent="0.2">
      <c r="B26" s="1337" t="s">
        <v>2158</v>
      </c>
      <c r="C26" s="1341"/>
      <c r="D26" s="1342"/>
      <c r="E26" s="1961">
        <f>SUM(E24:E25)</f>
        <v>160481</v>
      </c>
      <c r="F26" s="1961">
        <f t="shared" ref="F26:K26" si="4">SUM(F24:F25)</f>
        <v>374410</v>
      </c>
      <c r="G26" s="1961">
        <f t="shared" si="4"/>
        <v>190000</v>
      </c>
      <c r="H26" s="1961">
        <f t="shared" si="4"/>
        <v>0</v>
      </c>
      <c r="I26" s="1961">
        <f t="shared" si="4"/>
        <v>374410</v>
      </c>
      <c r="J26" s="1961">
        <f t="shared" si="4"/>
        <v>0</v>
      </c>
      <c r="K26" s="1961">
        <f t="shared" si="4"/>
        <v>0</v>
      </c>
      <c r="L26" s="1962">
        <f t="shared" si="0"/>
        <v>564410</v>
      </c>
      <c r="M26" s="1343"/>
    </row>
    <row r="27" spans="2:14" ht="20.100000000000001" customHeight="1" x14ac:dyDescent="0.2">
      <c r="B27" s="1337"/>
      <c r="C27" s="1341"/>
      <c r="D27" s="1342"/>
      <c r="E27" s="1343"/>
      <c r="F27" s="1343"/>
      <c r="G27" s="1343"/>
      <c r="H27" s="1343"/>
      <c r="I27" s="1343"/>
      <c r="J27" s="1343"/>
      <c r="K27" s="1343"/>
      <c r="L27" s="1340">
        <f t="shared" ref="L27" si="5">+G27+I27+K27</f>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1837</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1948</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1838</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1839</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1840</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1841</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151"/>
  <sheetViews>
    <sheetView showGridLines="0" zoomScaleNormal="100" workbookViewId="0">
      <selection activeCell="G27" sqref="G2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9" t="str">
        <f>'Single Audit Cover'!A7</f>
        <v>Kinnikinnick Community Consolidated School District #131</v>
      </c>
      <c r="C1" s="2475"/>
      <c r="D1" s="2475"/>
      <c r="E1" s="2475"/>
      <c r="F1" s="2475"/>
      <c r="G1" s="2475"/>
      <c r="H1" s="2475"/>
      <c r="I1" s="2475"/>
      <c r="J1" s="2475"/>
      <c r="K1" s="2475"/>
      <c r="L1" s="2475"/>
      <c r="M1" s="2475"/>
    </row>
    <row r="2" spans="2:14" ht="15" x14ac:dyDescent="0.2">
      <c r="B2" s="2464">
        <f>'Single Audit Cover'!E7</f>
        <v>4101131004</v>
      </c>
      <c r="C2" s="2464"/>
      <c r="D2" s="2464"/>
      <c r="E2" s="2464"/>
      <c r="F2" s="2464"/>
      <c r="G2" s="2464"/>
      <c r="H2" s="2464"/>
      <c r="I2" s="2464"/>
      <c r="J2" s="2464"/>
      <c r="K2" s="2464"/>
      <c r="L2" s="2464"/>
      <c r="M2" s="2464"/>
      <c r="N2" s="1302"/>
    </row>
    <row r="3" spans="2:14" ht="15" x14ac:dyDescent="0.2">
      <c r="B3" s="2476" t="s">
        <v>1281</v>
      </c>
      <c r="C3" s="2476"/>
      <c r="D3" s="2476"/>
      <c r="E3" s="2476"/>
      <c r="F3" s="2476"/>
      <c r="G3" s="2476"/>
      <c r="H3" s="2476"/>
      <c r="I3" s="2476"/>
      <c r="J3" s="2476"/>
      <c r="K3" s="2476"/>
      <c r="L3" s="2476"/>
      <c r="M3" s="2476"/>
      <c r="N3" s="1302"/>
    </row>
    <row r="4" spans="2:14" ht="15" x14ac:dyDescent="0.2">
      <c r="B4" s="2477" t="str">
        <f>'Single Audit Cover'!A4</f>
        <v>Year Ending June 30, 2018</v>
      </c>
      <c r="C4" s="2477"/>
      <c r="D4" s="2477"/>
      <c r="E4" s="2477"/>
      <c r="F4" s="2477"/>
      <c r="G4" s="2477"/>
      <c r="H4" s="2477"/>
      <c r="I4" s="2477"/>
      <c r="J4" s="2477"/>
      <c r="K4" s="2477"/>
      <c r="L4" s="2477"/>
      <c r="M4" s="247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2159</v>
      </c>
      <c r="C11" s="1341" t="s">
        <v>2160</v>
      </c>
      <c r="D11" s="1342" t="s">
        <v>2161</v>
      </c>
      <c r="E11" s="1340">
        <v>10991</v>
      </c>
      <c r="F11" s="1340">
        <v>0</v>
      </c>
      <c r="G11" s="1340">
        <v>12042</v>
      </c>
      <c r="H11" s="1340">
        <v>0</v>
      </c>
      <c r="I11" s="1340">
        <v>0</v>
      </c>
      <c r="J11" s="1340">
        <v>0</v>
      </c>
      <c r="K11" s="1340">
        <v>0</v>
      </c>
      <c r="L11" s="1340">
        <f>+G11+I11+K11</f>
        <v>12042</v>
      </c>
      <c r="M11" s="1340">
        <v>17460</v>
      </c>
    </row>
    <row r="12" spans="2:14" ht="20.100000000000001" customHeight="1" x14ac:dyDescent="0.2">
      <c r="B12" s="1337" t="s">
        <v>2176</v>
      </c>
      <c r="C12" s="1341" t="s">
        <v>2160</v>
      </c>
      <c r="D12" s="1342" t="s">
        <v>2162</v>
      </c>
      <c r="E12" s="1961">
        <v>0</v>
      </c>
      <c r="F12" s="1961">
        <v>20011</v>
      </c>
      <c r="G12" s="1961">
        <v>0</v>
      </c>
      <c r="H12" s="1961">
        <v>0</v>
      </c>
      <c r="I12" s="1961">
        <v>20011</v>
      </c>
      <c r="J12" s="1961">
        <v>0</v>
      </c>
      <c r="K12" s="1961">
        <v>0</v>
      </c>
      <c r="L12" s="1962">
        <f t="shared" ref="L12:L26" si="0">+G12+I12+K12</f>
        <v>20011</v>
      </c>
      <c r="M12" s="1343">
        <v>20661</v>
      </c>
    </row>
    <row r="13" spans="2:14" ht="20.100000000000001" customHeight="1" x14ac:dyDescent="0.2">
      <c r="B13" s="1337" t="s">
        <v>2158</v>
      </c>
      <c r="C13" s="1341"/>
      <c r="D13" s="1342"/>
      <c r="E13" s="1961">
        <f>SUM(E11:E12)</f>
        <v>10991</v>
      </c>
      <c r="F13" s="1961">
        <f t="shared" ref="F13:K13" si="1">SUM(F11:F12)</f>
        <v>20011</v>
      </c>
      <c r="G13" s="1961">
        <f t="shared" si="1"/>
        <v>12042</v>
      </c>
      <c r="H13" s="1961">
        <f t="shared" si="1"/>
        <v>0</v>
      </c>
      <c r="I13" s="1961">
        <f t="shared" si="1"/>
        <v>20011</v>
      </c>
      <c r="J13" s="1961">
        <f t="shared" si="1"/>
        <v>0</v>
      </c>
      <c r="K13" s="1961">
        <f t="shared" si="1"/>
        <v>0</v>
      </c>
      <c r="L13" s="1962">
        <f t="shared" si="0"/>
        <v>32053</v>
      </c>
      <c r="M13" s="1343"/>
    </row>
    <row r="14" spans="2:14" ht="20.100000000000001" customHeight="1" x14ac:dyDescent="0.2">
      <c r="B14" s="1337" t="s">
        <v>2163</v>
      </c>
      <c r="C14" s="1341"/>
      <c r="D14" s="1342"/>
      <c r="E14" s="1961">
        <f>E13+' SEFA (2)'!E26+' SEFA (2)'!E21+' SEFA (2)'!E19+' SEFA (2)'!E16</f>
        <v>324502</v>
      </c>
      <c r="F14" s="1961">
        <f>F13+' SEFA (2)'!F26+' SEFA (2)'!F21+' SEFA (2)'!F19+' SEFA (2)'!F16</f>
        <v>609959</v>
      </c>
      <c r="G14" s="1961">
        <f>G13+' SEFA (2)'!G26+' SEFA (2)'!G21+' SEFA (2)'!G19+' SEFA (2)'!G16</f>
        <v>363221</v>
      </c>
      <c r="H14" s="1961">
        <f>H13+' SEFA (2)'!H26+' SEFA (2)'!H21+' SEFA (2)'!H19+' SEFA (2)'!H16</f>
        <v>0</v>
      </c>
      <c r="I14" s="1961">
        <f>I13+' SEFA (2)'!I26+' SEFA (2)'!I21+' SEFA (2)'!I19+' SEFA (2)'!I16</f>
        <v>600187</v>
      </c>
      <c r="J14" s="1961">
        <f>J13+' SEFA (2)'!J26+' SEFA (2)'!J21+' SEFA (2)'!J19+' SEFA (2)'!J16</f>
        <v>0</v>
      </c>
      <c r="K14" s="1961">
        <f>K13+' SEFA (2)'!K26+' SEFA (2)'!K21+' SEFA (2)'!K19+' SEFA (2)'!K16</f>
        <v>18931</v>
      </c>
      <c r="L14" s="1962">
        <f t="shared" si="0"/>
        <v>982339</v>
      </c>
      <c r="M14" s="1343"/>
    </row>
    <row r="15" spans="2:14" ht="20.100000000000001" customHeight="1" x14ac:dyDescent="0.2">
      <c r="B15" s="1337"/>
      <c r="C15" s="1341"/>
      <c r="D15" s="1342"/>
      <c r="E15" s="1343"/>
      <c r="F15" s="1343"/>
      <c r="G15" s="1343"/>
      <c r="H15" s="1343"/>
      <c r="I15" s="1343"/>
      <c r="J15" s="1343"/>
      <c r="K15" s="1343"/>
      <c r="L15" s="1340">
        <f t="shared" si="0"/>
        <v>0</v>
      </c>
      <c r="M15" s="1343"/>
    </row>
    <row r="16" spans="2:14" ht="20.100000000000001" customHeight="1" x14ac:dyDescent="0.2">
      <c r="B16" s="1337" t="s">
        <v>2164</v>
      </c>
      <c r="C16" s="1341"/>
      <c r="D16" s="1342"/>
      <c r="E16" s="1343"/>
      <c r="F16" s="1343"/>
      <c r="G16" s="1343"/>
      <c r="H16" s="1343"/>
      <c r="I16" s="1343"/>
      <c r="J16" s="1343"/>
      <c r="K16" s="1343"/>
      <c r="L16" s="1340">
        <f t="shared" si="0"/>
        <v>0</v>
      </c>
      <c r="M16" s="1343"/>
    </row>
    <row r="17" spans="2:14" ht="20.100000000000001" customHeight="1" x14ac:dyDescent="0.2">
      <c r="B17" s="1337" t="s">
        <v>2165</v>
      </c>
      <c r="C17" s="1341"/>
      <c r="D17" s="1342"/>
      <c r="E17" s="1343"/>
      <c r="F17" s="1343"/>
      <c r="G17" s="1343"/>
      <c r="H17" s="1343"/>
      <c r="I17" s="1343"/>
      <c r="J17" s="1343"/>
      <c r="K17" s="1343"/>
      <c r="L17" s="1340">
        <f t="shared" si="0"/>
        <v>0</v>
      </c>
      <c r="M17" s="1343"/>
    </row>
    <row r="18" spans="2:14" ht="20.100000000000001" customHeight="1" x14ac:dyDescent="0.2">
      <c r="B18" s="1337" t="s">
        <v>2166</v>
      </c>
      <c r="C18" s="1341">
        <v>93.778000000000006</v>
      </c>
      <c r="D18" s="1342" t="s">
        <v>2167</v>
      </c>
      <c r="E18" s="1343">
        <v>7044</v>
      </c>
      <c r="F18" s="1343">
        <v>0</v>
      </c>
      <c r="G18" s="1343">
        <v>7044</v>
      </c>
      <c r="H18" s="1343">
        <v>0</v>
      </c>
      <c r="I18" s="1343">
        <v>0</v>
      </c>
      <c r="J18" s="1343">
        <v>0</v>
      </c>
      <c r="K18" s="1343">
        <v>0</v>
      </c>
      <c r="L18" s="1340">
        <f t="shared" si="0"/>
        <v>7044</v>
      </c>
      <c r="M18" s="1343" t="s">
        <v>2117</v>
      </c>
    </row>
    <row r="19" spans="2:14" ht="20.100000000000001" customHeight="1" x14ac:dyDescent="0.2">
      <c r="B19" s="1337" t="s">
        <v>2166</v>
      </c>
      <c r="C19" s="1341">
        <v>93.778000000000006</v>
      </c>
      <c r="D19" s="1342" t="s">
        <v>2168</v>
      </c>
      <c r="E19" s="1343">
        <v>22258</v>
      </c>
      <c r="F19" s="1343">
        <v>5212</v>
      </c>
      <c r="G19" s="1343">
        <v>22258</v>
      </c>
      <c r="H19" s="1343">
        <v>0</v>
      </c>
      <c r="I19" s="1343">
        <v>5212</v>
      </c>
      <c r="J19" s="1343">
        <v>0</v>
      </c>
      <c r="K19" s="1343">
        <v>0</v>
      </c>
      <c r="L19" s="1340">
        <f t="shared" si="0"/>
        <v>27470</v>
      </c>
      <c r="M19" s="1343" t="s">
        <v>2117</v>
      </c>
    </row>
    <row r="20" spans="2:14" ht="20.100000000000001" customHeight="1" x14ac:dyDescent="0.2">
      <c r="B20" s="1337" t="s">
        <v>2166</v>
      </c>
      <c r="C20" s="1341">
        <v>93.778000000000006</v>
      </c>
      <c r="D20" s="1342" t="s">
        <v>2169</v>
      </c>
      <c r="E20" s="1961">
        <v>0</v>
      </c>
      <c r="F20" s="1961">
        <v>18466</v>
      </c>
      <c r="G20" s="1961">
        <v>0</v>
      </c>
      <c r="H20" s="1961">
        <v>0</v>
      </c>
      <c r="I20" s="1961">
        <v>18466</v>
      </c>
      <c r="J20" s="1961">
        <v>0</v>
      </c>
      <c r="K20" s="1961">
        <v>0</v>
      </c>
      <c r="L20" s="1962">
        <f t="shared" si="0"/>
        <v>18466</v>
      </c>
      <c r="M20" s="1343" t="s">
        <v>2117</v>
      </c>
    </row>
    <row r="21" spans="2:14" ht="20.100000000000001" customHeight="1" x14ac:dyDescent="0.2">
      <c r="B21" s="1337" t="s">
        <v>2170</v>
      </c>
      <c r="C21" s="1341"/>
      <c r="D21" s="1342"/>
      <c r="E21" s="1961">
        <f>SUM(E18:E20)</f>
        <v>29302</v>
      </c>
      <c r="F21" s="1961">
        <f t="shared" ref="F21:K21" si="2">SUM(F18:F20)</f>
        <v>23678</v>
      </c>
      <c r="G21" s="1961">
        <f t="shared" si="2"/>
        <v>29302</v>
      </c>
      <c r="H21" s="1961">
        <f t="shared" si="2"/>
        <v>0</v>
      </c>
      <c r="I21" s="1961">
        <f t="shared" si="2"/>
        <v>23678</v>
      </c>
      <c r="J21" s="1961">
        <f t="shared" si="2"/>
        <v>0</v>
      </c>
      <c r="K21" s="1961">
        <f t="shared" si="2"/>
        <v>0</v>
      </c>
      <c r="L21" s="1962">
        <f t="shared" si="0"/>
        <v>52980</v>
      </c>
      <c r="M21" s="1343"/>
    </row>
    <row r="22" spans="2:14" ht="20.100000000000001" customHeight="1" x14ac:dyDescent="0.2">
      <c r="B22" s="1337" t="s">
        <v>2171</v>
      </c>
      <c r="C22" s="1341"/>
      <c r="D22" s="1342"/>
      <c r="E22" s="1961">
        <f>SUM(E21)</f>
        <v>29302</v>
      </c>
      <c r="F22" s="1961">
        <f t="shared" ref="F22:K22" si="3">SUM(F21)</f>
        <v>23678</v>
      </c>
      <c r="G22" s="1961">
        <f t="shared" si="3"/>
        <v>29302</v>
      </c>
      <c r="H22" s="1961">
        <f t="shared" si="3"/>
        <v>0</v>
      </c>
      <c r="I22" s="1961">
        <f t="shared" si="3"/>
        <v>23678</v>
      </c>
      <c r="J22" s="1961">
        <f t="shared" si="3"/>
        <v>0</v>
      </c>
      <c r="K22" s="1961">
        <f t="shared" si="3"/>
        <v>0</v>
      </c>
      <c r="L22" s="1962">
        <f t="shared" si="0"/>
        <v>52980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965" t="s">
        <v>2172</v>
      </c>
      <c r="C27" s="1341"/>
      <c r="D27" s="1342"/>
      <c r="E27" s="1961">
        <f>E22+E14+' SEFA'!E26</f>
        <v>606438</v>
      </c>
      <c r="F27" s="1961">
        <f>F22+F14+' SEFA'!F26</f>
        <v>883530</v>
      </c>
      <c r="G27" s="1961">
        <f>G22+G14+' SEFA'!G26</f>
        <v>645157</v>
      </c>
      <c r="H27" s="1961">
        <f>H22+H14+' SEFA'!H26</f>
        <v>0</v>
      </c>
      <c r="I27" s="1961">
        <f>I22+I14+' SEFA'!I26</f>
        <v>873758</v>
      </c>
      <c r="J27" s="1961">
        <f>J22+J14+' SEFA'!J26</f>
        <v>0</v>
      </c>
      <c r="K27" s="1961">
        <f>K22+K14+' SEFA'!K26</f>
        <v>18931</v>
      </c>
      <c r="L27" s="1962">
        <f t="shared" ref="L27" si="4">+G27+I27+K27</f>
        <v>1537846</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1837</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1948</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1838</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1839</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1840</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1841</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63"/>
  <sheetViews>
    <sheetView showGridLines="0" topLeftCell="A34" zoomScale="110" zoomScaleNormal="110" workbookViewId="0">
      <selection activeCell="C49" sqref="C49"/>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Kinnikinnick Community Consolidated School District #131</v>
      </c>
      <c r="C1" s="2483"/>
      <c r="D1" s="2483"/>
      <c r="E1" s="2483"/>
      <c r="F1" s="2483"/>
      <c r="G1" s="2483"/>
      <c r="H1" s="2483"/>
      <c r="I1" s="2483"/>
      <c r="J1" s="1422"/>
    </row>
    <row r="2" spans="2:10" s="317" customFormat="1" ht="12.75" customHeight="1" x14ac:dyDescent="0.2">
      <c r="B2" s="2484">
        <f>'Single Audit Cover'!E7</f>
        <v>4101131004</v>
      </c>
      <c r="C2" s="2485"/>
      <c r="D2" s="2485"/>
      <c r="E2" s="2485"/>
      <c r="F2" s="2485"/>
      <c r="G2" s="2485"/>
      <c r="H2" s="2485"/>
      <c r="I2" s="2485"/>
      <c r="J2" s="1422"/>
    </row>
    <row r="3" spans="2:10" s="317" customFormat="1" ht="12.75" customHeight="1" x14ac:dyDescent="0.2">
      <c r="B3" s="2486" t="s">
        <v>1347</v>
      </c>
      <c r="C3" s="2487"/>
      <c r="D3" s="2487"/>
      <c r="E3" s="2487"/>
      <c r="F3" s="2487"/>
      <c r="G3" s="2487"/>
      <c r="H3" s="2487"/>
      <c r="I3" s="2487"/>
      <c r="J3" s="1423"/>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6" t="s">
        <v>1346</v>
      </c>
      <c r="C7" s="2487"/>
      <c r="D7" s="2487"/>
      <c r="E7" s="2487"/>
      <c r="F7" s="2487"/>
      <c r="G7" s="2487"/>
      <c r="H7" s="2487"/>
      <c r="I7" s="248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8" t="s">
        <v>2173</v>
      </c>
      <c r="D11" s="2488"/>
      <c r="E11" s="1432"/>
      <c r="F11" s="1432"/>
      <c r="G11" s="1432"/>
    </row>
    <row r="12" spans="2:10" s="317" customFormat="1" ht="11.45" customHeight="1" x14ac:dyDescent="0.2">
      <c r="B12" s="1357"/>
      <c r="C12" s="1433" t="s">
        <v>1517</v>
      </c>
      <c r="D12" s="1434"/>
      <c r="E12" s="1258"/>
    </row>
    <row r="13" spans="2:10" s="317" customFormat="1" ht="6"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2107</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2107</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2107</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2107</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2107</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9" t="s">
        <v>2174</v>
      </c>
      <c r="E29" s="2489"/>
      <c r="F29" s="2489"/>
      <c r="G29" s="2489"/>
      <c r="H29" s="2489"/>
      <c r="I29" s="2489"/>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2107</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0" t="s">
        <v>1851</v>
      </c>
      <c r="D37" s="2491"/>
      <c r="E37" s="2491"/>
      <c r="F37" s="2492"/>
      <c r="G37" s="2490" t="s">
        <v>1674</v>
      </c>
      <c r="H37" s="2491"/>
      <c r="I37" s="2492"/>
    </row>
    <row r="38" spans="2:9" ht="16.5" customHeight="1" x14ac:dyDescent="0.2">
      <c r="B38" s="1444" t="s">
        <v>2143</v>
      </c>
      <c r="C38" s="2478" t="s">
        <v>2177</v>
      </c>
      <c r="D38" s="2479"/>
      <c r="E38" s="2479"/>
      <c r="F38" s="2480"/>
      <c r="G38" s="2493">
        <v>374410</v>
      </c>
      <c r="H38" s="2494"/>
      <c r="I38" s="2495"/>
    </row>
    <row r="39" spans="2:9" ht="16.5" customHeight="1" x14ac:dyDescent="0.2">
      <c r="B39" s="1444" t="s">
        <v>2160</v>
      </c>
      <c r="C39" s="2478" t="s">
        <v>2178</v>
      </c>
      <c r="D39" s="2479"/>
      <c r="E39" s="2479"/>
      <c r="F39" s="2480"/>
      <c r="G39" s="2481">
        <v>20011</v>
      </c>
      <c r="H39" s="2481"/>
      <c r="I39" s="2481"/>
    </row>
    <row r="40" spans="2:9" ht="16.5" customHeight="1" x14ac:dyDescent="0.2">
      <c r="B40" s="1444"/>
      <c r="C40" s="2478"/>
      <c r="D40" s="2479"/>
      <c r="E40" s="2479"/>
      <c r="F40" s="2480"/>
      <c r="G40" s="2481"/>
      <c r="H40" s="2481"/>
      <c r="I40" s="2481"/>
    </row>
    <row r="41" spans="2:9" ht="16.5" customHeight="1" x14ac:dyDescent="0.2">
      <c r="B41" s="1444"/>
      <c r="C41" s="2478"/>
      <c r="D41" s="2479"/>
      <c r="E41" s="2479"/>
      <c r="F41" s="2480"/>
      <c r="G41" s="2481"/>
      <c r="H41" s="2481"/>
      <c r="I41" s="2481"/>
    </row>
    <row r="42" spans="2:9" ht="16.5" customHeight="1" x14ac:dyDescent="0.2">
      <c r="B42" s="1444"/>
      <c r="C42" s="2478"/>
      <c r="D42" s="2479"/>
      <c r="E42" s="2479"/>
      <c r="F42" s="2480"/>
      <c r="G42" s="2481"/>
      <c r="H42" s="2481"/>
      <c r="I42" s="2481"/>
    </row>
    <row r="43" spans="2:9" ht="16.5" customHeight="1" x14ac:dyDescent="0.2">
      <c r="B43" s="1444"/>
      <c r="C43" s="2496" t="s">
        <v>1675</v>
      </c>
      <c r="D43" s="2497"/>
      <c r="E43" s="2497"/>
      <c r="F43" s="2498"/>
      <c r="G43" s="2499">
        <f>SUM(G38:I42)</f>
        <v>394421</v>
      </c>
      <c r="H43" s="2499"/>
      <c r="I43" s="2499"/>
    </row>
    <row r="44" spans="2:9" ht="12.75" customHeight="1" x14ac:dyDescent="0.2"/>
    <row r="45" spans="2:9" ht="12.75" customHeight="1" x14ac:dyDescent="0.2">
      <c r="B45" s="1435" t="s">
        <v>1949</v>
      </c>
      <c r="D45" s="2500">
        <v>873758</v>
      </c>
      <c r="E45" s="2501"/>
    </row>
    <row r="46" spans="2:9" ht="5.25" customHeight="1" x14ac:dyDescent="0.2">
      <c r="B46" s="1445"/>
      <c r="D46" s="1446"/>
      <c r="E46" s="1447"/>
    </row>
    <row r="47" spans="2:9" ht="12.75" customHeight="1" x14ac:dyDescent="0.2">
      <c r="B47" s="1300" t="s">
        <v>1676</v>
      </c>
      <c r="C47" s="1300"/>
      <c r="D47" s="1448">
        <f>+G43/D45</f>
        <v>0.45140759798479668</v>
      </c>
      <c r="E47" s="1449"/>
      <c r="F47" s="1450"/>
      <c r="I47" s="1451"/>
    </row>
    <row r="48" spans="2:9" ht="9.9499999999999993" customHeight="1" x14ac:dyDescent="0.2"/>
    <row r="49" spans="1:9" x14ac:dyDescent="0.2">
      <c r="B49" s="1368" t="s">
        <v>1335</v>
      </c>
      <c r="C49" s="1282"/>
      <c r="D49" s="1282"/>
      <c r="E49" s="2502">
        <v>750000</v>
      </c>
      <c r="F49" s="2502"/>
      <c r="G49" s="2502"/>
      <c r="H49" s="322"/>
    </row>
    <row r="51" spans="1:9" ht="13.5" customHeight="1" x14ac:dyDescent="0.2">
      <c r="B51" s="1368" t="s">
        <v>1334</v>
      </c>
      <c r="C51" s="1282"/>
      <c r="E51" s="1438"/>
      <c r="F51" s="1300" t="s">
        <v>940</v>
      </c>
      <c r="G51" s="1438" t="s">
        <v>2107</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zoomScale="110" zoomScaleNormal="110" workbookViewId="0">
      <selection activeCell="L21" sqref="L2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Kinnikinnick Community Consolidated School District #131</v>
      </c>
      <c r="C1" s="2482"/>
      <c r="D1" s="2482"/>
      <c r="E1" s="2482"/>
      <c r="F1" s="2482"/>
      <c r="G1" s="2482"/>
      <c r="H1" s="2482"/>
      <c r="I1" s="2482"/>
      <c r="J1" s="2482"/>
      <c r="K1" s="2482"/>
      <c r="L1" s="1374"/>
      <c r="M1" s="1374"/>
    </row>
    <row r="2" spans="1:13" ht="12" customHeight="1" x14ac:dyDescent="0.2">
      <c r="B2" s="2484">
        <f>'Single Audit Cover'!E7</f>
        <v>4101131004</v>
      </c>
      <c r="C2" s="2484"/>
      <c r="D2" s="2484"/>
      <c r="E2" s="2484"/>
      <c r="F2" s="2484"/>
      <c r="G2" s="2484"/>
      <c r="H2" s="2484"/>
      <c r="I2" s="2484"/>
      <c r="J2" s="2484"/>
      <c r="K2" s="2484"/>
      <c r="L2" s="1375"/>
      <c r="M2" s="1376"/>
    </row>
    <row r="3" spans="1:13" ht="10.35" customHeight="1" x14ac:dyDescent="0.2">
      <c r="B3" s="2505" t="s">
        <v>1347</v>
      </c>
      <c r="C3" s="2505"/>
      <c r="D3" s="2505"/>
      <c r="E3" s="2505"/>
      <c r="F3" s="2505"/>
      <c r="G3" s="2505"/>
      <c r="H3" s="2505"/>
      <c r="I3" s="2505"/>
      <c r="J3" s="2505"/>
      <c r="K3" s="2505"/>
      <c r="L3" s="1377"/>
      <c r="M3" s="1377"/>
    </row>
    <row r="4" spans="1:13" ht="14.25" customHeight="1" x14ac:dyDescent="0.2">
      <c r="B4" s="2506" t="str">
        <f>'Single Audit Cover'!A4</f>
        <v>Year Ending June 30, 2018</v>
      </c>
      <c r="C4" s="2506"/>
      <c r="D4" s="2506"/>
      <c r="E4" s="2506"/>
      <c r="F4" s="2506"/>
      <c r="G4" s="2506"/>
      <c r="H4" s="2506"/>
      <c r="I4" s="2506"/>
      <c r="J4" s="2506"/>
      <c r="K4" s="250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6" t="s">
        <v>1363</v>
      </c>
      <c r="C7" s="2506"/>
      <c r="D7" s="2507"/>
      <c r="E7" s="2507"/>
      <c r="F7" s="2507"/>
      <c r="G7" s="2507"/>
      <c r="H7" s="2507"/>
      <c r="I7" s="2507"/>
      <c r="J7" s="2507"/>
      <c r="K7" s="250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1</v>
      </c>
      <c r="E10" s="322"/>
      <c r="F10" s="1387" t="s">
        <v>1362</v>
      </c>
      <c r="G10" s="1388" t="s">
        <v>2107</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8" t="s">
        <v>2190</v>
      </c>
      <c r="C14" s="2508"/>
      <c r="D14" s="2508"/>
      <c r="E14" s="2508"/>
      <c r="F14" s="2508"/>
      <c r="G14" s="2508"/>
      <c r="H14" s="2508"/>
      <c r="I14" s="2508"/>
      <c r="J14" s="2508"/>
      <c r="K14" s="250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8" t="s">
        <v>2191</v>
      </c>
      <c r="C17" s="2508"/>
      <c r="D17" s="2508"/>
      <c r="E17" s="2508"/>
      <c r="F17" s="2508"/>
      <c r="G17" s="2508"/>
      <c r="H17" s="2508"/>
      <c r="I17" s="2508"/>
      <c r="J17" s="2508"/>
      <c r="K17" s="2508"/>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9" t="s">
        <v>2192</v>
      </c>
      <c r="C20" s="2509"/>
      <c r="D20" s="2508"/>
      <c r="E20" s="2508"/>
      <c r="F20" s="2508"/>
      <c r="G20" s="2508"/>
      <c r="H20" s="2508"/>
      <c r="I20" s="2508"/>
      <c r="J20" s="2508"/>
      <c r="K20" s="250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8" t="s">
        <v>2194</v>
      </c>
      <c r="C23" s="2508"/>
      <c r="D23" s="2508"/>
      <c r="E23" s="2508"/>
      <c r="F23" s="2508"/>
      <c r="G23" s="2508"/>
      <c r="H23" s="2508"/>
      <c r="I23" s="2508"/>
      <c r="J23" s="2508"/>
      <c r="K23" s="250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8" t="s">
        <v>2193</v>
      </c>
      <c r="C26" s="2508"/>
      <c r="D26" s="2508"/>
      <c r="E26" s="2508"/>
      <c r="F26" s="2508"/>
      <c r="G26" s="2508"/>
      <c r="H26" s="2508"/>
      <c r="I26" s="2508"/>
      <c r="J26" s="2508"/>
      <c r="K26" s="250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10" t="s">
        <v>2195</v>
      </c>
      <c r="C29" s="2510"/>
      <c r="D29" s="2508"/>
      <c r="E29" s="2508"/>
      <c r="F29" s="2508"/>
      <c r="G29" s="2508"/>
      <c r="H29" s="2508"/>
      <c r="I29" s="2508"/>
      <c r="J29" s="2508"/>
      <c r="K29" s="250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03" t="s">
        <v>2203</v>
      </c>
      <c r="C32" s="2503"/>
      <c r="D32" s="2504"/>
      <c r="E32" s="2504"/>
      <c r="F32" s="2504"/>
      <c r="G32" s="2504"/>
      <c r="H32" s="2504"/>
      <c r="I32" s="2504"/>
      <c r="J32" s="2504"/>
      <c r="K32" s="250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topLeftCell="A25"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Kinnikinnick Community Consolidated School District #131</v>
      </c>
      <c r="C1" s="2482"/>
      <c r="D1" s="2482"/>
      <c r="E1" s="2482"/>
      <c r="F1" s="2482"/>
      <c r="G1" s="2482"/>
      <c r="H1" s="2482"/>
      <c r="I1" s="2482"/>
      <c r="J1" s="2482"/>
      <c r="K1" s="2482"/>
      <c r="L1" s="1374"/>
      <c r="M1" s="1374"/>
    </row>
    <row r="2" spans="1:13" ht="12" customHeight="1" x14ac:dyDescent="0.2">
      <c r="B2" s="2484">
        <f>'Single Audit Cover'!E7</f>
        <v>4101131004</v>
      </c>
      <c r="C2" s="2484"/>
      <c r="D2" s="2484"/>
      <c r="E2" s="2484"/>
      <c r="F2" s="2484"/>
      <c r="G2" s="2484"/>
      <c r="H2" s="2484"/>
      <c r="I2" s="2484"/>
      <c r="J2" s="2484"/>
      <c r="K2" s="2484"/>
      <c r="L2" s="1375"/>
      <c r="M2" s="1376"/>
    </row>
    <row r="3" spans="1:13" ht="10.35" customHeight="1" x14ac:dyDescent="0.2">
      <c r="B3" s="2505" t="s">
        <v>1347</v>
      </c>
      <c r="C3" s="2505"/>
      <c r="D3" s="2505"/>
      <c r="E3" s="2505"/>
      <c r="F3" s="2505"/>
      <c r="G3" s="2505"/>
      <c r="H3" s="2505"/>
      <c r="I3" s="2505"/>
      <c r="J3" s="2505"/>
      <c r="K3" s="2505"/>
      <c r="L3" s="1960"/>
      <c r="M3" s="1960"/>
    </row>
    <row r="4" spans="1:13" ht="14.25" customHeight="1" x14ac:dyDescent="0.2">
      <c r="B4" s="2506" t="str">
        <f>'Single Audit Cover'!A4</f>
        <v>Year Ending June 30, 2018</v>
      </c>
      <c r="C4" s="2506"/>
      <c r="D4" s="2506"/>
      <c r="E4" s="2506"/>
      <c r="F4" s="2506"/>
      <c r="G4" s="2506"/>
      <c r="H4" s="2506"/>
      <c r="I4" s="2506"/>
      <c r="J4" s="2506"/>
      <c r="K4" s="250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6" t="s">
        <v>1363</v>
      </c>
      <c r="C7" s="2506"/>
      <c r="D7" s="2507"/>
      <c r="E7" s="2507"/>
      <c r="F7" s="2507"/>
      <c r="G7" s="2507"/>
      <c r="H7" s="2507"/>
      <c r="I7" s="2507"/>
      <c r="J7" s="2507"/>
      <c r="K7" s="250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2</v>
      </c>
      <c r="E10" s="322"/>
      <c r="F10" s="1387" t="s">
        <v>1362</v>
      </c>
      <c r="G10" s="1388" t="s">
        <v>2074</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8" t="s">
        <v>2179</v>
      </c>
      <c r="C14" s="2508"/>
      <c r="D14" s="2508"/>
      <c r="E14" s="2508"/>
      <c r="F14" s="2508"/>
      <c r="G14" s="2508"/>
      <c r="H14" s="2508"/>
      <c r="I14" s="2508"/>
      <c r="J14" s="2508"/>
      <c r="K14" s="250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4" t="s">
        <v>2196</v>
      </c>
      <c r="C17" s="2504"/>
      <c r="D17" s="2504"/>
      <c r="E17" s="2504"/>
      <c r="F17" s="2504"/>
      <c r="G17" s="2504"/>
      <c r="H17" s="2504"/>
      <c r="I17" s="2504"/>
      <c r="J17" s="2504"/>
      <c r="K17" s="2504"/>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1" t="s">
        <v>2197</v>
      </c>
      <c r="C20" s="2511"/>
      <c r="D20" s="2504"/>
      <c r="E20" s="2504"/>
      <c r="F20" s="2504"/>
      <c r="G20" s="2504"/>
      <c r="H20" s="2504"/>
      <c r="I20" s="2504"/>
      <c r="J20" s="2504"/>
      <c r="K20" s="250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4" t="s">
        <v>2198</v>
      </c>
      <c r="C23" s="2504"/>
      <c r="D23" s="2504"/>
      <c r="E23" s="2504"/>
      <c r="F23" s="2504"/>
      <c r="G23" s="2504"/>
      <c r="H23" s="2504"/>
      <c r="I23" s="2504"/>
      <c r="J23" s="2504"/>
      <c r="K23" s="250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4" t="s">
        <v>2199</v>
      </c>
      <c r="C26" s="2504"/>
      <c r="D26" s="2504"/>
      <c r="E26" s="2504"/>
      <c r="F26" s="2504"/>
      <c r="G26" s="2504"/>
      <c r="H26" s="2504"/>
      <c r="I26" s="2504"/>
      <c r="J26" s="2504"/>
      <c r="K26" s="250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3" t="s">
        <v>2200</v>
      </c>
      <c r="C29" s="2503"/>
      <c r="D29" s="2504"/>
      <c r="E29" s="2504"/>
      <c r="F29" s="2504"/>
      <c r="G29" s="2504"/>
      <c r="H29" s="2504"/>
      <c r="I29" s="2504"/>
      <c r="J29" s="2504"/>
      <c r="K29" s="250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03" t="s">
        <v>2204</v>
      </c>
      <c r="C32" s="2503"/>
      <c r="D32" s="2504"/>
      <c r="E32" s="2504"/>
      <c r="F32" s="2504"/>
      <c r="G32" s="2504"/>
      <c r="H32" s="2504"/>
      <c r="I32" s="2504"/>
      <c r="J32" s="2504"/>
      <c r="K32" s="250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52"/>
  <sheetViews>
    <sheetView showGridLines="0" zoomScale="110" zoomScaleNormal="110" workbookViewId="0">
      <selection activeCell="Q21" sqref="Q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2" t="str">
        <f>'Single Audit Cover'!A7</f>
        <v>Kinnikinnick Community Consolidated School District #131</v>
      </c>
      <c r="C1" s="2512"/>
      <c r="D1" s="2512"/>
      <c r="E1" s="2512"/>
      <c r="F1" s="2512"/>
      <c r="G1" s="2512"/>
      <c r="H1" s="2512"/>
      <c r="I1" s="2512"/>
      <c r="J1" s="2512"/>
      <c r="K1" s="2512"/>
      <c r="L1" s="1465"/>
    </row>
    <row r="2" spans="1:12" ht="12.75" customHeight="1" x14ac:dyDescent="0.2">
      <c r="B2" s="2513">
        <f>'Single Audit Cover'!E7</f>
        <v>4101131004</v>
      </c>
      <c r="C2" s="2513"/>
      <c r="D2" s="2513"/>
      <c r="E2" s="2513"/>
      <c r="F2" s="2513"/>
      <c r="G2" s="2513"/>
      <c r="H2" s="2513"/>
      <c r="I2" s="2513"/>
      <c r="J2" s="2513"/>
      <c r="K2" s="2513"/>
      <c r="L2" s="1466"/>
    </row>
    <row r="3" spans="1:12" ht="12.75" customHeight="1" x14ac:dyDescent="0.2">
      <c r="B3" s="2505" t="s">
        <v>1347</v>
      </c>
      <c r="C3" s="2505"/>
      <c r="D3" s="2505"/>
      <c r="E3" s="2505"/>
      <c r="F3" s="2505"/>
      <c r="G3" s="2505"/>
      <c r="H3" s="2505"/>
      <c r="I3" s="2505"/>
      <c r="J3" s="2505"/>
      <c r="K3" s="2505"/>
      <c r="L3" s="1377"/>
    </row>
    <row r="4" spans="1:12" ht="12.75" customHeight="1" x14ac:dyDescent="0.2">
      <c r="B4" s="2505" t="str">
        <f>'Single Audit Cover'!A4</f>
        <v>Year Ending June 30, 2018</v>
      </c>
      <c r="C4" s="2505"/>
      <c r="D4" s="2505"/>
      <c r="E4" s="2505"/>
      <c r="F4" s="2505"/>
      <c r="G4" s="2505"/>
      <c r="H4" s="2505"/>
      <c r="I4" s="2505"/>
      <c r="J4" s="2505"/>
      <c r="K4" s="2505"/>
      <c r="L4" s="1377"/>
    </row>
    <row r="5" spans="1:12" ht="5.25" customHeight="1" x14ac:dyDescent="0.2">
      <c r="B5" s="1260" t="s">
        <v>1231</v>
      </c>
      <c r="C5" s="1260"/>
      <c r="L5" s="322"/>
    </row>
    <row r="6" spans="1:12" ht="30.75" customHeight="1" x14ac:dyDescent="0.2">
      <c r="A6" s="322"/>
      <c r="B6" s="2514" t="s">
        <v>1375</v>
      </c>
      <c r="C6" s="2514"/>
      <c r="D6" s="2514"/>
      <c r="E6" s="2514"/>
      <c r="F6" s="2514"/>
      <c r="G6" s="2514"/>
      <c r="H6" s="2514"/>
      <c r="I6" s="2514"/>
      <c r="J6" s="2514"/>
      <c r="K6" s="2514"/>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9"/>
      <c r="G12" s="2489"/>
      <c r="H12" s="2489"/>
      <c r="I12" s="2489"/>
      <c r="J12" s="2489"/>
      <c r="K12" s="248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5"/>
      <c r="E14" s="2515"/>
      <c r="F14" s="2515"/>
      <c r="H14" s="1475" t="s">
        <v>1370</v>
      </c>
      <c r="I14" s="2516"/>
      <c r="J14" s="2516"/>
      <c r="K14" s="251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6"/>
      <c r="E16" s="2516"/>
      <c r="F16" s="2516"/>
      <c r="G16" s="2516"/>
      <c r="H16" s="2516"/>
      <c r="I16" s="2516"/>
      <c r="J16" s="2516"/>
      <c r="K16" s="2516"/>
      <c r="L16" s="322"/>
    </row>
    <row r="17" spans="2:12" ht="13.5" customHeight="1" x14ac:dyDescent="0.2">
      <c r="B17" s="1387" t="s">
        <v>1368</v>
      </c>
      <c r="C17" s="1387"/>
      <c r="D17" s="2517"/>
      <c r="E17" s="2517"/>
      <c r="F17" s="2517"/>
      <c r="G17" s="2517"/>
      <c r="H17" s="2517"/>
      <c r="I17" s="2517"/>
      <c r="J17" s="2517"/>
      <c r="K17" s="251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8" t="s">
        <v>2118</v>
      </c>
      <c r="C20" s="2508"/>
      <c r="D20" s="2508"/>
      <c r="E20" s="2508"/>
      <c r="F20" s="2508"/>
      <c r="G20" s="2508"/>
      <c r="H20" s="2508"/>
      <c r="I20" s="2508"/>
      <c r="J20" s="2508"/>
      <c r="K20" s="250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08"/>
      <c r="C23" s="2508"/>
      <c r="D23" s="2508"/>
      <c r="E23" s="2508"/>
      <c r="F23" s="2508"/>
      <c r="G23" s="2508"/>
      <c r="H23" s="2508"/>
      <c r="I23" s="2508"/>
      <c r="J23" s="2508"/>
      <c r="K23" s="250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08"/>
      <c r="C26" s="2508"/>
      <c r="D26" s="2508"/>
      <c r="E26" s="2508"/>
      <c r="F26" s="2508"/>
      <c r="G26" s="2508"/>
      <c r="H26" s="2508"/>
      <c r="I26" s="2508"/>
      <c r="J26" s="2508"/>
      <c r="K26" s="250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08"/>
      <c r="C29" s="2508"/>
      <c r="D29" s="2508"/>
      <c r="E29" s="2508"/>
      <c r="F29" s="2508"/>
      <c r="G29" s="2508"/>
      <c r="H29" s="2508"/>
      <c r="I29" s="2508"/>
      <c r="J29" s="2508"/>
      <c r="K29" s="250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8"/>
      <c r="C32" s="2508"/>
      <c r="D32" s="2508"/>
      <c r="E32" s="2508"/>
      <c r="F32" s="2508"/>
      <c r="G32" s="2508"/>
      <c r="H32" s="2508"/>
      <c r="I32" s="2508"/>
      <c r="J32" s="2508"/>
      <c r="K32" s="250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8"/>
      <c r="C35" s="2508"/>
      <c r="D35" s="2508"/>
      <c r="E35" s="2508"/>
      <c r="F35" s="2508"/>
      <c r="G35" s="2508"/>
      <c r="H35" s="2508"/>
      <c r="I35" s="2508"/>
      <c r="J35" s="2508"/>
      <c r="K35" s="250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8"/>
      <c r="C38" s="2508"/>
      <c r="D38" s="2508"/>
      <c r="E38" s="2508"/>
      <c r="F38" s="2508"/>
      <c r="G38" s="2508"/>
      <c r="H38" s="2508"/>
      <c r="I38" s="2508"/>
      <c r="J38" s="2508"/>
      <c r="K38" s="250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08"/>
      <c r="C41" s="2508"/>
      <c r="D41" s="2508"/>
      <c r="E41" s="2508"/>
      <c r="F41" s="2508"/>
      <c r="G41" s="2508"/>
      <c r="H41" s="2508"/>
      <c r="I41" s="2508"/>
      <c r="J41" s="2508"/>
      <c r="K41" s="250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73"/>
  <sheetViews>
    <sheetView showGridLines="0" zoomScale="110" zoomScaleNormal="110" workbookViewId="0">
      <selection activeCell="M28" sqref="M2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2" t="str">
        <f>'Single Audit Cover'!A7</f>
        <v>Kinnikinnick Community Consolidated School District #131</v>
      </c>
      <c r="C1" s="2482"/>
      <c r="D1" s="2482"/>
      <c r="E1" s="1491"/>
    </row>
    <row r="2" spans="2:5" s="1282" customFormat="1" ht="12.75" customHeight="1" x14ac:dyDescent="0.2">
      <c r="B2" s="2484">
        <f>'Single Audit Cover'!E7</f>
        <v>4101131004</v>
      </c>
      <c r="C2" s="2484"/>
      <c r="D2" s="2484"/>
      <c r="E2" s="1492"/>
    </row>
    <row r="3" spans="2:5" ht="12.75" customHeight="1" x14ac:dyDescent="0.2">
      <c r="B3" s="2505" t="s">
        <v>1866</v>
      </c>
      <c r="C3" s="2505"/>
      <c r="D3" s="2505"/>
      <c r="E3" s="1274"/>
    </row>
    <row r="4" spans="2:5" s="1282" customFormat="1" ht="12.75" customHeight="1" x14ac:dyDescent="0.2">
      <c r="B4" s="2518" t="str">
        <f>'Single Audit Cover'!A4</f>
        <v>Year Ending June 30, 2018</v>
      </c>
      <c r="C4" s="2518"/>
      <c r="D4" s="2518"/>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2118</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32" sqref="L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2" t="s">
        <v>404</v>
      </c>
      <c r="B1" s="2112"/>
      <c r="C1" s="2112"/>
      <c r="D1" s="2112"/>
      <c r="E1" s="2112"/>
      <c r="F1" s="2112"/>
      <c r="G1" s="2112"/>
      <c r="H1" s="2112"/>
      <c r="I1" s="2112"/>
      <c r="J1" s="2112"/>
      <c r="K1" s="2112"/>
      <c r="L1" s="2112"/>
      <c r="M1" s="211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305327905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3.2275999999999999E-2</v>
      </c>
      <c r="E10" s="356" t="s">
        <v>1062</v>
      </c>
      <c r="F10" s="355">
        <v>4.1999999999999997E-3</v>
      </c>
      <c r="G10" s="356" t="s">
        <v>1062</v>
      </c>
      <c r="H10" s="355">
        <v>1.5E-3</v>
      </c>
      <c r="I10" s="356" t="s">
        <v>1063</v>
      </c>
      <c r="J10" s="1754">
        <f>ROUND(D10+F10+H10,5)</f>
        <v>3.798E-2</v>
      </c>
      <c r="K10" s="222"/>
      <c r="L10" s="355">
        <v>0</v>
      </c>
      <c r="M10" s="222"/>
    </row>
    <row r="11" spans="1:14" ht="7.5" customHeight="1" x14ac:dyDescent="0.2">
      <c r="B11" s="222"/>
      <c r="C11" s="222"/>
      <c r="D11" s="2122" t="str">
        <f>IF(SUM(J10)&lt;=0.0999999,"","Enter the Tax Rates by moving the decimal two places to the left.")</f>
        <v/>
      </c>
      <c r="E11" s="2123"/>
      <c r="F11" s="2123"/>
      <c r="G11" s="2123"/>
      <c r="H11" s="2123"/>
      <c r="I11" s="2123"/>
      <c r="J11" s="212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19241442</v>
      </c>
      <c r="E16" s="356"/>
      <c r="F16" s="1755">
        <f>SUM('Acct Summary 7-8'!C17,'Acct Summary 7-8'!D17,'Acct Summary 7-8'!F17)</f>
        <v>16730297</v>
      </c>
      <c r="G16" s="356"/>
      <c r="H16" s="1755">
        <f>SUM(D16-F16)</f>
        <v>2511145</v>
      </c>
      <c r="I16" s="222"/>
      <c r="J16" s="1755">
        <f>SUM('Acct Summary 7-8'!C81,'Acct Summary 7-8'!D81,'Acct Summary 7-8'!F81,'Acct Summary 7-8'!I81)</f>
        <v>15614426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2107</v>
      </c>
      <c r="C31" s="367" t="s">
        <v>607</v>
      </c>
      <c r="D31" s="237" t="s">
        <v>1132</v>
      </c>
      <c r="E31" s="222"/>
      <c r="F31" s="222"/>
      <c r="G31" s="363"/>
      <c r="H31" s="1757">
        <f>IF(B31="X",(J7*0.069),IF(B32="X",(J7*0.138),"Enter x in a.or b."))</f>
        <v>21067625.445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3505000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3"/>
      <c r="C54" s="2114"/>
      <c r="D54" s="2114"/>
      <c r="E54" s="2114"/>
      <c r="F54" s="2114"/>
      <c r="G54" s="2114"/>
      <c r="H54" s="2114"/>
      <c r="I54" s="2114"/>
      <c r="J54" s="2114"/>
      <c r="K54" s="2114"/>
      <c r="L54" s="2115"/>
      <c r="M54" s="380"/>
    </row>
    <row r="55" spans="1:13" ht="12.75" customHeight="1" x14ac:dyDescent="0.2">
      <c r="B55" s="2116"/>
      <c r="C55" s="2117"/>
      <c r="D55" s="2117"/>
      <c r="E55" s="2117"/>
      <c r="F55" s="2117"/>
      <c r="G55" s="2117"/>
      <c r="H55" s="2117"/>
      <c r="I55" s="2117"/>
      <c r="J55" s="2117"/>
      <c r="K55" s="2117"/>
      <c r="L55" s="2118"/>
      <c r="M55" s="380"/>
    </row>
    <row r="56" spans="1:13" ht="12.75" customHeight="1" x14ac:dyDescent="0.2">
      <c r="B56" s="2116"/>
      <c r="C56" s="2117"/>
      <c r="D56" s="2117"/>
      <c r="E56" s="2117"/>
      <c r="F56" s="2117"/>
      <c r="G56" s="2117"/>
      <c r="H56" s="2117"/>
      <c r="I56" s="2117"/>
      <c r="J56" s="2117"/>
      <c r="K56" s="2117"/>
      <c r="L56" s="2118"/>
      <c r="M56" s="222"/>
    </row>
    <row r="57" spans="1:13" ht="12.75" customHeight="1" x14ac:dyDescent="0.2">
      <c r="B57" s="2116"/>
      <c r="C57" s="2117"/>
      <c r="D57" s="2117"/>
      <c r="E57" s="2117"/>
      <c r="F57" s="2117"/>
      <c r="G57" s="2117"/>
      <c r="H57" s="2117"/>
      <c r="I57" s="2117"/>
      <c r="J57" s="2117"/>
      <c r="K57" s="2117"/>
      <c r="L57" s="2118"/>
      <c r="M57" s="222"/>
    </row>
    <row r="58" spans="1:13" x14ac:dyDescent="0.2">
      <c r="B58" s="2119"/>
      <c r="C58" s="2120"/>
      <c r="D58" s="2120"/>
      <c r="E58" s="2120"/>
      <c r="F58" s="2120"/>
      <c r="G58" s="2120"/>
      <c r="H58" s="2120"/>
      <c r="I58" s="2120"/>
      <c r="J58" s="2120"/>
      <c r="K58" s="2120"/>
      <c r="L58" s="212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4"/>
      <c r="D61" s="212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R35" sqref="R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7"/>
      <c r="B1" s="2128"/>
      <c r="C1" s="2128"/>
      <c r="D1" s="384"/>
      <c r="E1" s="384"/>
      <c r="F1" s="384"/>
      <c r="G1" s="384"/>
      <c r="H1" s="384"/>
      <c r="I1" s="384"/>
      <c r="J1" s="384"/>
      <c r="K1" s="384"/>
      <c r="L1" s="384"/>
      <c r="M1" s="384"/>
      <c r="N1" s="384"/>
      <c r="O1" s="2127"/>
      <c r="P1" s="2128"/>
      <c r="Q1" s="2128"/>
    </row>
    <row r="2" spans="1:18" ht="15" x14ac:dyDescent="0.2">
      <c r="A2" s="2131" t="s">
        <v>577</v>
      </c>
      <c r="B2" s="2131"/>
      <c r="C2" s="2131"/>
      <c r="D2" s="2131"/>
      <c r="E2" s="2131"/>
      <c r="F2" s="2131"/>
      <c r="G2" s="2131"/>
      <c r="H2" s="2131"/>
      <c r="I2" s="2131"/>
      <c r="J2" s="2131"/>
      <c r="K2" s="2131"/>
      <c r="L2" s="2131"/>
      <c r="M2" s="2131"/>
      <c r="N2" s="2131"/>
      <c r="O2" s="2131"/>
      <c r="P2" s="2131"/>
      <c r="Q2" s="2131"/>
      <c r="R2" s="2131"/>
    </row>
    <row r="3" spans="1:18" ht="12.75" x14ac:dyDescent="0.2">
      <c r="A3" s="2132" t="s">
        <v>1480</v>
      </c>
      <c r="B3" s="2132"/>
      <c r="C3" s="2132"/>
      <c r="D3" s="2132"/>
      <c r="E3" s="2132"/>
      <c r="F3" s="2132"/>
      <c r="G3" s="2132"/>
      <c r="H3" s="2132"/>
      <c r="I3" s="2132"/>
      <c r="J3" s="2132"/>
      <c r="K3" s="2132"/>
      <c r="L3" s="2132"/>
      <c r="M3" s="2132"/>
      <c r="N3" s="2132"/>
      <c r="O3" s="2132"/>
      <c r="P3" s="2132"/>
      <c r="Q3" s="2132"/>
      <c r="R3" s="2132"/>
    </row>
    <row r="4" spans="1:18" x14ac:dyDescent="0.2">
      <c r="A4" s="2133" t="s">
        <v>1635</v>
      </c>
      <c r="B4" s="2133"/>
      <c r="C4" s="2133"/>
      <c r="D4" s="2133"/>
      <c r="E4" s="2133"/>
      <c r="F4" s="2133"/>
      <c r="G4" s="2133"/>
      <c r="H4" s="2133"/>
      <c r="I4" s="2133"/>
      <c r="J4" s="2133"/>
      <c r="K4" s="2133"/>
      <c r="L4" s="2133"/>
      <c r="M4" s="2133"/>
      <c r="N4" s="2133"/>
      <c r="O4" s="2133"/>
      <c r="P4" s="2133"/>
      <c r="Q4" s="2133"/>
      <c r="R4" s="213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Kinnikinnick Community Consolidated School District #131</v>
      </c>
      <c r="E7" s="391"/>
      <c r="G7" s="252"/>
      <c r="H7" s="387"/>
      <c r="I7" s="387"/>
      <c r="J7" s="387"/>
      <c r="K7" s="387"/>
      <c r="L7" s="329"/>
      <c r="M7" s="329"/>
      <c r="N7" s="329"/>
      <c r="O7" s="329"/>
      <c r="P7" s="329"/>
    </row>
    <row r="8" spans="1:18" ht="12.75" x14ac:dyDescent="0.2">
      <c r="A8" s="329"/>
      <c r="B8" s="329"/>
      <c r="C8" s="389" t="s">
        <v>1187</v>
      </c>
      <c r="D8" s="392">
        <f>COVER!A13</f>
        <v>4101131004</v>
      </c>
      <c r="E8" s="393"/>
      <c r="G8" s="329"/>
      <c r="H8" s="329"/>
      <c r="I8" s="329"/>
      <c r="J8" s="329"/>
      <c r="K8" s="329"/>
      <c r="L8" s="329"/>
      <c r="M8" s="329"/>
      <c r="N8" s="329"/>
      <c r="O8" s="329"/>
      <c r="P8" s="329"/>
    </row>
    <row r="9" spans="1:18" ht="12.75" x14ac:dyDescent="0.2">
      <c r="A9" s="329"/>
      <c r="B9" s="329"/>
      <c r="C9" s="389" t="s">
        <v>737</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15614426</v>
      </c>
      <c r="I12" s="404"/>
      <c r="J12" s="404"/>
      <c r="K12" s="405">
        <f>TRUNC((H12/H13*100000),5)/100000</f>
        <v>0.81321082060000005</v>
      </c>
      <c r="L12" s="406"/>
      <c r="M12" s="360" t="s">
        <v>1206</v>
      </c>
      <c r="N12" s="360"/>
      <c r="O12" s="407">
        <v>0.35</v>
      </c>
      <c r="P12" s="218"/>
      <c r="Q12" s="218"/>
    </row>
    <row r="13" spans="1:18" s="408" customFormat="1" ht="12.75" x14ac:dyDescent="0.2">
      <c r="A13" s="218"/>
      <c r="B13" s="401"/>
      <c r="C13" s="2129" t="s">
        <v>1391</v>
      </c>
      <c r="D13" s="2130"/>
      <c r="E13" s="218"/>
      <c r="F13" s="409" t="s">
        <v>826</v>
      </c>
      <c r="G13" s="402"/>
      <c r="H13" s="403">
        <f>SUM('Acct Summary 7-8'!C8+'Acct Summary 7-8'!D8+'Acct Summary 7-8'!F8+'Acct Summary 7-8'!I8)+H14</f>
        <v>19200957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-40485</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16730297</v>
      </c>
      <c r="I17" s="404"/>
      <c r="J17" s="416"/>
      <c r="K17" s="405">
        <f>TRUNC((H17/H18*100000),5)/100000</f>
        <v>0.87132620519999993</v>
      </c>
      <c r="L17" s="406"/>
      <c r="M17" s="417" t="s">
        <v>1233</v>
      </c>
      <c r="O17" s="418" t="str">
        <f>IF(AND(O16="2", J20 &gt; 2),"1",IF(AND(O16 = "1", J20 &gt; 2),"2",IF(AND(O16="1", J20 &gt;1),"1","0")))</f>
        <v>0</v>
      </c>
      <c r="P17" s="218"/>
    </row>
    <row r="18" spans="1:18" s="408" customFormat="1" ht="11.25" x14ac:dyDescent="0.2">
      <c r="A18" s="218"/>
      <c r="B18" s="401"/>
      <c r="C18" s="2129" t="s">
        <v>1384</v>
      </c>
      <c r="D18" s="2130"/>
      <c r="E18" s="218"/>
      <c r="F18" s="419" t="s">
        <v>827</v>
      </c>
      <c r="G18" s="402"/>
      <c r="H18" s="403">
        <f>SUM('Acct Summary 7-8'!C8+'Acct Summary 7-8'!D8+'Acct Summary 7-8'!F8+'Acct Summary 7-8'!I8)+H19</f>
        <v>19200957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-40485</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6" t="s">
        <v>1479</v>
      </c>
      <c r="D24" s="2126"/>
      <c r="E24" s="218"/>
      <c r="F24" s="218" t="s">
        <v>465</v>
      </c>
      <c r="G24" s="402"/>
      <c r="H24" s="403">
        <f>SUM('Assets-Liab 5-6'!C4+'Assets-Liab 5-6'!D4+'Assets-Liab 5-6'!F4+'Assets-Liab 5-6'!I4+'Assets-Liab 5-6'!C5+'Assets-Liab 5-6'!D5+'Assets-Liab 5-6'!F5+'Assets-Liab 5-6'!I5)</f>
        <v>15612705</v>
      </c>
      <c r="I24" s="422"/>
      <c r="J24" s="422"/>
      <c r="K24" s="423">
        <f>TRUNC(((H24/H25*100000)/100000),2)</f>
        <v>335.95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46473.04722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9856900.7571200002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3505000</v>
      </c>
      <c r="I32" s="420"/>
      <c r="J32" s="420"/>
      <c r="K32" s="423">
        <f>TRUNC(100-((((H32/H33*100))*100)/100),2)</f>
        <v>83.36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21067625.445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24" activePane="bottomLeft" state="frozen"/>
      <selection activeCell="A47" sqref="A47"/>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6" t="s">
        <v>1030</v>
      </c>
      <c r="B3" s="2137"/>
      <c r="C3" s="1581"/>
      <c r="D3" s="1582"/>
      <c r="E3" s="1582"/>
      <c r="F3" s="1582"/>
      <c r="G3" s="1582"/>
      <c r="H3" s="1582"/>
      <c r="I3" s="1582"/>
      <c r="J3" s="1582"/>
      <c r="K3" s="1582"/>
      <c r="L3" s="1582"/>
      <c r="M3" s="1583"/>
      <c r="N3" s="1584"/>
    </row>
    <row r="4" spans="1:14" ht="13.5" customHeight="1" x14ac:dyDescent="0.2">
      <c r="A4" s="463" t="s">
        <v>1750</v>
      </c>
      <c r="B4" s="464"/>
      <c r="C4" s="465">
        <v>73923</v>
      </c>
      <c r="D4" s="466">
        <v>85663</v>
      </c>
      <c r="E4" s="466">
        <v>150397</v>
      </c>
      <c r="F4" s="466">
        <v>151247</v>
      </c>
      <c r="G4" s="466">
        <v>14622</v>
      </c>
      <c r="H4" s="466"/>
      <c r="I4" s="466">
        <v>69341</v>
      </c>
      <c r="J4" s="467"/>
      <c r="K4" s="466"/>
      <c r="L4" s="466">
        <v>74154</v>
      </c>
      <c r="M4" s="468"/>
      <c r="N4" s="469"/>
    </row>
    <row r="5" spans="1:14" x14ac:dyDescent="0.2">
      <c r="A5" s="463" t="s">
        <v>1049</v>
      </c>
      <c r="B5" s="470">
        <v>120</v>
      </c>
      <c r="C5" s="465">
        <v>11110148</v>
      </c>
      <c r="D5" s="466">
        <v>2415722</v>
      </c>
      <c r="E5" s="466">
        <v>747366</v>
      </c>
      <c r="F5" s="466">
        <v>653640</v>
      </c>
      <c r="G5" s="466">
        <v>788017</v>
      </c>
      <c r="H5" s="466"/>
      <c r="I5" s="466">
        <v>1053021</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v>1685</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11185756</v>
      </c>
      <c r="D13" s="1759">
        <f t="shared" ref="D13:L13" si="0">SUM(D4:D12)</f>
        <v>2501385</v>
      </c>
      <c r="E13" s="1759">
        <f t="shared" si="0"/>
        <v>897763</v>
      </c>
      <c r="F13" s="1759">
        <f t="shared" si="0"/>
        <v>804887</v>
      </c>
      <c r="G13" s="1759">
        <f t="shared" si="0"/>
        <v>802639</v>
      </c>
      <c r="H13" s="1759">
        <f t="shared" si="0"/>
        <v>0</v>
      </c>
      <c r="I13" s="1759">
        <f t="shared" si="0"/>
        <v>1122362</v>
      </c>
      <c r="J13" s="1759">
        <f t="shared" si="0"/>
        <v>0</v>
      </c>
      <c r="K13" s="1759">
        <f t="shared" si="0"/>
        <v>0</v>
      </c>
      <c r="L13" s="1759">
        <f t="shared" si="0"/>
        <v>74154</v>
      </c>
      <c r="M13" s="468"/>
      <c r="N13" s="469"/>
    </row>
    <row r="14" spans="1:14" ht="18" customHeight="1" thickTop="1" x14ac:dyDescent="0.2">
      <c r="A14" s="2138" t="s">
        <v>149</v>
      </c>
      <c r="B14" s="213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1146728</v>
      </c>
      <c r="N16" s="484"/>
    </row>
    <row r="17" spans="1:14" s="485" customFormat="1" ht="12.75" customHeight="1" x14ac:dyDescent="0.2">
      <c r="A17" s="482" t="s">
        <v>1470</v>
      </c>
      <c r="B17" s="483">
        <v>230</v>
      </c>
      <c r="C17" s="477"/>
      <c r="D17" s="477"/>
      <c r="E17" s="477"/>
      <c r="F17" s="477"/>
      <c r="G17" s="477"/>
      <c r="H17" s="477"/>
      <c r="I17" s="477"/>
      <c r="J17" s="477"/>
      <c r="K17" s="477"/>
      <c r="L17" s="477"/>
      <c r="M17" s="467">
        <v>25125406</v>
      </c>
      <c r="N17" s="484"/>
    </row>
    <row r="18" spans="1:14" s="485" customFormat="1" ht="12.75" customHeight="1" x14ac:dyDescent="0.2">
      <c r="A18" s="482" t="s">
        <v>1471</v>
      </c>
      <c r="B18" s="483">
        <v>240</v>
      </c>
      <c r="C18" s="477"/>
      <c r="D18" s="477"/>
      <c r="E18" s="477"/>
      <c r="F18" s="477"/>
      <c r="G18" s="477"/>
      <c r="H18" s="477"/>
      <c r="I18" s="477"/>
      <c r="J18" s="477"/>
      <c r="K18" s="477"/>
      <c r="L18" s="477"/>
      <c r="M18" s="467">
        <v>2247490</v>
      </c>
      <c r="N18" s="484"/>
    </row>
    <row r="19" spans="1:14" s="485" customFormat="1" ht="12.75" customHeight="1" x14ac:dyDescent="0.2">
      <c r="A19" s="482" t="s">
        <v>1472</v>
      </c>
      <c r="B19" s="483">
        <v>250</v>
      </c>
      <c r="C19" s="477"/>
      <c r="D19" s="477"/>
      <c r="E19" s="477"/>
      <c r="F19" s="477"/>
      <c r="G19" s="477"/>
      <c r="H19" s="477"/>
      <c r="I19" s="477"/>
      <c r="J19" s="477"/>
      <c r="K19" s="477"/>
      <c r="L19" s="477"/>
      <c r="M19" s="467">
        <v>3843975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897763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2607237</v>
      </c>
    </row>
    <row r="23" spans="1:14" ht="13.5" customHeight="1" thickBot="1" x14ac:dyDescent="0.25">
      <c r="A23" s="1758" t="s">
        <v>664</v>
      </c>
      <c r="B23" s="1763"/>
      <c r="C23" s="468"/>
      <c r="D23" s="468"/>
      <c r="E23" s="468"/>
      <c r="F23" s="468"/>
      <c r="G23" s="468"/>
      <c r="H23" s="468"/>
      <c r="I23" s="468"/>
      <c r="J23" s="468"/>
      <c r="K23" s="468"/>
      <c r="L23" s="468"/>
      <c r="M23" s="1710">
        <f>SUM(M15:M22)</f>
        <v>32363599</v>
      </c>
      <c r="N23" s="1710">
        <f>SUM(N21:N22)</f>
        <v>3505000</v>
      </c>
    </row>
    <row r="24" spans="1:14" ht="18" customHeight="1" thickTop="1" x14ac:dyDescent="0.2">
      <c r="A24" s="2140" t="s">
        <v>619</v>
      </c>
      <c r="B24" s="214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-36</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74154</v>
      </c>
      <c r="M33" s="468"/>
      <c r="N33" s="469"/>
    </row>
    <row r="34" spans="1:14" ht="13.5" customHeight="1" thickBot="1" x14ac:dyDescent="0.25">
      <c r="A34" s="1760" t="s">
        <v>675</v>
      </c>
      <c r="B34" s="1761"/>
      <c r="C34" s="1762">
        <f>SUM(C25:C33)</f>
        <v>-36</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74154</v>
      </c>
      <c r="M34" s="468"/>
      <c r="N34" s="480"/>
    </row>
    <row r="35" spans="1:14" ht="18" customHeight="1" thickTop="1" x14ac:dyDescent="0.2">
      <c r="A35" s="2142" t="s">
        <v>550</v>
      </c>
      <c r="B35" s="214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3505000</v>
      </c>
    </row>
    <row r="37" spans="1:14" ht="13.5" thickBot="1" x14ac:dyDescent="0.25">
      <c r="A37" s="1758" t="s">
        <v>674</v>
      </c>
      <c r="B37" s="1763"/>
      <c r="C37" s="477"/>
      <c r="D37" s="477"/>
      <c r="E37" s="477"/>
      <c r="F37" s="477"/>
      <c r="G37" s="477"/>
      <c r="H37" s="477"/>
      <c r="I37" s="477"/>
      <c r="J37" s="477"/>
      <c r="K37" s="477"/>
      <c r="L37" s="480"/>
      <c r="M37" s="468"/>
      <c r="N37" s="1710">
        <f>SUM(N36:N36)</f>
        <v>3505000</v>
      </c>
    </row>
    <row r="38" spans="1:14" s="329" customFormat="1" ht="13.5" customHeight="1" thickTop="1" x14ac:dyDescent="0.2">
      <c r="A38" s="496" t="s">
        <v>440</v>
      </c>
      <c r="B38" s="483">
        <v>714</v>
      </c>
      <c r="C38" s="466">
        <v>83072</v>
      </c>
      <c r="D38" s="466"/>
      <c r="E38" s="466"/>
      <c r="F38" s="466"/>
      <c r="G38" s="466">
        <v>375279</v>
      </c>
      <c r="H38" s="466"/>
      <c r="I38" s="466"/>
      <c r="J38" s="467"/>
      <c r="K38" s="466"/>
      <c r="L38" s="481"/>
      <c r="M38" s="497"/>
      <c r="N38" s="497"/>
    </row>
    <row r="39" spans="1:14" s="329" customFormat="1" ht="13.5" customHeight="1" x14ac:dyDescent="0.2">
      <c r="A39" s="496" t="s">
        <v>360</v>
      </c>
      <c r="B39" s="483">
        <v>730</v>
      </c>
      <c r="C39" s="466">
        <v>11102720</v>
      </c>
      <c r="D39" s="466">
        <v>2501385</v>
      </c>
      <c r="E39" s="466">
        <v>897763</v>
      </c>
      <c r="F39" s="466">
        <v>804887</v>
      </c>
      <c r="G39" s="466">
        <v>427360</v>
      </c>
      <c r="H39" s="466"/>
      <c r="I39" s="466">
        <v>1122362</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32363599</v>
      </c>
      <c r="N40" s="497"/>
    </row>
    <row r="41" spans="1:14" ht="13.5" customHeight="1" thickBot="1" x14ac:dyDescent="0.25">
      <c r="A41" s="1758" t="s">
        <v>676</v>
      </c>
      <c r="B41" s="1728"/>
      <c r="C41" s="1710">
        <f>(SUM(C34,C37,C38,C39))</f>
        <v>11185756</v>
      </c>
      <c r="D41" s="1710">
        <f t="shared" ref="D41:L41" si="2">SUM(D34,D37,D38:D39)</f>
        <v>2501385</v>
      </c>
      <c r="E41" s="1710">
        <f t="shared" si="2"/>
        <v>897763</v>
      </c>
      <c r="F41" s="1710">
        <f t="shared" si="2"/>
        <v>804887</v>
      </c>
      <c r="G41" s="1710">
        <f t="shared" si="2"/>
        <v>802639</v>
      </c>
      <c r="H41" s="1710">
        <f t="shared" si="2"/>
        <v>0</v>
      </c>
      <c r="I41" s="1710">
        <f t="shared" si="2"/>
        <v>1122362</v>
      </c>
      <c r="J41" s="1710">
        <f t="shared" si="2"/>
        <v>0</v>
      </c>
      <c r="K41" s="1710">
        <f t="shared" si="2"/>
        <v>0</v>
      </c>
      <c r="L41" s="1710">
        <f t="shared" si="2"/>
        <v>74154</v>
      </c>
      <c r="M41" s="1710">
        <f>SUM(M40)</f>
        <v>32363599</v>
      </c>
      <c r="N41" s="1710">
        <f>SUM(N37)</f>
        <v>3505000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A47" sqref="A47"/>
      <selection pane="bottomLeft" activeCell="C86" sqref="C8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4" t="s">
        <v>1237</v>
      </c>
      <c r="B3" s="2165"/>
      <c r="C3" s="1595"/>
      <c r="D3" s="1596"/>
      <c r="E3" s="1596"/>
      <c r="F3" s="1596"/>
      <c r="G3" s="1596"/>
      <c r="H3" s="1596"/>
      <c r="I3" s="1596"/>
      <c r="J3" s="1596"/>
      <c r="K3" s="1597"/>
      <c r="L3" s="506"/>
    </row>
    <row r="4" spans="1:13" ht="15.75" customHeight="1" x14ac:dyDescent="0.2">
      <c r="A4" s="1954" t="s">
        <v>1579</v>
      </c>
      <c r="B4" s="1955">
        <v>1000</v>
      </c>
      <c r="C4" s="1764">
        <f>'Revenues 9-14'!C109</f>
        <v>11035445</v>
      </c>
      <c r="D4" s="1764">
        <f>'Revenues 9-14'!D109</f>
        <v>1770385</v>
      </c>
      <c r="E4" s="1764">
        <f>'Revenues 9-14'!E109</f>
        <v>913686</v>
      </c>
      <c r="F4" s="1764">
        <f>'Revenues 9-14'!F109</f>
        <v>468007</v>
      </c>
      <c r="G4" s="1764">
        <f>'Revenues 9-14'!G109</f>
        <v>423271</v>
      </c>
      <c r="H4" s="1764">
        <f>'Revenues 9-14'!H109</f>
        <v>0</v>
      </c>
      <c r="I4" s="1764">
        <f>'Revenues 9-14'!I109</f>
        <v>15092</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4584759</v>
      </c>
      <c r="D6" s="1765">
        <f>'Revenues 9-14'!D173</f>
        <v>0</v>
      </c>
      <c r="E6" s="1765">
        <f>'Revenues 9-14'!E173</f>
        <v>0</v>
      </c>
      <c r="F6" s="1765">
        <f>'Revenues 9-14'!F173</f>
        <v>487704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866646</v>
      </c>
      <c r="D7" s="1765">
        <f>'Revenues 9-14'!D274</f>
        <v>0</v>
      </c>
      <c r="E7" s="1765">
        <f>'Revenues 9-14'!E274</f>
        <v>0</v>
      </c>
      <c r="F7" s="1765">
        <f>'Revenues 9-14'!F274</f>
        <v>13404</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16486850</v>
      </c>
      <c r="D8" s="1710">
        <f t="shared" ref="D8:K8" si="0">SUM(D4:D7)</f>
        <v>1770385</v>
      </c>
      <c r="E8" s="1710">
        <f t="shared" si="0"/>
        <v>913686</v>
      </c>
      <c r="F8" s="1710">
        <f t="shared" si="0"/>
        <v>969115</v>
      </c>
      <c r="G8" s="1710">
        <f t="shared" si="0"/>
        <v>423271</v>
      </c>
      <c r="H8" s="1710">
        <f t="shared" si="0"/>
        <v>0</v>
      </c>
      <c r="I8" s="1710">
        <f t="shared" si="0"/>
        <v>15092</v>
      </c>
      <c r="J8" s="1710">
        <f t="shared" si="0"/>
        <v>0</v>
      </c>
      <c r="K8" s="1710">
        <f t="shared" si="0"/>
        <v>0</v>
      </c>
      <c r="L8" s="347"/>
    </row>
    <row r="9" spans="1:13" ht="15.75" thickTop="1" x14ac:dyDescent="0.2">
      <c r="A9" s="514" t="s">
        <v>1752</v>
      </c>
      <c r="B9" s="515">
        <v>3998</v>
      </c>
      <c r="C9" s="481">
        <v>982303</v>
      </c>
      <c r="D9" s="516"/>
      <c r="E9" s="481"/>
      <c r="F9" s="481"/>
      <c r="G9" s="517"/>
      <c r="H9" s="481"/>
      <c r="I9" s="509" t="s">
        <v>1231</v>
      </c>
      <c r="J9" s="478"/>
      <c r="K9" s="481"/>
      <c r="L9" s="347"/>
    </row>
    <row r="10" spans="1:13" s="519" customFormat="1" ht="13.5" thickBot="1" x14ac:dyDescent="0.25">
      <c r="A10" s="1758" t="s">
        <v>1235</v>
      </c>
      <c r="B10" s="1731"/>
      <c r="C10" s="1710">
        <f>SUM(C8:C9)</f>
        <v>17469153</v>
      </c>
      <c r="D10" s="1710">
        <f t="shared" ref="D10:K10" si="1">SUM(D8:D9)</f>
        <v>1770385</v>
      </c>
      <c r="E10" s="1710">
        <f t="shared" si="1"/>
        <v>913686</v>
      </c>
      <c r="F10" s="1710">
        <f t="shared" si="1"/>
        <v>969115</v>
      </c>
      <c r="G10" s="1710">
        <f t="shared" si="1"/>
        <v>423271</v>
      </c>
      <c r="H10" s="1710">
        <f t="shared" si="1"/>
        <v>0</v>
      </c>
      <c r="I10" s="1710">
        <f t="shared" si="1"/>
        <v>15092</v>
      </c>
      <c r="J10" s="1710">
        <f t="shared" si="1"/>
        <v>0</v>
      </c>
      <c r="K10" s="1710">
        <f t="shared" si="1"/>
        <v>0</v>
      </c>
      <c r="L10" s="518"/>
    </row>
    <row r="11" spans="1:13" s="519" customFormat="1" ht="16.7" customHeight="1" thickTop="1" x14ac:dyDescent="0.2">
      <c r="A11" s="2138" t="s">
        <v>1238</v>
      </c>
      <c r="B11" s="2139"/>
      <c r="C11" s="1592"/>
      <c r="D11" s="1593"/>
      <c r="E11" s="1593"/>
      <c r="F11" s="1593"/>
      <c r="G11" s="1593"/>
      <c r="H11" s="1593"/>
      <c r="I11" s="1593"/>
      <c r="J11" s="1593"/>
      <c r="K11" s="1594"/>
      <c r="L11" s="518"/>
    </row>
    <row r="12" spans="1:13" ht="15.75" customHeight="1" x14ac:dyDescent="0.2">
      <c r="A12" s="1598" t="s">
        <v>476</v>
      </c>
      <c r="B12" s="1600">
        <v>1000</v>
      </c>
      <c r="C12" s="1764">
        <f>'Expenditures 15-22'!K33</f>
        <v>9909059</v>
      </c>
      <c r="D12" s="520" t="s">
        <v>1231</v>
      </c>
      <c r="E12" s="468" t="s">
        <v>1231</v>
      </c>
      <c r="F12" s="468" t="s">
        <v>1231</v>
      </c>
      <c r="G12" s="1764">
        <f>'Expenditures 15-22'!K229</f>
        <v>194819</v>
      </c>
      <c r="H12" s="521"/>
      <c r="I12" s="468" t="s">
        <v>1231</v>
      </c>
      <c r="J12" s="468" t="s">
        <v>1231</v>
      </c>
      <c r="K12" s="521" t="s">
        <v>1231</v>
      </c>
      <c r="L12" s="347"/>
    </row>
    <row r="13" spans="1:13" ht="15.75" customHeight="1" x14ac:dyDescent="0.2">
      <c r="A13" s="1598" t="s">
        <v>477</v>
      </c>
      <c r="B13" s="1600">
        <v>2000</v>
      </c>
      <c r="C13" s="1765">
        <f>'Expenditures 15-22'!K74</f>
        <v>3791167</v>
      </c>
      <c r="D13" s="1765">
        <f>'Expenditures 15-22'!K129</f>
        <v>1524775</v>
      </c>
      <c r="E13" s="469" t="s">
        <v>1231</v>
      </c>
      <c r="F13" s="1765">
        <f>'Expenditures 15-22'!K184</f>
        <v>926853</v>
      </c>
      <c r="G13" s="1765">
        <f>'Expenditures 15-22'!K279</f>
        <v>209530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106435</v>
      </c>
      <c r="D14" s="1765">
        <f>'Expenditures 15-22'!K130</f>
        <v>0</v>
      </c>
      <c r="E14" s="520" t="s">
        <v>1231</v>
      </c>
      <c r="F14" s="1765">
        <f>'Expenditures 15-22'!K185</f>
        <v>0</v>
      </c>
      <c r="G14" s="1765">
        <f>'Expenditures 15-22'!K280</f>
        <v>11847</v>
      </c>
      <c r="H14" s="512"/>
      <c r="I14" s="468" t="s">
        <v>1231</v>
      </c>
      <c r="J14" s="468" t="s">
        <v>1231</v>
      </c>
      <c r="K14" s="512" t="s">
        <v>1231</v>
      </c>
      <c r="L14" s="347"/>
    </row>
    <row r="15" spans="1:13" ht="15.75" customHeight="1" x14ac:dyDescent="0.2">
      <c r="A15" s="1598" t="s">
        <v>109</v>
      </c>
      <c r="B15" s="1600">
        <v>4000</v>
      </c>
      <c r="C15" s="1765">
        <f>'Expenditures 15-22'!K102</f>
        <v>471338</v>
      </c>
      <c r="D15" s="1765">
        <f>'Expenditures 15-22'!K139</f>
        <v>0</v>
      </c>
      <c r="E15" s="1765">
        <f>'Expenditures 15-22'!K160</f>
        <v>0</v>
      </c>
      <c r="F15" s="1765">
        <f>'Expenditures 15-22'!K196</f>
        <v>670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1025018</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14277999</v>
      </c>
      <c r="D17" s="1710">
        <f t="shared" si="2"/>
        <v>1524775</v>
      </c>
      <c r="E17" s="1710">
        <f t="shared" si="2"/>
        <v>1025018</v>
      </c>
      <c r="F17" s="1710">
        <f t="shared" si="2"/>
        <v>927523</v>
      </c>
      <c r="G17" s="1710">
        <f t="shared" si="2"/>
        <v>416196</v>
      </c>
      <c r="H17" s="1710">
        <f t="shared" si="2"/>
        <v>0</v>
      </c>
      <c r="I17" s="468"/>
      <c r="J17" s="1710">
        <f>SUM(J12:J16)</f>
        <v>0</v>
      </c>
      <c r="K17" s="1710">
        <f>SUM(K12:K16)</f>
        <v>0</v>
      </c>
      <c r="L17" s="347"/>
    </row>
    <row r="18" spans="1:12" ht="15" customHeight="1" thickTop="1" x14ac:dyDescent="0.2">
      <c r="A18" s="1766" t="s">
        <v>1753</v>
      </c>
      <c r="B18" s="1767">
        <v>4180</v>
      </c>
      <c r="C18" s="1764">
        <f t="shared" ref="C18:H18" si="3">C9</f>
        <v>982303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15260302</v>
      </c>
      <c r="D19" s="1710">
        <f t="shared" si="4"/>
        <v>1524775</v>
      </c>
      <c r="E19" s="1710">
        <f t="shared" si="4"/>
        <v>1025018</v>
      </c>
      <c r="F19" s="1710">
        <f t="shared" si="4"/>
        <v>927523</v>
      </c>
      <c r="G19" s="1710">
        <f t="shared" si="4"/>
        <v>416196</v>
      </c>
      <c r="H19" s="1710">
        <f t="shared" si="4"/>
        <v>0</v>
      </c>
      <c r="I19" s="468"/>
      <c r="J19" s="1710">
        <f>SUM(J17:J18)</f>
        <v>0</v>
      </c>
      <c r="K19" s="1710">
        <f>SUM(K17:K18)</f>
        <v>0</v>
      </c>
      <c r="L19" s="347"/>
    </row>
    <row r="20" spans="1:12" ht="16.5" thickTop="1" thickBot="1" x14ac:dyDescent="0.25">
      <c r="A20" s="2154" t="s">
        <v>1754</v>
      </c>
      <c r="B20" s="2155"/>
      <c r="C20" s="1768">
        <f>C8-C17</f>
        <v>2208851</v>
      </c>
      <c r="D20" s="1768">
        <f t="shared" ref="D20:K20" si="5">D8-D17</f>
        <v>245610</v>
      </c>
      <c r="E20" s="1768">
        <f t="shared" si="5"/>
        <v>-111332</v>
      </c>
      <c r="F20" s="1768">
        <f t="shared" si="5"/>
        <v>41592</v>
      </c>
      <c r="G20" s="1768">
        <f t="shared" si="5"/>
        <v>7075</v>
      </c>
      <c r="H20" s="1768">
        <f t="shared" si="5"/>
        <v>0</v>
      </c>
      <c r="I20" s="1768">
        <f t="shared" si="5"/>
        <v>15092</v>
      </c>
      <c r="J20" s="1768">
        <f t="shared" si="5"/>
        <v>0</v>
      </c>
      <c r="K20" s="1768">
        <f t="shared" si="5"/>
        <v>0</v>
      </c>
      <c r="L20" s="347"/>
    </row>
    <row r="21" spans="1:12" ht="16.7" customHeight="1" thickTop="1" x14ac:dyDescent="0.2">
      <c r="A21" s="2166" t="s">
        <v>616</v>
      </c>
      <c r="B21" s="2167"/>
      <c r="C21" s="1592"/>
      <c r="D21" s="1593"/>
      <c r="E21" s="1593"/>
      <c r="F21" s="1593"/>
      <c r="G21" s="1593"/>
      <c r="H21" s="1593"/>
      <c r="I21" s="1593"/>
      <c r="J21" s="1593"/>
      <c r="K21" s="1594"/>
      <c r="L21" s="524"/>
    </row>
    <row r="22" spans="1:12" ht="15.75" customHeight="1" collapsed="1" x14ac:dyDescent="0.2">
      <c r="A22" s="2162" t="s">
        <v>617</v>
      </c>
      <c r="B22" s="2163"/>
      <c r="C22" s="477"/>
      <c r="D22" s="477"/>
      <c r="E22" s="477"/>
      <c r="F22" s="477"/>
      <c r="G22" s="477"/>
      <c r="H22" s="477"/>
      <c r="I22" s="477"/>
      <c r="J22" s="477"/>
      <c r="K22" s="477"/>
      <c r="L22" s="347"/>
    </row>
    <row r="23" spans="1:12" s="485" customFormat="1" ht="15.75" customHeight="1" x14ac:dyDescent="0.2">
      <c r="A23" s="2158" t="s">
        <v>311</v>
      </c>
      <c r="B23" s="215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60" t="s">
        <v>1038</v>
      </c>
      <c r="B32" s="216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39730</v>
      </c>
      <c r="F37" s="475"/>
      <c r="G37" s="475"/>
      <c r="H37" s="475"/>
      <c r="I37" s="477"/>
      <c r="J37" s="475"/>
      <c r="K37" s="475"/>
      <c r="L37" s="524"/>
    </row>
    <row r="38" spans="1:12" s="485" customFormat="1" x14ac:dyDescent="0.2">
      <c r="A38" s="1511" t="s">
        <v>462</v>
      </c>
      <c r="B38" s="525">
        <v>7500</v>
      </c>
      <c r="C38" s="477"/>
      <c r="D38" s="477"/>
      <c r="E38" s="1765">
        <f>SUM(C58:D61,H58:H61)</f>
        <v>755</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8" t="s">
        <v>392</v>
      </c>
      <c r="B44" s="2169"/>
      <c r="C44" s="1725">
        <f>SUM(C24:C43)</f>
        <v>0</v>
      </c>
      <c r="D44" s="1725">
        <f t="shared" ref="D44:K44" si="6">SUM(D24:D43)</f>
        <v>0</v>
      </c>
      <c r="E44" s="1725">
        <f t="shared" si="6"/>
        <v>40485</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2" t="s">
        <v>110</v>
      </c>
      <c r="B45" s="2163"/>
      <c r="C45" s="528"/>
      <c r="D45" s="528"/>
      <c r="E45" s="528"/>
      <c r="F45" s="528"/>
      <c r="G45" s="528"/>
      <c r="H45" s="528"/>
      <c r="I45" s="528"/>
      <c r="J45" s="528"/>
      <c r="K45" s="528"/>
      <c r="L45" s="347"/>
    </row>
    <row r="46" spans="1:12" s="485" customFormat="1" ht="15.75" customHeight="1" x14ac:dyDescent="0.2">
      <c r="A46" s="2170" t="s">
        <v>111</v>
      </c>
      <c r="B46" s="217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v>39730</v>
      </c>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v>755</v>
      </c>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4" t="s">
        <v>460</v>
      </c>
      <c r="B76" s="2145"/>
      <c r="C76" s="1725">
        <f t="shared" ref="C76:K76" si="7">SUM(C47:C75)</f>
        <v>40485</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6" t="s">
        <v>1239</v>
      </c>
      <c r="B77" s="2147"/>
      <c r="C77" s="1725">
        <f t="shared" ref="C77:K77" si="8">C44-C76</f>
        <v>-40485</v>
      </c>
      <c r="D77" s="1725">
        <f t="shared" si="8"/>
        <v>0</v>
      </c>
      <c r="E77" s="1725">
        <f t="shared" si="8"/>
        <v>40485</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50" t="s">
        <v>618</v>
      </c>
      <c r="B78" s="2151"/>
      <c r="C78" s="1724">
        <f t="shared" ref="C78:K78" si="9">C20+C77</f>
        <v>2168366</v>
      </c>
      <c r="D78" s="1724">
        <f t="shared" si="9"/>
        <v>245610</v>
      </c>
      <c r="E78" s="1724">
        <f t="shared" si="9"/>
        <v>-70847</v>
      </c>
      <c r="F78" s="1724">
        <f t="shared" si="9"/>
        <v>41592</v>
      </c>
      <c r="G78" s="1724">
        <f t="shared" si="9"/>
        <v>7075</v>
      </c>
      <c r="H78" s="1724">
        <f t="shared" si="9"/>
        <v>0</v>
      </c>
      <c r="I78" s="1724">
        <f t="shared" si="9"/>
        <v>15092</v>
      </c>
      <c r="J78" s="1724">
        <f t="shared" si="9"/>
        <v>0</v>
      </c>
      <c r="K78" s="1724">
        <f t="shared" si="9"/>
        <v>0</v>
      </c>
      <c r="L78" s="533"/>
    </row>
    <row r="79" spans="1:12" ht="13.5" thickTop="1" x14ac:dyDescent="0.2">
      <c r="A79" s="1516" t="s">
        <v>2070</v>
      </c>
      <c r="B79" s="534"/>
      <c r="C79" s="478">
        <v>9017426</v>
      </c>
      <c r="D79" s="535">
        <v>2255775</v>
      </c>
      <c r="E79" s="535">
        <v>968610</v>
      </c>
      <c r="F79" s="535">
        <v>763295</v>
      </c>
      <c r="G79" s="535">
        <v>795564</v>
      </c>
      <c r="H79" s="535">
        <v>0</v>
      </c>
      <c r="I79" s="535">
        <v>1107270</v>
      </c>
      <c r="J79" s="535">
        <v>0</v>
      </c>
      <c r="K79" s="535">
        <v>0</v>
      </c>
      <c r="L79" s="347"/>
    </row>
    <row r="80" spans="1:12" x14ac:dyDescent="0.2">
      <c r="A80" s="2156" t="s">
        <v>1895</v>
      </c>
      <c r="B80" s="2157"/>
      <c r="C80" s="467"/>
      <c r="D80" s="467"/>
      <c r="E80" s="467"/>
      <c r="F80" s="467"/>
      <c r="G80" s="467"/>
      <c r="H80" s="467"/>
      <c r="I80" s="467"/>
      <c r="J80" s="467"/>
      <c r="K80" s="467"/>
      <c r="L80" s="347"/>
    </row>
    <row r="81" spans="1:12" ht="13.5" thickBot="1" x14ac:dyDescent="0.25">
      <c r="A81" s="2148" t="s">
        <v>2071</v>
      </c>
      <c r="B81" s="2149"/>
      <c r="C81" s="1710">
        <f>(SUM(C78:C80))</f>
        <v>11185792</v>
      </c>
      <c r="D81" s="1710">
        <f>SUM(D78:D80)</f>
        <v>2501385</v>
      </c>
      <c r="E81" s="1710">
        <f t="shared" ref="E81:K81" si="10">SUM(E78:E80)</f>
        <v>897763</v>
      </c>
      <c r="F81" s="1710">
        <f t="shared" si="10"/>
        <v>804887</v>
      </c>
      <c r="G81" s="1710">
        <f t="shared" si="10"/>
        <v>802639</v>
      </c>
      <c r="H81" s="1710">
        <f t="shared" si="10"/>
        <v>0</v>
      </c>
      <c r="I81" s="1710">
        <f t="shared" si="10"/>
        <v>1122362</v>
      </c>
      <c r="J81" s="1710">
        <f t="shared" si="10"/>
        <v>0</v>
      </c>
      <c r="K81" s="1710">
        <f t="shared" si="10"/>
        <v>0</v>
      </c>
      <c r="L81" s="347"/>
    </row>
    <row r="82" spans="1:12" ht="0.75" customHeight="1" thickTop="1" thickBot="1" x14ac:dyDescent="0.25">
      <c r="A82" s="536" t="s">
        <v>361</v>
      </c>
      <c r="B82" s="537"/>
      <c r="C82" s="538">
        <f>(C81-C79)</f>
        <v>2168366</v>
      </c>
      <c r="D82" s="538">
        <f t="shared" ref="D82:K82" si="11">(D81-D79)</f>
        <v>245610</v>
      </c>
      <c r="E82" s="538">
        <f t="shared" si="11"/>
        <v>-70847</v>
      </c>
      <c r="F82" s="538">
        <f t="shared" si="11"/>
        <v>41592</v>
      </c>
      <c r="G82" s="538">
        <f t="shared" si="11"/>
        <v>7075</v>
      </c>
      <c r="H82" s="538">
        <f t="shared" si="11"/>
        <v>0</v>
      </c>
      <c r="I82" s="538">
        <f t="shared" si="11"/>
        <v>15092</v>
      </c>
      <c r="J82" s="538">
        <f t="shared" si="11"/>
        <v>0</v>
      </c>
      <c r="K82" s="538">
        <f t="shared" si="11"/>
        <v>0</v>
      </c>
    </row>
    <row r="83" spans="1:12" ht="14.25" hidden="1" thickTop="1" thickBot="1" x14ac:dyDescent="0.25">
      <c r="A83" s="539" t="s">
        <v>362</v>
      </c>
      <c r="B83" s="464"/>
      <c r="C83" s="540">
        <f>C82/C81</f>
        <v>0.19385001973932647</v>
      </c>
      <c r="D83" s="540">
        <f t="shared" ref="D83:K83" si="12">D82/D81</f>
        <v>9.8189602959960182E-2</v>
      </c>
      <c r="E83" s="540">
        <f t="shared" si="12"/>
        <v>-7.8915036596518232E-2</v>
      </c>
      <c r="F83" s="540">
        <f t="shared" si="12"/>
        <v>5.16743344096749E-2</v>
      </c>
      <c r="G83" s="540">
        <f t="shared" si="12"/>
        <v>8.814672598764825E-3</v>
      </c>
      <c r="H83" s="540" t="e">
        <f t="shared" si="12"/>
        <v>#DIV/0!</v>
      </c>
      <c r="I83" s="540">
        <f t="shared" si="12"/>
        <v>1.344664199251222E-2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E5" sqref="E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2" t="s">
        <v>1902</v>
      </c>
      <c r="B1" s="452"/>
      <c r="C1" s="453" t="s">
        <v>445</v>
      </c>
      <c r="D1" s="453" t="s">
        <v>446</v>
      </c>
      <c r="E1" s="453" t="s">
        <v>447</v>
      </c>
      <c r="F1" s="453" t="s">
        <v>448</v>
      </c>
      <c r="G1" s="453" t="s">
        <v>449</v>
      </c>
      <c r="H1" s="453" t="s">
        <v>450</v>
      </c>
      <c r="I1" s="453" t="s">
        <v>451</v>
      </c>
      <c r="J1" s="453" t="s">
        <v>452</v>
      </c>
      <c r="K1" s="453" t="s">
        <v>780</v>
      </c>
    </row>
    <row r="2" spans="1:12" ht="36" x14ac:dyDescent="0.2">
      <c r="A2" s="215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9865054</v>
      </c>
      <c r="D5" s="481">
        <v>1285882</v>
      </c>
      <c r="E5" s="466">
        <v>903698</v>
      </c>
      <c r="F5" s="548">
        <v>442936</v>
      </c>
      <c r="G5" s="466">
        <v>181892</v>
      </c>
      <c r="H5" s="466"/>
      <c r="I5" s="466"/>
      <c r="J5" s="467"/>
      <c r="K5" s="466"/>
    </row>
    <row r="6" spans="1:12" ht="15" x14ac:dyDescent="0.2">
      <c r="A6" s="463" t="s">
        <v>1761</v>
      </c>
      <c r="B6" s="470">
        <v>1130</v>
      </c>
      <c r="C6" s="466">
        <v>83072</v>
      </c>
      <c r="D6" s="466"/>
      <c r="E6" s="475"/>
      <c r="F6" s="475"/>
      <c r="G6" s="468"/>
      <c r="H6" s="468"/>
      <c r="I6" s="468"/>
      <c r="J6" s="468"/>
      <c r="K6" s="468"/>
    </row>
    <row r="7" spans="1:12" x14ac:dyDescent="0.2">
      <c r="A7" s="463" t="s">
        <v>112</v>
      </c>
      <c r="B7" s="549">
        <v>1140</v>
      </c>
      <c r="C7" s="466">
        <v>60902</v>
      </c>
      <c r="D7" s="466"/>
      <c r="E7" s="468"/>
      <c r="F7" s="467"/>
      <c r="G7" s="467"/>
      <c r="H7" s="467"/>
      <c r="I7" s="468"/>
      <c r="J7" s="468"/>
      <c r="K7" s="468"/>
    </row>
    <row r="8" spans="1:12" x14ac:dyDescent="0.2">
      <c r="A8" s="463" t="s">
        <v>433</v>
      </c>
      <c r="B8" s="470">
        <v>1150</v>
      </c>
      <c r="C8" s="475"/>
      <c r="D8" s="475"/>
      <c r="E8" s="477"/>
      <c r="F8" s="477"/>
      <c r="G8" s="481">
        <v>212344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10009028</v>
      </c>
      <c r="D12" s="1729">
        <f t="shared" si="0"/>
        <v>1285882</v>
      </c>
      <c r="E12" s="1729">
        <f t="shared" si="0"/>
        <v>903698</v>
      </c>
      <c r="F12" s="1729">
        <f t="shared" si="0"/>
        <v>442936</v>
      </c>
      <c r="G12" s="1729">
        <f t="shared" si="0"/>
        <v>394236</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100000</v>
      </c>
      <c r="D16" s="466">
        <v>427927</v>
      </c>
      <c r="E16" s="466"/>
      <c r="F16" s="466"/>
      <c r="G16" s="466">
        <v>20000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100000</v>
      </c>
      <c r="D18" s="1732">
        <f t="shared" ref="D18:K18" si="1">SUM(D14:D17)</f>
        <v>427927</v>
      </c>
      <c r="E18" s="1732">
        <f t="shared" si="1"/>
        <v>0</v>
      </c>
      <c r="F18" s="1732">
        <f t="shared" si="1"/>
        <v>0</v>
      </c>
      <c r="G18" s="1732">
        <f t="shared" si="1"/>
        <v>20000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5835</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5835</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14671</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14671</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113401</v>
      </c>
      <c r="D65" s="466">
        <v>25776</v>
      </c>
      <c r="E65" s="466">
        <v>9988</v>
      </c>
      <c r="F65" s="467">
        <v>10400</v>
      </c>
      <c r="G65" s="466">
        <v>9035</v>
      </c>
      <c r="H65" s="466"/>
      <c r="I65" s="466">
        <v>15092</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113401</v>
      </c>
      <c r="D67" s="1710">
        <f t="shared" ref="D67:K67" si="2">SUM(D65:D66)</f>
        <v>25776</v>
      </c>
      <c r="E67" s="1710">
        <f t="shared" si="2"/>
        <v>9988</v>
      </c>
      <c r="F67" s="1710">
        <f t="shared" si="2"/>
        <v>10400</v>
      </c>
      <c r="G67" s="1710">
        <f t="shared" si="2"/>
        <v>9035</v>
      </c>
      <c r="H67" s="1710">
        <f t="shared" si="2"/>
        <v>0</v>
      </c>
      <c r="I67" s="1710">
        <f t="shared" si="2"/>
        <v>15092</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243033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1862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244895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3406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2756</v>
      </c>
      <c r="D81" s="466"/>
      <c r="E81" s="468"/>
      <c r="F81" s="468"/>
      <c r="G81" s="468"/>
      <c r="H81" s="468"/>
      <c r="I81" s="468"/>
      <c r="J81" s="468"/>
      <c r="K81" s="468"/>
    </row>
    <row r="82" spans="1:11" ht="12.75" customHeight="1" thickBot="1" x14ac:dyDescent="0.25">
      <c r="A82" s="1730" t="s">
        <v>259</v>
      </c>
      <c r="B82" s="1731"/>
      <c r="C82" s="1729">
        <f>SUM(C77:C81)</f>
        <v>6162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1150</v>
      </c>
      <c r="D95" s="551">
        <v>10410</v>
      </c>
      <c r="E95" s="521"/>
      <c r="F95" s="521"/>
      <c r="G95" s="521"/>
      <c r="H95" s="521"/>
      <c r="I95" s="521"/>
      <c r="J95" s="521"/>
      <c r="K95" s="521"/>
    </row>
    <row r="96" spans="1:11" ht="12.75" customHeight="1" x14ac:dyDescent="0.2">
      <c r="A96" s="463" t="s">
        <v>409</v>
      </c>
      <c r="B96" s="470">
        <v>1920</v>
      </c>
      <c r="C96" s="551">
        <v>83287</v>
      </c>
      <c r="D96" s="551">
        <v>19303</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31266</v>
      </c>
      <c r="D99" s="466">
        <v>1087</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440421</v>
      </c>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556124</v>
      </c>
      <c r="D108" s="1729">
        <f t="shared" ref="D108:K108" si="3">SUM(D95:D107)</f>
        <v>30800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11035445</v>
      </c>
      <c r="D109" s="1737">
        <f t="shared" si="4"/>
        <v>1770385</v>
      </c>
      <c r="E109" s="1737">
        <f t="shared" si="4"/>
        <v>913686</v>
      </c>
      <c r="F109" s="1737">
        <f t="shared" si="4"/>
        <v>468007</v>
      </c>
      <c r="G109" s="1737">
        <f t="shared" si="4"/>
        <v>423271</v>
      </c>
      <c r="H109" s="1737">
        <f t="shared" si="4"/>
        <v>0</v>
      </c>
      <c r="I109" s="1737">
        <f t="shared" si="4"/>
        <v>15092</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4155615</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4155615</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66008</v>
      </c>
      <c r="D124" s="561"/>
      <c r="E124" s="468"/>
      <c r="F124" s="548"/>
      <c r="G124" s="468"/>
      <c r="H124" s="468"/>
      <c r="I124" s="468"/>
      <c r="J124" s="468"/>
      <c r="K124" s="468"/>
    </row>
    <row r="125" spans="1:11" ht="12.75" customHeight="1" x14ac:dyDescent="0.2">
      <c r="A125" s="463" t="s">
        <v>1521</v>
      </c>
      <c r="B125" s="562">
        <v>3105</v>
      </c>
      <c r="C125" s="466">
        <v>111626</v>
      </c>
      <c r="D125" s="561"/>
      <c r="E125" s="468"/>
      <c r="F125" s="466"/>
      <c r="G125" s="468"/>
      <c r="H125" s="468"/>
      <c r="I125" s="468"/>
      <c r="J125" s="468"/>
      <c r="K125" s="468"/>
    </row>
    <row r="126" spans="1:11" ht="12.75" customHeight="1" x14ac:dyDescent="0.2">
      <c r="A126" s="463" t="s">
        <v>922</v>
      </c>
      <c r="B126" s="562">
        <v>3110</v>
      </c>
      <c r="C126" s="551">
        <v>205444</v>
      </c>
      <c r="D126" s="466"/>
      <c r="E126" s="468"/>
      <c r="F126" s="466"/>
      <c r="G126" s="468"/>
      <c r="H126" s="468"/>
      <c r="I126" s="468"/>
      <c r="J126" s="468"/>
      <c r="K126" s="468"/>
    </row>
    <row r="127" spans="1:11" ht="12.75" customHeight="1" x14ac:dyDescent="0.2">
      <c r="A127" s="463" t="s">
        <v>107</v>
      </c>
      <c r="B127" s="562">
        <v>3120</v>
      </c>
      <c r="C127" s="466">
        <v>27916</v>
      </c>
      <c r="D127" s="561"/>
      <c r="E127" s="468"/>
      <c r="F127" s="466"/>
      <c r="G127" s="468"/>
      <c r="H127" s="468"/>
      <c r="I127" s="468"/>
      <c r="J127" s="468"/>
      <c r="K127" s="468"/>
    </row>
    <row r="128" spans="1:11" ht="12.75" customHeight="1" x14ac:dyDescent="0.2">
      <c r="A128" s="463" t="s">
        <v>1522</v>
      </c>
      <c r="B128" s="562">
        <v>3130</v>
      </c>
      <c r="C128" s="466">
        <v>13213</v>
      </c>
      <c r="D128" s="561"/>
      <c r="E128" s="468"/>
      <c r="F128" s="466"/>
      <c r="G128" s="468"/>
      <c r="H128" s="468"/>
      <c r="I128" s="468"/>
      <c r="J128" s="468"/>
      <c r="K128" s="468"/>
    </row>
    <row r="129" spans="1:11" ht="12.75" customHeight="1" x14ac:dyDescent="0.2">
      <c r="A129" s="463" t="s">
        <v>139</v>
      </c>
      <c r="B129" s="562">
        <v>3145</v>
      </c>
      <c r="C129" s="466">
        <v>2664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426871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2273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272497</v>
      </c>
      <c r="G151" s="467"/>
      <c r="H151" s="468"/>
      <c r="I151" s="468"/>
      <c r="J151" s="468"/>
      <c r="K151" s="468"/>
    </row>
    <row r="152" spans="1:11" ht="12.75" customHeight="1" x14ac:dyDescent="0.2">
      <c r="A152" s="463" t="s">
        <v>1117</v>
      </c>
      <c r="B152" s="562">
        <v>3510</v>
      </c>
      <c r="C152" s="551"/>
      <c r="D152" s="466"/>
      <c r="E152" s="561"/>
      <c r="F152" s="466">
        <v>215207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487704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72" t="s">
        <v>418</v>
      </c>
      <c r="B172" s="2173"/>
      <c r="C172" s="1744">
        <f t="shared" ref="C172:K172" si="6">SUM(C131,C140,C144,C145:C149,C154,C155:C170,C171)</f>
        <v>429144</v>
      </c>
      <c r="D172" s="1744">
        <f t="shared" si="6"/>
        <v>0</v>
      </c>
      <c r="E172" s="1744">
        <f t="shared" si="6"/>
        <v>0</v>
      </c>
      <c r="F172" s="1744">
        <f t="shared" si="6"/>
        <v>487704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4584759</v>
      </c>
      <c r="D173" s="1737">
        <f>SUM(D121,D172)</f>
        <v>0</v>
      </c>
      <c r="E173" s="1737">
        <f>SUM(E121,E172)</f>
        <v>0</v>
      </c>
      <c r="F173" s="1737">
        <f t="shared" ref="F173:K173" si="7">SUM(F121,F172)</f>
        <v>487704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4" t="s">
        <v>1572</v>
      </c>
      <c r="B175" s="217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8" t="s">
        <v>1764</v>
      </c>
      <c r="B178" s="217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2" t="s">
        <v>1763</v>
      </c>
      <c r="B179" s="218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0" t="s">
        <v>818</v>
      </c>
      <c r="B184" s="218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6" t="s">
        <v>1903</v>
      </c>
      <c r="B185" s="217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187765</v>
      </c>
      <c r="D194" s="468"/>
      <c r="E194" s="561"/>
      <c r="F194" s="468"/>
      <c r="G194" s="585"/>
      <c r="H194" s="468"/>
      <c r="I194" s="468"/>
      <c r="J194" s="468"/>
      <c r="K194" s="468"/>
    </row>
    <row r="195" spans="1:11" ht="12.75" customHeight="1" x14ac:dyDescent="0.2">
      <c r="A195" s="463" t="s">
        <v>1107</v>
      </c>
      <c r="B195" s="470">
        <v>4215</v>
      </c>
      <c r="C195" s="551">
        <v>1820</v>
      </c>
      <c r="D195" s="468"/>
      <c r="E195" s="561"/>
      <c r="F195" s="468"/>
      <c r="G195" s="585"/>
      <c r="H195" s="468"/>
      <c r="I195" s="468"/>
      <c r="J195" s="468"/>
      <c r="K195" s="468"/>
    </row>
    <row r="196" spans="1:11" ht="12.75" customHeight="1" x14ac:dyDescent="0.2">
      <c r="A196" s="463" t="s">
        <v>1119</v>
      </c>
      <c r="B196" s="470">
        <v>4220</v>
      </c>
      <c r="C196" s="551">
        <v>7210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196795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190902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190902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8400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8400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20011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374410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394421</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16236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23678</v>
      </c>
      <c r="D270" s="576"/>
      <c r="E270" s="468"/>
      <c r="F270" s="576"/>
      <c r="G270" s="576"/>
      <c r="H270" s="468"/>
      <c r="I270" s="468"/>
      <c r="J270" s="468"/>
      <c r="K270" s="468"/>
    </row>
    <row r="271" spans="1:11" ht="12.75" customHeight="1" thickTop="1" thickBot="1" x14ac:dyDescent="0.25">
      <c r="A271" s="463" t="s">
        <v>395</v>
      </c>
      <c r="B271" s="470">
        <v>4992</v>
      </c>
      <c r="C271" s="575">
        <v>36214</v>
      </c>
      <c r="D271" s="576"/>
      <c r="E271" s="468"/>
      <c r="F271" s="576">
        <v>13404</v>
      </c>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866646</v>
      </c>
      <c r="D273" s="1737">
        <f t="shared" si="10"/>
        <v>0</v>
      </c>
      <c r="E273" s="1737">
        <f t="shared" si="10"/>
        <v>0</v>
      </c>
      <c r="F273" s="1737">
        <f t="shared" si="10"/>
        <v>13404</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866646</v>
      </c>
      <c r="D274" s="1737">
        <f>SUM(D178,D184,D273)</f>
        <v>0</v>
      </c>
      <c r="E274" s="1737">
        <f>SUM(E178,E273)</f>
        <v>0</v>
      </c>
      <c r="F274" s="1737">
        <f t="shared" ref="F274:K274" si="11">SUM(F178,F184,F273)</f>
        <v>13404</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16486850</v>
      </c>
      <c r="D275" s="1737">
        <f t="shared" si="12"/>
        <v>1770385</v>
      </c>
      <c r="E275" s="1737">
        <f t="shared" si="12"/>
        <v>913686</v>
      </c>
      <c r="F275" s="1737">
        <f t="shared" si="12"/>
        <v>969115</v>
      </c>
      <c r="G275" s="1737">
        <f t="shared" si="12"/>
        <v>423271</v>
      </c>
      <c r="H275" s="1737">
        <f t="shared" si="12"/>
        <v>0</v>
      </c>
      <c r="I275" s="1737">
        <f t="shared" si="12"/>
        <v>15092</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68" activePane="bottomLeft" state="frozen"/>
      <selection activeCell="A47" sqref="A47"/>
      <selection pane="bottomLeft" activeCell="A3" sqref="A3:B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2" t="s">
        <v>315</v>
      </c>
      <c r="B3" s="219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5860052</v>
      </c>
      <c r="D5" s="466">
        <v>929334</v>
      </c>
      <c r="E5" s="466">
        <v>182124</v>
      </c>
      <c r="F5" s="466">
        <v>516408</v>
      </c>
      <c r="G5" s="466">
        <v>48144</v>
      </c>
      <c r="H5" s="466">
        <v>2481</v>
      </c>
      <c r="I5" s="467"/>
      <c r="J5" s="467"/>
      <c r="K5" s="1693">
        <f>SUM(C5:J5)</f>
        <v>7538543</v>
      </c>
      <c r="L5" s="466">
        <v>7880045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59418</v>
      </c>
      <c r="D7" s="467">
        <v>970</v>
      </c>
      <c r="E7" s="467"/>
      <c r="F7" s="467"/>
      <c r="G7" s="467"/>
      <c r="H7" s="467"/>
      <c r="I7" s="467"/>
      <c r="J7" s="467"/>
      <c r="K7" s="1693">
        <f t="shared" ref="K7:K32" si="0">SUM(C7:J7)</f>
        <v>60388</v>
      </c>
      <c r="L7" s="466">
        <v>43907</v>
      </c>
    </row>
    <row r="8" spans="1:14" x14ac:dyDescent="0.2">
      <c r="A8" s="1526" t="s">
        <v>166</v>
      </c>
      <c r="B8" s="615">
        <v>1200</v>
      </c>
      <c r="C8" s="466">
        <v>1500808</v>
      </c>
      <c r="D8" s="466">
        <v>214907</v>
      </c>
      <c r="E8" s="466">
        <v>24194</v>
      </c>
      <c r="F8" s="466">
        <v>11381</v>
      </c>
      <c r="G8" s="466">
        <v>20346</v>
      </c>
      <c r="H8" s="466">
        <v>309</v>
      </c>
      <c r="I8" s="467"/>
      <c r="J8" s="467"/>
      <c r="K8" s="1693">
        <f t="shared" si="0"/>
        <v>1771945</v>
      </c>
      <c r="L8" s="466">
        <v>2124390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213393</v>
      </c>
      <c r="D10" s="466">
        <v>37232</v>
      </c>
      <c r="E10" s="466">
        <v>60815</v>
      </c>
      <c r="F10" s="466">
        <v>55008</v>
      </c>
      <c r="G10" s="466"/>
      <c r="H10" s="466"/>
      <c r="I10" s="467"/>
      <c r="J10" s="467"/>
      <c r="K10" s="1693">
        <f t="shared" si="0"/>
        <v>366448</v>
      </c>
      <c r="L10" s="466">
        <v>356119</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v>6013</v>
      </c>
      <c r="F14" s="466">
        <v>2472</v>
      </c>
      <c r="G14" s="466"/>
      <c r="H14" s="466">
        <v>1175</v>
      </c>
      <c r="I14" s="467"/>
      <c r="J14" s="467"/>
      <c r="K14" s="1693">
        <f t="shared" si="0"/>
        <v>9660</v>
      </c>
      <c r="L14" s="466">
        <v>13900</v>
      </c>
    </row>
    <row r="15" spans="1:14" x14ac:dyDescent="0.2">
      <c r="A15" s="1526" t="s">
        <v>1021</v>
      </c>
      <c r="B15" s="615">
        <v>1600</v>
      </c>
      <c r="C15" s="466">
        <v>5350</v>
      </c>
      <c r="D15" s="466"/>
      <c r="E15" s="466"/>
      <c r="F15" s="466"/>
      <c r="G15" s="466"/>
      <c r="H15" s="466"/>
      <c r="I15" s="467"/>
      <c r="J15" s="467"/>
      <c r="K15" s="1693">
        <f t="shared" si="0"/>
        <v>5350</v>
      </c>
      <c r="L15" s="466">
        <v>10000</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156725</v>
      </c>
      <c r="I22" s="617"/>
      <c r="J22" s="477"/>
      <c r="K22" s="1693">
        <f t="shared" si="0"/>
        <v>156725</v>
      </c>
      <c r="L22" s="471">
        <v>369745</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7639021</v>
      </c>
      <c r="D33" s="1692">
        <f t="shared" ref="D33:L33" si="1">SUM(D5:D32)</f>
        <v>1182443</v>
      </c>
      <c r="E33" s="1692">
        <f t="shared" si="1"/>
        <v>273146</v>
      </c>
      <c r="F33" s="1692">
        <f t="shared" si="1"/>
        <v>585269</v>
      </c>
      <c r="G33" s="1692">
        <f t="shared" si="1"/>
        <v>68490</v>
      </c>
      <c r="H33" s="1692">
        <f t="shared" si="1"/>
        <v>160690</v>
      </c>
      <c r="I33" s="1692">
        <f t="shared" si="1"/>
        <v>0</v>
      </c>
      <c r="J33" s="1692">
        <f t="shared" si="1"/>
        <v>0</v>
      </c>
      <c r="K33" s="1692">
        <f t="shared" si="1"/>
        <v>9909059</v>
      </c>
      <c r="L33" s="1692">
        <f t="shared" si="1"/>
        <v>10798106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215447</v>
      </c>
      <c r="D36" s="481">
        <v>33804</v>
      </c>
      <c r="E36" s="481"/>
      <c r="F36" s="481"/>
      <c r="G36" s="481"/>
      <c r="H36" s="481"/>
      <c r="I36" s="467"/>
      <c r="J36" s="467"/>
      <c r="K36" s="1693">
        <f t="shared" ref="K36:K41" si="2">SUM(C36:J36)</f>
        <v>249251</v>
      </c>
      <c r="L36" s="466">
        <v>251545</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130990</v>
      </c>
      <c r="D38" s="466">
        <v>9876</v>
      </c>
      <c r="E38" s="466">
        <v>726</v>
      </c>
      <c r="F38" s="466">
        <v>3871</v>
      </c>
      <c r="G38" s="466">
        <v>1735</v>
      </c>
      <c r="H38" s="466"/>
      <c r="I38" s="467"/>
      <c r="J38" s="467"/>
      <c r="K38" s="1693">
        <f t="shared" si="2"/>
        <v>147198</v>
      </c>
      <c r="L38" s="466">
        <v>189800</v>
      </c>
    </row>
    <row r="39" spans="1:14" x14ac:dyDescent="0.2">
      <c r="A39" s="1526" t="s">
        <v>208</v>
      </c>
      <c r="B39" s="615">
        <v>2140</v>
      </c>
      <c r="C39" s="466">
        <v>152703</v>
      </c>
      <c r="D39" s="466">
        <v>20548</v>
      </c>
      <c r="E39" s="466">
        <v>0</v>
      </c>
      <c r="F39" s="466">
        <v>135</v>
      </c>
      <c r="G39" s="466"/>
      <c r="H39" s="466"/>
      <c r="I39" s="467"/>
      <c r="J39" s="467"/>
      <c r="K39" s="1693">
        <f t="shared" si="2"/>
        <v>173386</v>
      </c>
      <c r="L39" s="466">
        <v>199569</v>
      </c>
    </row>
    <row r="40" spans="1:14" x14ac:dyDescent="0.2">
      <c r="A40" s="1526" t="s">
        <v>209</v>
      </c>
      <c r="B40" s="615">
        <v>2150</v>
      </c>
      <c r="C40" s="466">
        <v>356736</v>
      </c>
      <c r="D40" s="466">
        <v>54232</v>
      </c>
      <c r="E40" s="466">
        <v>0</v>
      </c>
      <c r="F40" s="466">
        <v>152</v>
      </c>
      <c r="G40" s="466"/>
      <c r="H40" s="466"/>
      <c r="I40" s="467"/>
      <c r="J40" s="467"/>
      <c r="K40" s="1693">
        <f t="shared" si="2"/>
        <v>411120</v>
      </c>
      <c r="L40" s="466">
        <v>423979</v>
      </c>
    </row>
    <row r="41" spans="1:14" x14ac:dyDescent="0.2">
      <c r="A41" s="1526" t="s">
        <v>1768</v>
      </c>
      <c r="B41" s="615">
        <v>2190</v>
      </c>
      <c r="C41" s="466">
        <v>60954</v>
      </c>
      <c r="D41" s="466"/>
      <c r="E41" s="466"/>
      <c r="F41" s="466"/>
      <c r="G41" s="466"/>
      <c r="H41" s="466"/>
      <c r="I41" s="467"/>
      <c r="J41" s="467"/>
      <c r="K41" s="1693">
        <f t="shared" si="2"/>
        <v>60954</v>
      </c>
      <c r="L41" s="466">
        <v>78750</v>
      </c>
    </row>
    <row r="42" spans="1:14" ht="12.75" customHeight="1" thickBot="1" x14ac:dyDescent="0.25">
      <c r="A42" s="1690" t="s">
        <v>581</v>
      </c>
      <c r="B42" s="1691" t="s">
        <v>740</v>
      </c>
      <c r="C42" s="1692">
        <f>SUM(C36:C41)</f>
        <v>916830</v>
      </c>
      <c r="D42" s="1692">
        <f t="shared" ref="D42:L42" si="3">SUM(D36:D41)</f>
        <v>118460</v>
      </c>
      <c r="E42" s="1692">
        <f t="shared" si="3"/>
        <v>726</v>
      </c>
      <c r="F42" s="1692">
        <f t="shared" si="3"/>
        <v>4158</v>
      </c>
      <c r="G42" s="1692">
        <f t="shared" si="3"/>
        <v>1735</v>
      </c>
      <c r="H42" s="1692">
        <f t="shared" si="3"/>
        <v>0</v>
      </c>
      <c r="I42" s="1692">
        <f t="shared" si="3"/>
        <v>0</v>
      </c>
      <c r="J42" s="1692">
        <f t="shared" si="3"/>
        <v>0</v>
      </c>
      <c r="K42" s="1692">
        <f t="shared" si="3"/>
        <v>1041909</v>
      </c>
      <c r="L42" s="1692">
        <f t="shared" si="3"/>
        <v>1143643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92862</v>
      </c>
      <c r="D44" s="481">
        <v>35151</v>
      </c>
      <c r="E44" s="481">
        <v>26646</v>
      </c>
      <c r="F44" s="481">
        <v>4306</v>
      </c>
      <c r="G44" s="481">
        <v>0</v>
      </c>
      <c r="H44" s="481"/>
      <c r="I44" s="467"/>
      <c r="J44" s="467"/>
      <c r="K44" s="1694">
        <f>SUM(C44:J44)</f>
        <v>158965</v>
      </c>
      <c r="L44" s="481">
        <v>171635</v>
      </c>
    </row>
    <row r="45" spans="1:14" x14ac:dyDescent="0.2">
      <c r="A45" s="1526" t="s">
        <v>869</v>
      </c>
      <c r="B45" s="615">
        <v>2220</v>
      </c>
      <c r="C45" s="466">
        <v>37917</v>
      </c>
      <c r="D45" s="466"/>
      <c r="E45" s="466">
        <v>4115</v>
      </c>
      <c r="F45" s="466"/>
      <c r="G45" s="466"/>
      <c r="H45" s="466"/>
      <c r="I45" s="467"/>
      <c r="J45" s="467"/>
      <c r="K45" s="1694">
        <f>SUM(C45:J45)</f>
        <v>42032</v>
      </c>
      <c r="L45" s="466">
        <v>44750</v>
      </c>
    </row>
    <row r="46" spans="1:14" x14ac:dyDescent="0.2">
      <c r="A46" s="1526" t="s">
        <v>870</v>
      </c>
      <c r="B46" s="615">
        <v>2230</v>
      </c>
      <c r="C46" s="466"/>
      <c r="D46" s="466"/>
      <c r="E46" s="466">
        <v>19271</v>
      </c>
      <c r="F46" s="466">
        <v>1259</v>
      </c>
      <c r="G46" s="466"/>
      <c r="H46" s="466"/>
      <c r="I46" s="467"/>
      <c r="J46" s="467"/>
      <c r="K46" s="1694">
        <f>SUM(C46:J46)</f>
        <v>20530</v>
      </c>
      <c r="L46" s="466">
        <v>30000</v>
      </c>
    </row>
    <row r="47" spans="1:14" ht="12.75" customHeight="1" thickBot="1" x14ac:dyDescent="0.25">
      <c r="A47" s="1690" t="s">
        <v>582</v>
      </c>
      <c r="B47" s="1691" t="s">
        <v>32</v>
      </c>
      <c r="C47" s="1692">
        <f>SUM(C44:C46)</f>
        <v>130779</v>
      </c>
      <c r="D47" s="1692">
        <f t="shared" ref="D47:K47" si="4">SUM(D44:D46)</f>
        <v>35151</v>
      </c>
      <c r="E47" s="1692">
        <f t="shared" si="4"/>
        <v>50032</v>
      </c>
      <c r="F47" s="1692">
        <f t="shared" si="4"/>
        <v>5565</v>
      </c>
      <c r="G47" s="1692">
        <f t="shared" si="4"/>
        <v>0</v>
      </c>
      <c r="H47" s="1692">
        <f t="shared" si="4"/>
        <v>0</v>
      </c>
      <c r="I47" s="1692">
        <f t="shared" si="4"/>
        <v>0</v>
      </c>
      <c r="J47" s="1692">
        <f t="shared" si="4"/>
        <v>0</v>
      </c>
      <c r="K47" s="1692">
        <f t="shared" si="4"/>
        <v>221527</v>
      </c>
      <c r="L47" s="1692">
        <f>SUM(L44:L46)</f>
        <v>246385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2400</v>
      </c>
      <c r="D49" s="481"/>
      <c r="E49" s="481">
        <v>290831</v>
      </c>
      <c r="F49" s="481">
        <v>385</v>
      </c>
      <c r="G49" s="481"/>
      <c r="H49" s="481">
        <v>4335</v>
      </c>
      <c r="I49" s="467"/>
      <c r="J49" s="467"/>
      <c r="K49" s="1694">
        <f>SUM(C49:J49)</f>
        <v>297951</v>
      </c>
      <c r="L49" s="481">
        <v>278900</v>
      </c>
    </row>
    <row r="50" spans="1:14" x14ac:dyDescent="0.2">
      <c r="A50" s="1526" t="s">
        <v>872</v>
      </c>
      <c r="B50" s="615">
        <v>2320</v>
      </c>
      <c r="C50" s="466">
        <v>199912</v>
      </c>
      <c r="D50" s="466">
        <v>55031</v>
      </c>
      <c r="E50" s="466">
        <v>39833</v>
      </c>
      <c r="F50" s="466">
        <v>2645</v>
      </c>
      <c r="G50" s="466">
        <v>6580</v>
      </c>
      <c r="H50" s="466">
        <v>4952</v>
      </c>
      <c r="I50" s="467"/>
      <c r="J50" s="467"/>
      <c r="K50" s="1694">
        <f>SUM(C50:J50)</f>
        <v>308953</v>
      </c>
      <c r="L50" s="466">
        <v>312021</v>
      </c>
    </row>
    <row r="51" spans="1:14" x14ac:dyDescent="0.2">
      <c r="A51" s="1526" t="s">
        <v>44</v>
      </c>
      <c r="B51" s="615">
        <v>2330</v>
      </c>
      <c r="C51" s="466">
        <v>82149</v>
      </c>
      <c r="D51" s="466">
        <v>37282</v>
      </c>
      <c r="E51" s="466">
        <v>500</v>
      </c>
      <c r="F51" s="466">
        <v>1059</v>
      </c>
      <c r="G51" s="466">
        <v>3836</v>
      </c>
      <c r="H51" s="466">
        <v>1425</v>
      </c>
      <c r="I51" s="467"/>
      <c r="J51" s="467"/>
      <c r="K51" s="1694">
        <f>SUM(C51:J51)</f>
        <v>126251</v>
      </c>
      <c r="L51" s="466">
        <v>135528</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284461</v>
      </c>
      <c r="D53" s="1692">
        <f t="shared" ref="D53:L53" si="5">SUM(D49:D52)</f>
        <v>92313</v>
      </c>
      <c r="E53" s="1692">
        <f t="shared" si="5"/>
        <v>331164</v>
      </c>
      <c r="F53" s="1692">
        <f t="shared" si="5"/>
        <v>4089</v>
      </c>
      <c r="G53" s="1692">
        <f t="shared" si="5"/>
        <v>10416</v>
      </c>
      <c r="H53" s="1692">
        <f t="shared" si="5"/>
        <v>10712</v>
      </c>
      <c r="I53" s="1692">
        <f t="shared" si="5"/>
        <v>0</v>
      </c>
      <c r="J53" s="1692">
        <f t="shared" si="5"/>
        <v>0</v>
      </c>
      <c r="K53" s="1692">
        <f t="shared" si="5"/>
        <v>733155</v>
      </c>
      <c r="L53" s="1692">
        <f t="shared" si="5"/>
        <v>726449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591992</v>
      </c>
      <c r="D55" s="481">
        <v>234108</v>
      </c>
      <c r="E55" s="481">
        <v>135</v>
      </c>
      <c r="F55" s="481">
        <v>5199</v>
      </c>
      <c r="G55" s="481">
        <v>580</v>
      </c>
      <c r="H55" s="481">
        <v>1891</v>
      </c>
      <c r="I55" s="467"/>
      <c r="J55" s="467"/>
      <c r="K55" s="1694">
        <f>SUM(C55:J55)</f>
        <v>833905</v>
      </c>
      <c r="L55" s="481">
        <v>852799</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591992</v>
      </c>
      <c r="D57" s="1696">
        <f t="shared" ref="D57:K57" si="6">SUM(D55:D56)</f>
        <v>234108</v>
      </c>
      <c r="E57" s="1696">
        <f t="shared" si="6"/>
        <v>135</v>
      </c>
      <c r="F57" s="1696">
        <f t="shared" si="6"/>
        <v>5199</v>
      </c>
      <c r="G57" s="1696">
        <f t="shared" si="6"/>
        <v>580</v>
      </c>
      <c r="H57" s="1696">
        <f t="shared" si="6"/>
        <v>1891</v>
      </c>
      <c r="I57" s="1696">
        <f t="shared" si="6"/>
        <v>0</v>
      </c>
      <c r="J57" s="1696">
        <f t="shared" si="6"/>
        <v>0</v>
      </c>
      <c r="K57" s="1696">
        <f t="shared" si="6"/>
        <v>833905</v>
      </c>
      <c r="L57" s="1692">
        <f>SUM(L55:L56)</f>
        <v>852799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113874</v>
      </c>
      <c r="D59" s="481">
        <v>40787</v>
      </c>
      <c r="E59" s="481">
        <v>74567</v>
      </c>
      <c r="F59" s="481">
        <v>14250</v>
      </c>
      <c r="G59" s="481">
        <v>10880</v>
      </c>
      <c r="H59" s="481">
        <v>7761</v>
      </c>
      <c r="I59" s="467"/>
      <c r="J59" s="467"/>
      <c r="K59" s="1694">
        <f t="shared" ref="K59:K64" si="7">SUM(C59:J59)</f>
        <v>262119</v>
      </c>
      <c r="L59" s="481">
        <v>231848</v>
      </c>
      <c r="M59" s="610"/>
      <c r="N59" s="610"/>
    </row>
    <row r="60" spans="1:14" s="343" customFormat="1" x14ac:dyDescent="0.2">
      <c r="A60" s="1526" t="s">
        <v>483</v>
      </c>
      <c r="B60" s="615">
        <v>2520</v>
      </c>
      <c r="C60" s="466">
        <v>33738</v>
      </c>
      <c r="D60" s="466">
        <v>9428</v>
      </c>
      <c r="E60" s="466">
        <v>0</v>
      </c>
      <c r="F60" s="466">
        <v>0</v>
      </c>
      <c r="G60" s="466"/>
      <c r="H60" s="466">
        <v>0</v>
      </c>
      <c r="I60" s="467"/>
      <c r="J60" s="467"/>
      <c r="K60" s="1694">
        <f t="shared" si="7"/>
        <v>43166</v>
      </c>
      <c r="L60" s="466">
        <v>57400</v>
      </c>
      <c r="M60" s="610"/>
      <c r="N60" s="610"/>
    </row>
    <row r="61" spans="1:14" s="343" customFormat="1" x14ac:dyDescent="0.2">
      <c r="A61" s="1526" t="s">
        <v>206</v>
      </c>
      <c r="B61" s="615">
        <v>2540</v>
      </c>
      <c r="C61" s="466"/>
      <c r="D61" s="466">
        <v>57314</v>
      </c>
      <c r="E61" s="466"/>
      <c r="F61" s="466"/>
      <c r="G61" s="466"/>
      <c r="H61" s="466"/>
      <c r="I61" s="467"/>
      <c r="J61" s="467"/>
      <c r="K61" s="1694">
        <f t="shared" si="7"/>
        <v>57314</v>
      </c>
      <c r="L61" s="466">
        <v>91800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199118</v>
      </c>
      <c r="D63" s="466">
        <v>27914</v>
      </c>
      <c r="E63" s="466">
        <v>6182</v>
      </c>
      <c r="F63" s="466">
        <v>175261</v>
      </c>
      <c r="G63" s="466"/>
      <c r="H63" s="466">
        <v>1693</v>
      </c>
      <c r="I63" s="467"/>
      <c r="J63" s="467"/>
      <c r="K63" s="1694">
        <f t="shared" si="7"/>
        <v>410168</v>
      </c>
      <c r="L63" s="466">
        <v>497300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346730</v>
      </c>
      <c r="D65" s="1692">
        <f t="shared" ref="D65:L65" si="8">SUM(D59:D64)</f>
        <v>135443</v>
      </c>
      <c r="E65" s="1692">
        <f t="shared" si="8"/>
        <v>80749</v>
      </c>
      <c r="F65" s="1692">
        <f t="shared" si="8"/>
        <v>189511</v>
      </c>
      <c r="G65" s="1692">
        <f t="shared" si="8"/>
        <v>10880</v>
      </c>
      <c r="H65" s="1692">
        <f t="shared" si="8"/>
        <v>9454</v>
      </c>
      <c r="I65" s="1692">
        <f t="shared" si="8"/>
        <v>0</v>
      </c>
      <c r="J65" s="1692">
        <f t="shared" si="8"/>
        <v>0</v>
      </c>
      <c r="K65" s="1692">
        <f t="shared" si="8"/>
        <v>772767</v>
      </c>
      <c r="L65" s="1692">
        <f t="shared" si="8"/>
        <v>878348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v>153278</v>
      </c>
      <c r="D71" s="466">
        <v>28491</v>
      </c>
      <c r="E71" s="466">
        <v>5690</v>
      </c>
      <c r="F71" s="466"/>
      <c r="G71" s="466"/>
      <c r="H71" s="466"/>
      <c r="I71" s="467"/>
      <c r="J71" s="467"/>
      <c r="K71" s="1694">
        <f>SUM(C71:J71)</f>
        <v>187459</v>
      </c>
      <c r="L71" s="466">
        <v>207760</v>
      </c>
      <c r="M71" s="610"/>
      <c r="N71" s="610"/>
    </row>
    <row r="72" spans="1:14" s="343" customFormat="1" ht="12.75" customHeight="1" thickBot="1" x14ac:dyDescent="0.25">
      <c r="A72" s="1690" t="s">
        <v>37</v>
      </c>
      <c r="B72" s="1697" t="s">
        <v>36</v>
      </c>
      <c r="C72" s="1692">
        <f>SUM(C67:C71)</f>
        <v>153278</v>
      </c>
      <c r="D72" s="1692">
        <f t="shared" ref="D72:K72" si="9">SUM(D67:D71)</f>
        <v>28491</v>
      </c>
      <c r="E72" s="1692">
        <f t="shared" si="9"/>
        <v>5690</v>
      </c>
      <c r="F72" s="1692">
        <f t="shared" si="9"/>
        <v>0</v>
      </c>
      <c r="G72" s="1692">
        <f t="shared" si="9"/>
        <v>0</v>
      </c>
      <c r="H72" s="1692">
        <f t="shared" si="9"/>
        <v>0</v>
      </c>
      <c r="I72" s="1692">
        <f t="shared" si="9"/>
        <v>0</v>
      </c>
      <c r="J72" s="1692">
        <f t="shared" si="9"/>
        <v>0</v>
      </c>
      <c r="K72" s="1692">
        <f t="shared" si="9"/>
        <v>187459</v>
      </c>
      <c r="L72" s="1692">
        <f>SUM(L67:L71)</f>
        <v>207760</v>
      </c>
      <c r="M72" s="610"/>
      <c r="N72" s="610"/>
    </row>
    <row r="73" spans="1:14" s="343" customFormat="1" ht="14.25" thickTop="1" thickBot="1" x14ac:dyDescent="0.25">
      <c r="A73" s="1532" t="s">
        <v>1037</v>
      </c>
      <c r="B73" s="633" t="s">
        <v>595</v>
      </c>
      <c r="C73" s="573"/>
      <c r="D73" s="573"/>
      <c r="E73" s="573"/>
      <c r="F73" s="573">
        <v>445</v>
      </c>
      <c r="G73" s="573"/>
      <c r="H73" s="573"/>
      <c r="I73" s="531"/>
      <c r="J73" s="531"/>
      <c r="K73" s="1692">
        <f>SUM(C73:J73)</f>
        <v>445</v>
      </c>
      <c r="L73" s="576">
        <v>750</v>
      </c>
      <c r="M73" s="610"/>
      <c r="N73" s="610"/>
    </row>
    <row r="74" spans="1:14" ht="12.75" customHeight="1" thickTop="1" thickBot="1" x14ac:dyDescent="0.25">
      <c r="A74" s="1690" t="s">
        <v>865</v>
      </c>
      <c r="B74" s="1698">
        <v>2000</v>
      </c>
      <c r="C74" s="1699">
        <f>SUM(C42,C47,C53,C57,C65,C72,C73)</f>
        <v>2424070</v>
      </c>
      <c r="D74" s="1699">
        <f t="shared" ref="D74:K74" si="10">SUM(D42,D47,D53,D57,D65,D72,D73)</f>
        <v>643966</v>
      </c>
      <c r="E74" s="1699">
        <f t="shared" si="10"/>
        <v>468496</v>
      </c>
      <c r="F74" s="1699">
        <f t="shared" si="10"/>
        <v>208967</v>
      </c>
      <c r="G74" s="1699">
        <f t="shared" si="10"/>
        <v>23611</v>
      </c>
      <c r="H74" s="1699">
        <f t="shared" si="10"/>
        <v>22057</v>
      </c>
      <c r="I74" s="1699">
        <f t="shared" si="10"/>
        <v>0</v>
      </c>
      <c r="J74" s="1699">
        <f t="shared" si="10"/>
        <v>0</v>
      </c>
      <c r="K74" s="1699">
        <f t="shared" si="10"/>
        <v>3791167</v>
      </c>
      <c r="L74" s="1699">
        <f>SUM(L42,L47,L53,L57,L65,L72,L73)</f>
        <v>4056134</v>
      </c>
    </row>
    <row r="75" spans="1:14" s="259" customFormat="1" ht="15.75" customHeight="1" thickTop="1" thickBot="1" x14ac:dyDescent="0.25">
      <c r="A75" s="1632" t="s">
        <v>49</v>
      </c>
      <c r="B75" s="1633" t="s">
        <v>596</v>
      </c>
      <c r="C75" s="573">
        <v>87120</v>
      </c>
      <c r="D75" s="573">
        <v>9463</v>
      </c>
      <c r="E75" s="573">
        <v>665</v>
      </c>
      <c r="F75" s="573">
        <v>6950</v>
      </c>
      <c r="G75" s="573"/>
      <c r="H75" s="573">
        <v>2237</v>
      </c>
      <c r="I75" s="531"/>
      <c r="J75" s="531"/>
      <c r="K75" s="1692">
        <f>SUM(C75:J75)</f>
        <v>106435</v>
      </c>
      <c r="L75" s="576">
        <v>126806</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470152</v>
      </c>
      <c r="F79" s="617"/>
      <c r="G79" s="617"/>
      <c r="H79" s="466">
        <v>1186</v>
      </c>
      <c r="I79" s="477"/>
      <c r="J79" s="477"/>
      <c r="K79" s="1693">
        <f t="shared" si="11"/>
        <v>471338</v>
      </c>
      <c r="L79" s="466">
        <v>555000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470152</v>
      </c>
      <c r="F84" s="617"/>
      <c r="G84" s="617"/>
      <c r="H84" s="1692">
        <f>SUM(H78:H83)</f>
        <v>1186</v>
      </c>
      <c r="I84" s="477"/>
      <c r="J84" s="477"/>
      <c r="K84" s="1692">
        <f>SUM(K78:K83)</f>
        <v>471338</v>
      </c>
      <c r="L84" s="1692">
        <f>SUM(L78:L83)</f>
        <v>555000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470152</v>
      </c>
      <c r="F102" s="617"/>
      <c r="G102" s="617"/>
      <c r="H102" s="1699">
        <f>SUM(H84,H92,H100,H101)</f>
        <v>1186</v>
      </c>
      <c r="I102" s="477"/>
      <c r="J102" s="477"/>
      <c r="K102" s="1699">
        <f>SUM(K84,K92,K100,K101)</f>
        <v>471338</v>
      </c>
      <c r="L102" s="1699">
        <f>SUM(L84,L92,L100,L101)</f>
        <v>555000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25000</v>
      </c>
      <c r="M113" s="614"/>
      <c r="N113" s="614"/>
    </row>
    <row r="114" spans="1:14" ht="12.75" customHeight="1" thickTop="1" thickBot="1" x14ac:dyDescent="0.25">
      <c r="A114" s="1690" t="s">
        <v>50</v>
      </c>
      <c r="B114" s="1704"/>
      <c r="C114" s="1692">
        <f>SUM(C33,C74,C75,C102,C112,C113)</f>
        <v>10150211</v>
      </c>
      <c r="D114" s="1692">
        <f t="shared" ref="D114:K114" si="13">SUM(D33,D74,D75,D102,D112,D113)</f>
        <v>1835872</v>
      </c>
      <c r="E114" s="1692">
        <f t="shared" si="13"/>
        <v>1212459</v>
      </c>
      <c r="F114" s="1692">
        <f t="shared" si="13"/>
        <v>801186</v>
      </c>
      <c r="G114" s="1692">
        <f t="shared" si="13"/>
        <v>92101</v>
      </c>
      <c r="H114" s="1692">
        <f>SUM(H33,H74,H75,H102,H112,H113)</f>
        <v>186170</v>
      </c>
      <c r="I114" s="1692">
        <f t="shared" si="13"/>
        <v>0</v>
      </c>
      <c r="J114" s="1692">
        <f t="shared" si="13"/>
        <v>0</v>
      </c>
      <c r="K114" s="1692">
        <f t="shared" si="13"/>
        <v>14277999</v>
      </c>
      <c r="L114" s="1692">
        <f>SUM(L33,L74,L75,L102,L112,L113)</f>
        <v>15561046</v>
      </c>
    </row>
    <row r="115" spans="1:14" ht="13.5" thickTop="1" x14ac:dyDescent="0.2">
      <c r="A115" s="2184" t="s">
        <v>1053</v>
      </c>
      <c r="B115" s="2185"/>
      <c r="C115" s="619"/>
      <c r="D115" s="619"/>
      <c r="E115" s="619"/>
      <c r="F115" s="619"/>
      <c r="G115" s="619"/>
      <c r="H115" s="619"/>
      <c r="I115" s="619"/>
      <c r="J115" s="619"/>
      <c r="K115" s="1706">
        <f>'Revenues 9-14'!C275-'Expenditures 15-22'!K114</f>
        <v>2208851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9" t="s">
        <v>314</v>
      </c>
      <c r="B117" s="219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26040</v>
      </c>
      <c r="F123" s="466"/>
      <c r="G123" s="466">
        <v>659491</v>
      </c>
      <c r="H123" s="466"/>
      <c r="I123" s="467"/>
      <c r="J123" s="467"/>
      <c r="K123" s="1692">
        <f>SUM(C123:J123)</f>
        <v>685531</v>
      </c>
      <c r="L123" s="466">
        <v>875000</v>
      </c>
    </row>
    <row r="124" spans="1:14" ht="14.25" thickTop="1" thickBot="1" x14ac:dyDescent="0.25">
      <c r="A124" s="1526" t="s">
        <v>206</v>
      </c>
      <c r="B124" s="615">
        <v>2540</v>
      </c>
      <c r="C124" s="466">
        <v>348784</v>
      </c>
      <c r="D124" s="466"/>
      <c r="E124" s="466">
        <v>151646</v>
      </c>
      <c r="F124" s="466">
        <v>331971</v>
      </c>
      <c r="G124" s="466">
        <v>6843</v>
      </c>
      <c r="H124" s="466"/>
      <c r="I124" s="467"/>
      <c r="J124" s="467"/>
      <c r="K124" s="1692">
        <f>SUM(C124:J124)</f>
        <v>839244</v>
      </c>
      <c r="L124" s="466">
        <v>978000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348784</v>
      </c>
      <c r="D127" s="1692">
        <f t="shared" ref="D127:L127" si="14">SUM(D122:D126)</f>
        <v>0</v>
      </c>
      <c r="E127" s="1692">
        <f t="shared" si="14"/>
        <v>177686</v>
      </c>
      <c r="F127" s="1692">
        <f t="shared" si="14"/>
        <v>331971</v>
      </c>
      <c r="G127" s="1692">
        <f t="shared" si="14"/>
        <v>666334</v>
      </c>
      <c r="H127" s="1692">
        <f t="shared" si="14"/>
        <v>0</v>
      </c>
      <c r="I127" s="1692">
        <f t="shared" si="14"/>
        <v>0</v>
      </c>
      <c r="J127" s="1692">
        <f t="shared" si="14"/>
        <v>0</v>
      </c>
      <c r="K127" s="1692">
        <f t="shared" si="14"/>
        <v>1524775</v>
      </c>
      <c r="L127" s="1692">
        <f t="shared" si="14"/>
        <v>1853000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348784</v>
      </c>
      <c r="D129" s="1699">
        <f t="shared" ref="D129:L129" si="15">SUM(D120,D127,D128)</f>
        <v>0</v>
      </c>
      <c r="E129" s="1699">
        <f t="shared" si="15"/>
        <v>177686</v>
      </c>
      <c r="F129" s="1699">
        <f t="shared" si="15"/>
        <v>331971</v>
      </c>
      <c r="G129" s="1699">
        <f t="shared" si="15"/>
        <v>666334</v>
      </c>
      <c r="H129" s="1699">
        <f t="shared" si="15"/>
        <v>0</v>
      </c>
      <c r="I129" s="1699">
        <f t="shared" si="15"/>
        <v>0</v>
      </c>
      <c r="J129" s="1699">
        <f t="shared" si="15"/>
        <v>0</v>
      </c>
      <c r="K129" s="1699">
        <f t="shared" si="15"/>
        <v>1524775</v>
      </c>
      <c r="L129" s="1699">
        <f t="shared" si="15"/>
        <v>1853000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15000</v>
      </c>
    </row>
    <row r="151" spans="1:14" ht="12.75" customHeight="1" thickTop="1" thickBot="1" x14ac:dyDescent="0.25">
      <c r="A151" s="2201" t="s">
        <v>641</v>
      </c>
      <c r="B151" s="2181"/>
      <c r="C151" s="1692">
        <f>SUM(C129,C130,C139,C149,C150)</f>
        <v>348784</v>
      </c>
      <c r="D151" s="1692">
        <f t="shared" ref="D151:K151" si="16">SUM(D129,D130,D139,D149,D150)</f>
        <v>0</v>
      </c>
      <c r="E151" s="1692">
        <f t="shared" si="16"/>
        <v>177686</v>
      </c>
      <c r="F151" s="1692">
        <f t="shared" si="16"/>
        <v>331971</v>
      </c>
      <c r="G151" s="1692">
        <f t="shared" si="16"/>
        <v>666334</v>
      </c>
      <c r="H151" s="1692">
        <f t="shared" si="16"/>
        <v>0</v>
      </c>
      <c r="I151" s="1692">
        <f t="shared" si="16"/>
        <v>0</v>
      </c>
      <c r="J151" s="1692">
        <f t="shared" si="16"/>
        <v>0</v>
      </c>
      <c r="K151" s="1692">
        <f t="shared" si="16"/>
        <v>1524775</v>
      </c>
      <c r="L151" s="1692">
        <f>SUM(L129,L130,L139,L149,L150)</f>
        <v>1868000</v>
      </c>
    </row>
    <row r="152" spans="1:14" ht="12.75" customHeight="1" thickTop="1" x14ac:dyDescent="0.2">
      <c r="A152" s="2204" t="s">
        <v>1240</v>
      </c>
      <c r="B152" s="2205"/>
      <c r="C152" s="619"/>
      <c r="D152" s="619"/>
      <c r="E152" s="619"/>
      <c r="F152" s="619"/>
      <c r="G152" s="619"/>
      <c r="H152" s="619"/>
      <c r="I152" s="619"/>
      <c r="J152" s="617"/>
      <c r="K152" s="1706">
        <f>'Revenues 9-14'!D275-'Expenditures 15-22'!K151</f>
        <v>245610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9" t="s">
        <v>642</v>
      </c>
      <c r="B154" s="219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134486</v>
      </c>
      <c r="I169" s="617"/>
      <c r="J169" s="617"/>
      <c r="K169" s="1693">
        <f>SUM(C169:H169)</f>
        <v>134486</v>
      </c>
      <c r="L169" s="657">
        <v>133732</v>
      </c>
    </row>
    <row r="170" spans="1:14" ht="33.75" customHeight="1" x14ac:dyDescent="0.2">
      <c r="A170" s="670" t="s">
        <v>1769</v>
      </c>
      <c r="B170" s="672" t="s">
        <v>31</v>
      </c>
      <c r="C170" s="617"/>
      <c r="D170" s="617"/>
      <c r="E170" s="617"/>
      <c r="F170" s="617"/>
      <c r="G170" s="617"/>
      <c r="H170" s="569">
        <v>889730</v>
      </c>
      <c r="I170" s="617"/>
      <c r="J170" s="617"/>
      <c r="K170" s="1693">
        <f>SUM(C170:J170)</f>
        <v>889730</v>
      </c>
      <c r="L170" s="569">
        <v>890485</v>
      </c>
    </row>
    <row r="171" spans="1:14" ht="15.75" customHeight="1" x14ac:dyDescent="0.2">
      <c r="A171" s="622" t="s">
        <v>790</v>
      </c>
      <c r="B171" s="673" t="s">
        <v>86</v>
      </c>
      <c r="C171" s="617"/>
      <c r="D171" s="617"/>
      <c r="E171" s="466"/>
      <c r="F171" s="617"/>
      <c r="G171" s="617"/>
      <c r="H171" s="569">
        <v>802</v>
      </c>
      <c r="I171" s="477"/>
      <c r="J171" s="617"/>
      <c r="K171" s="1693">
        <f>SUM(C171:J171)</f>
        <v>802</v>
      </c>
      <c r="L171" s="569">
        <v>21800</v>
      </c>
    </row>
    <row r="172" spans="1:14" ht="12.75" customHeight="1" thickBot="1" x14ac:dyDescent="0.25">
      <c r="A172" s="1690" t="s">
        <v>659</v>
      </c>
      <c r="B172" s="1691" t="s">
        <v>513</v>
      </c>
      <c r="C172" s="617"/>
      <c r="D172" s="617"/>
      <c r="E172" s="1699">
        <f>SUM(E168,E169,E170,E171)</f>
        <v>0</v>
      </c>
      <c r="F172" s="617"/>
      <c r="G172" s="617"/>
      <c r="H172" s="1699">
        <f>SUM(H168,H169,H170,H171)</f>
        <v>1025018</v>
      </c>
      <c r="I172" s="639"/>
      <c r="J172" s="617"/>
      <c r="K172" s="1699">
        <f>SUM(K168,K169,K170,K171)</f>
        <v>1025018</v>
      </c>
      <c r="L172" s="1699">
        <f>SUM(L168,L169,L170,L171)</f>
        <v>1046017</v>
      </c>
    </row>
    <row r="173" spans="1:14" ht="15.75" customHeight="1" thickTop="1" thickBot="1" x14ac:dyDescent="0.25">
      <c r="A173" s="1641" t="s">
        <v>87</v>
      </c>
      <c r="B173" s="1633" t="s">
        <v>916</v>
      </c>
      <c r="C173" s="617"/>
      <c r="D173" s="617"/>
      <c r="E173" s="624"/>
      <c r="F173" s="617"/>
      <c r="G173" s="617"/>
      <c r="H173" s="627"/>
      <c r="I173" s="639"/>
      <c r="J173" s="617"/>
      <c r="K173" s="624"/>
      <c r="L173" s="576">
        <v>5000</v>
      </c>
    </row>
    <row r="174" spans="1:14" ht="12.75" customHeight="1" thickTop="1" thickBot="1" x14ac:dyDescent="0.25">
      <c r="A174" s="1711" t="s">
        <v>92</v>
      </c>
      <c r="B174" s="1712"/>
      <c r="C174" s="617"/>
      <c r="D174" s="617"/>
      <c r="E174" s="1699">
        <f>SUM(E155,E172,E173)</f>
        <v>0</v>
      </c>
      <c r="F174" s="617"/>
      <c r="G174" s="617"/>
      <c r="H174" s="1699">
        <f>SUM(H160,H172,H173)</f>
        <v>1025018</v>
      </c>
      <c r="I174" s="639"/>
      <c r="J174" s="617"/>
      <c r="K174" s="1699">
        <f>SUM(K160,K172,K173)</f>
        <v>1025018</v>
      </c>
      <c r="L174" s="1699">
        <f>SUM(L160,L172,L173)</f>
        <v>1051017</v>
      </c>
    </row>
    <row r="175" spans="1:14" ht="13.5" thickTop="1" x14ac:dyDescent="0.2">
      <c r="A175" s="2184" t="s">
        <v>1053</v>
      </c>
      <c r="B175" s="2185"/>
      <c r="C175" s="617"/>
      <c r="D175" s="617"/>
      <c r="E175" s="617"/>
      <c r="F175" s="617"/>
      <c r="G175" s="617"/>
      <c r="H175" s="619"/>
      <c r="I175" s="617"/>
      <c r="J175" s="617"/>
      <c r="K175" s="1706">
        <f>'Revenues 9-14'!E275-'Expenditures 15-22'!K174</f>
        <v>-111332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926430</v>
      </c>
      <c r="F182" s="466"/>
      <c r="G182" s="466"/>
      <c r="H182" s="466"/>
      <c r="I182" s="467"/>
      <c r="J182" s="467"/>
      <c r="K182" s="1693">
        <f>SUM(C182:J182)</f>
        <v>926430</v>
      </c>
      <c r="L182" s="466">
        <v>948000</v>
      </c>
    </row>
    <row r="183" spans="1:14" ht="12.75" customHeight="1" thickBot="1" x14ac:dyDescent="0.25">
      <c r="A183" s="1531" t="s">
        <v>1037</v>
      </c>
      <c r="B183" s="678">
        <v>2900</v>
      </c>
      <c r="C183" s="573"/>
      <c r="D183" s="573"/>
      <c r="E183" s="573"/>
      <c r="F183" s="573"/>
      <c r="G183" s="573"/>
      <c r="H183" s="573">
        <v>423</v>
      </c>
      <c r="I183" s="532"/>
      <c r="J183" s="532"/>
      <c r="K183" s="1699">
        <f>SUM(C183:J183)</f>
        <v>423</v>
      </c>
      <c r="L183" s="573">
        <v>1000</v>
      </c>
    </row>
    <row r="184" spans="1:14" ht="12.75" customHeight="1" thickTop="1" thickBot="1" x14ac:dyDescent="0.25">
      <c r="A184" s="1713" t="s">
        <v>865</v>
      </c>
      <c r="B184" s="1691" t="s">
        <v>590</v>
      </c>
      <c r="C184" s="1699">
        <f>SUM(C180,C182,C183)</f>
        <v>0</v>
      </c>
      <c r="D184" s="1699">
        <f t="shared" ref="D184:J184" si="17">SUM(D180,D182,D183)</f>
        <v>0</v>
      </c>
      <c r="E184" s="1699">
        <f t="shared" si="17"/>
        <v>926430</v>
      </c>
      <c r="F184" s="1699">
        <f t="shared" si="17"/>
        <v>0</v>
      </c>
      <c r="G184" s="1699">
        <f t="shared" si="17"/>
        <v>0</v>
      </c>
      <c r="H184" s="1699">
        <f t="shared" si="17"/>
        <v>423</v>
      </c>
      <c r="I184" s="1699">
        <f t="shared" si="17"/>
        <v>0</v>
      </c>
      <c r="J184" s="1699">
        <f t="shared" si="17"/>
        <v>0</v>
      </c>
      <c r="K184" s="1699">
        <f>SUM(K180,K182,K183)</f>
        <v>926853</v>
      </c>
      <c r="L184" s="1699">
        <f>SUM(L180, L182:L183)</f>
        <v>949000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v>670</v>
      </c>
      <c r="I189" s="477"/>
      <c r="J189" s="617"/>
      <c r="K189" s="1693">
        <f t="shared" si="18"/>
        <v>670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670</v>
      </c>
      <c r="I194" s="477"/>
      <c r="J194" s="617"/>
      <c r="K194" s="1692">
        <f>SUM(K188:K193)</f>
        <v>670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670</v>
      </c>
      <c r="I196" s="477"/>
      <c r="J196" s="617"/>
      <c r="K196" s="1699">
        <f>SUM(K194,K195)</f>
        <v>670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20000</v>
      </c>
    </row>
    <row r="210" spans="1:14" ht="12.75" customHeight="1" thickTop="1" thickBot="1" x14ac:dyDescent="0.25">
      <c r="A210" s="1714" t="s">
        <v>295</v>
      </c>
      <c r="B210" s="1715"/>
      <c r="C210" s="1692">
        <f>SUM(C184,C185)</f>
        <v>0</v>
      </c>
      <c r="D210" s="1692">
        <f>SUM(D184,D185)</f>
        <v>0</v>
      </c>
      <c r="E210" s="1692">
        <f>SUM(E184,E185,E196)</f>
        <v>926430</v>
      </c>
      <c r="F210" s="1692">
        <f>SUM(F184,F185)</f>
        <v>0</v>
      </c>
      <c r="G210" s="1692">
        <f>SUM(G184,G185)</f>
        <v>0</v>
      </c>
      <c r="H210" s="1692">
        <f>SUM(H184,H185,H196,H208,H209)</f>
        <v>1093</v>
      </c>
      <c r="I210" s="1692">
        <f>SUM(I184,I185)</f>
        <v>0</v>
      </c>
      <c r="J210" s="1692">
        <f>SUM(J184,J185)</f>
        <v>0</v>
      </c>
      <c r="K210" s="1693">
        <f>SUM(K184,K185,K196,K208,K209)</f>
        <v>927523</v>
      </c>
      <c r="L210" s="1692">
        <f>SUM(L184,L185,L196,L208,L209)</f>
        <v>969000</v>
      </c>
    </row>
    <row r="211" spans="1:14" ht="13.5" thickTop="1" x14ac:dyDescent="0.2">
      <c r="A211" s="2184" t="s">
        <v>1053</v>
      </c>
      <c r="B211" s="2185"/>
      <c r="C211" s="619"/>
      <c r="D211" s="619"/>
      <c r="E211" s="619"/>
      <c r="F211" s="619"/>
      <c r="G211" s="619"/>
      <c r="H211" s="619"/>
      <c r="I211" s="617"/>
      <c r="J211" s="617"/>
      <c r="K211" s="1706">
        <f>'Revenues 9-14'!F275-'Expenditures 15-22'!K210</f>
        <v>41592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6" t="s">
        <v>1022</v>
      </c>
      <c r="B213" s="220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81246</v>
      </c>
      <c r="E215" s="617"/>
      <c r="F215" s="617"/>
      <c r="G215" s="617"/>
      <c r="H215" s="617"/>
      <c r="I215" s="617"/>
      <c r="J215" s="617"/>
      <c r="K215" s="1693">
        <f>D215</f>
        <v>81246</v>
      </c>
      <c r="L215" s="466">
        <v>85270</v>
      </c>
    </row>
    <row r="216" spans="1:14" x14ac:dyDescent="0.2">
      <c r="A216" s="1526" t="s">
        <v>165</v>
      </c>
      <c r="B216" s="615" t="s">
        <v>1024</v>
      </c>
      <c r="C216" s="617"/>
      <c r="D216" s="467">
        <v>3433</v>
      </c>
      <c r="E216" s="617"/>
      <c r="F216" s="617"/>
      <c r="G216" s="617"/>
      <c r="H216" s="617"/>
      <c r="I216" s="617"/>
      <c r="J216" s="617"/>
      <c r="K216" s="1693">
        <f t="shared" ref="K216:K228" si="19">D216</f>
        <v>3433</v>
      </c>
      <c r="L216" s="466">
        <v>622</v>
      </c>
    </row>
    <row r="217" spans="1:14" x14ac:dyDescent="0.2">
      <c r="A217" s="1526" t="s">
        <v>166</v>
      </c>
      <c r="B217" s="615">
        <v>1200</v>
      </c>
      <c r="C217" s="617"/>
      <c r="D217" s="466">
        <v>106768</v>
      </c>
      <c r="E217" s="617"/>
      <c r="F217" s="617"/>
      <c r="G217" s="617"/>
      <c r="H217" s="617"/>
      <c r="I217" s="617"/>
      <c r="J217" s="617"/>
      <c r="K217" s="1693">
        <f t="shared" si="19"/>
        <v>106768</v>
      </c>
      <c r="L217" s="466">
        <v>139670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3088</v>
      </c>
      <c r="E219" s="617"/>
      <c r="F219" s="617"/>
      <c r="G219" s="617"/>
      <c r="H219" s="617"/>
      <c r="I219" s="617"/>
      <c r="J219" s="617"/>
      <c r="K219" s="1693">
        <f t="shared" si="19"/>
        <v>3088</v>
      </c>
      <c r="L219" s="466">
        <v>2754</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211</v>
      </c>
      <c r="E223" s="617"/>
      <c r="F223" s="617"/>
      <c r="G223" s="617"/>
      <c r="H223" s="617"/>
      <c r="I223" s="617"/>
      <c r="J223" s="617"/>
      <c r="K223" s="1693">
        <f t="shared" si="19"/>
        <v>211</v>
      </c>
      <c r="L223" s="466"/>
    </row>
    <row r="224" spans="1:14" x14ac:dyDescent="0.2">
      <c r="A224" s="1526" t="s">
        <v>1021</v>
      </c>
      <c r="B224" s="615">
        <v>1600</v>
      </c>
      <c r="C224" s="617"/>
      <c r="D224" s="466">
        <v>73</v>
      </c>
      <c r="E224" s="617"/>
      <c r="F224" s="617"/>
      <c r="G224" s="617"/>
      <c r="H224" s="617"/>
      <c r="I224" s="617"/>
      <c r="J224" s="617"/>
      <c r="K224" s="1693">
        <f t="shared" si="19"/>
        <v>73</v>
      </c>
      <c r="L224" s="466">
        <v>145</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194819</v>
      </c>
      <c r="E229" s="617"/>
      <c r="F229" s="617"/>
      <c r="G229" s="617"/>
      <c r="H229" s="617"/>
      <c r="I229" s="617"/>
      <c r="J229" s="617"/>
      <c r="K229" s="1692">
        <f>SUM(K215:K228)</f>
        <v>194819</v>
      </c>
      <c r="L229" s="1692">
        <f>SUM(L215:L228)</f>
        <v>228461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3080</v>
      </c>
      <c r="E232" s="617"/>
      <c r="F232" s="617"/>
      <c r="G232" s="617"/>
      <c r="H232" s="617"/>
      <c r="I232" s="617"/>
      <c r="J232" s="617"/>
      <c r="K232" s="1693">
        <f t="shared" ref="K232:K237" si="20">D232</f>
        <v>3080</v>
      </c>
      <c r="L232" s="466">
        <v>3118</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21314</v>
      </c>
      <c r="E234" s="617"/>
      <c r="F234" s="617"/>
      <c r="G234" s="617"/>
      <c r="H234" s="617"/>
      <c r="I234" s="617"/>
      <c r="J234" s="617"/>
      <c r="K234" s="1693">
        <f t="shared" si="20"/>
        <v>21314</v>
      </c>
      <c r="L234" s="466">
        <v>22553</v>
      </c>
    </row>
    <row r="235" spans="1:12" x14ac:dyDescent="0.2">
      <c r="A235" s="1526" t="s">
        <v>208</v>
      </c>
      <c r="B235" s="615">
        <v>2140</v>
      </c>
      <c r="C235" s="617"/>
      <c r="D235" s="466">
        <v>2153</v>
      </c>
      <c r="E235" s="617"/>
      <c r="F235" s="617"/>
      <c r="G235" s="617"/>
      <c r="H235" s="617"/>
      <c r="I235" s="617"/>
      <c r="J235" s="617"/>
      <c r="K235" s="1693">
        <f t="shared" si="20"/>
        <v>2153</v>
      </c>
      <c r="L235" s="466">
        <v>4187</v>
      </c>
    </row>
    <row r="236" spans="1:12" x14ac:dyDescent="0.2">
      <c r="A236" s="1526" t="s">
        <v>209</v>
      </c>
      <c r="B236" s="615">
        <v>2150</v>
      </c>
      <c r="C236" s="617"/>
      <c r="D236" s="466">
        <v>5076</v>
      </c>
      <c r="E236" s="617"/>
      <c r="F236" s="617"/>
      <c r="G236" s="617"/>
      <c r="H236" s="617"/>
      <c r="I236" s="617"/>
      <c r="J236" s="617"/>
      <c r="K236" s="1693">
        <f t="shared" si="20"/>
        <v>5076</v>
      </c>
      <c r="L236" s="466">
        <v>5264</v>
      </c>
    </row>
    <row r="237" spans="1:12" x14ac:dyDescent="0.2">
      <c r="A237" s="1526" t="s">
        <v>167</v>
      </c>
      <c r="B237" s="615">
        <v>2190</v>
      </c>
      <c r="C237" s="617"/>
      <c r="D237" s="466">
        <v>4661</v>
      </c>
      <c r="E237" s="617"/>
      <c r="F237" s="617"/>
      <c r="G237" s="617"/>
      <c r="H237" s="617"/>
      <c r="I237" s="617"/>
      <c r="J237" s="617"/>
      <c r="K237" s="1693">
        <f t="shared" si="20"/>
        <v>4661</v>
      </c>
      <c r="L237" s="466">
        <v>7331</v>
      </c>
    </row>
    <row r="238" spans="1:12" ht="12.75" customHeight="1" thickBot="1" x14ac:dyDescent="0.25">
      <c r="A238" s="1690" t="s">
        <v>581</v>
      </c>
      <c r="B238" s="1697" t="s">
        <v>740</v>
      </c>
      <c r="C238" s="617"/>
      <c r="D238" s="1692">
        <f>SUM(D232:D237)</f>
        <v>36284</v>
      </c>
      <c r="E238" s="617"/>
      <c r="F238" s="617"/>
      <c r="G238" s="617"/>
      <c r="H238" s="617"/>
      <c r="I238" s="617"/>
      <c r="J238" s="617"/>
      <c r="K238" s="1692">
        <f>SUM(K232:K237)</f>
        <v>36284</v>
      </c>
      <c r="L238" s="1692">
        <f>SUM(L232:L237)</f>
        <v>42453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1478</v>
      </c>
      <c r="E240" s="617"/>
      <c r="F240" s="617"/>
      <c r="G240" s="617"/>
      <c r="H240" s="617"/>
      <c r="I240" s="617"/>
      <c r="J240" s="617"/>
      <c r="K240" s="1694">
        <f>D240</f>
        <v>1478</v>
      </c>
      <c r="L240" s="481">
        <v>1495</v>
      </c>
    </row>
    <row r="241" spans="1:12" x14ac:dyDescent="0.2">
      <c r="A241" s="1526" t="s">
        <v>869</v>
      </c>
      <c r="B241" s="615">
        <v>2220</v>
      </c>
      <c r="C241" s="617"/>
      <c r="D241" s="466">
        <v>6398</v>
      </c>
      <c r="E241" s="617"/>
      <c r="F241" s="617"/>
      <c r="G241" s="617"/>
      <c r="H241" s="617"/>
      <c r="I241" s="617"/>
      <c r="J241" s="617"/>
      <c r="K241" s="1694">
        <f>D241</f>
        <v>6398</v>
      </c>
      <c r="L241" s="466">
        <v>6561</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7876</v>
      </c>
      <c r="E243" s="617"/>
      <c r="F243" s="617"/>
      <c r="G243" s="617"/>
      <c r="H243" s="617"/>
      <c r="I243" s="617"/>
      <c r="J243" s="617"/>
      <c r="K243" s="1692">
        <f>SUM(K240:K242)</f>
        <v>7876</v>
      </c>
      <c r="L243" s="1692">
        <f>SUM(L240:L242)</f>
        <v>8056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11025</v>
      </c>
      <c r="E246" s="617"/>
      <c r="F246" s="617"/>
      <c r="G246" s="617"/>
      <c r="H246" s="617"/>
      <c r="I246" s="617"/>
      <c r="J246" s="617"/>
      <c r="K246" s="1694">
        <f t="shared" ref="K246:K256" si="21">D246</f>
        <v>11025</v>
      </c>
      <c r="L246" s="466">
        <v>11236</v>
      </c>
    </row>
    <row r="247" spans="1:12" x14ac:dyDescent="0.2">
      <c r="A247" s="1526" t="s">
        <v>873</v>
      </c>
      <c r="B247" s="615">
        <v>2330</v>
      </c>
      <c r="C247" s="617"/>
      <c r="D247" s="466">
        <v>1308</v>
      </c>
      <c r="E247" s="617"/>
      <c r="F247" s="617"/>
      <c r="G247" s="617"/>
      <c r="H247" s="617"/>
      <c r="I247" s="617"/>
      <c r="J247" s="617"/>
      <c r="K247" s="1694">
        <f t="shared" si="21"/>
        <v>1308</v>
      </c>
      <c r="L247" s="466">
        <v>1194</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12333</v>
      </c>
      <c r="E257" s="617"/>
      <c r="F257" s="617"/>
      <c r="G257" s="617"/>
      <c r="H257" s="617"/>
      <c r="I257" s="617"/>
      <c r="J257" s="617"/>
      <c r="K257" s="1692">
        <f>SUM(K245:K256)</f>
        <v>12333</v>
      </c>
      <c r="L257" s="1692">
        <f>SUM(L245:L256)</f>
        <v>12430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31962</v>
      </c>
      <c r="E259" s="617"/>
      <c r="F259" s="617"/>
      <c r="G259" s="617"/>
      <c r="H259" s="617"/>
      <c r="I259" s="617"/>
      <c r="J259" s="617"/>
      <c r="K259" s="1694">
        <f>D259</f>
        <v>31962</v>
      </c>
      <c r="L259" s="481">
        <v>32814</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31962</v>
      </c>
      <c r="E261" s="617"/>
      <c r="F261" s="617"/>
      <c r="G261" s="617"/>
      <c r="H261" s="617"/>
      <c r="I261" s="617"/>
      <c r="J261" s="617"/>
      <c r="K261" s="1692">
        <f>SUM(K259:K260)</f>
        <v>31962</v>
      </c>
      <c r="L261" s="1692">
        <f>SUM(L259:L260)</f>
        <v>32814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1742</v>
      </c>
      <c r="E263" s="617"/>
      <c r="F263" s="617"/>
      <c r="G263" s="617"/>
      <c r="H263" s="617"/>
      <c r="I263" s="617"/>
      <c r="J263" s="617"/>
      <c r="K263" s="1694">
        <f>D263</f>
        <v>1742</v>
      </c>
      <c r="L263" s="481">
        <v>1813</v>
      </c>
    </row>
    <row r="264" spans="1:14" x14ac:dyDescent="0.2">
      <c r="A264" s="1526" t="s">
        <v>483</v>
      </c>
      <c r="B264" s="686">
        <v>2520</v>
      </c>
      <c r="C264" s="617"/>
      <c r="D264" s="466">
        <v>5693</v>
      </c>
      <c r="E264" s="617"/>
      <c r="F264" s="617"/>
      <c r="G264" s="617"/>
      <c r="H264" s="617"/>
      <c r="I264" s="617"/>
      <c r="J264" s="617"/>
      <c r="K264" s="1694">
        <f t="shared" ref="K264:K269" si="22">D264</f>
        <v>5693</v>
      </c>
      <c r="L264" s="466">
        <v>6637</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57531</v>
      </c>
      <c r="E266" s="617"/>
      <c r="F266" s="617"/>
      <c r="G266" s="617"/>
      <c r="H266" s="617"/>
      <c r="I266" s="617"/>
      <c r="J266" s="617"/>
      <c r="K266" s="1694">
        <f t="shared" si="22"/>
        <v>57531</v>
      </c>
      <c r="L266" s="466">
        <v>70810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30401</v>
      </c>
      <c r="E268" s="617"/>
      <c r="F268" s="617"/>
      <c r="G268" s="617"/>
      <c r="H268" s="617"/>
      <c r="I268" s="617"/>
      <c r="J268" s="617"/>
      <c r="K268" s="1694">
        <f t="shared" si="22"/>
        <v>30401</v>
      </c>
      <c r="L268" s="466">
        <v>34683</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95367</v>
      </c>
      <c r="E270" s="617"/>
      <c r="F270" s="617"/>
      <c r="G270" s="617"/>
      <c r="H270" s="617"/>
      <c r="I270" s="617"/>
      <c r="J270" s="617"/>
      <c r="K270" s="1692">
        <f>SUM(K263:K269)</f>
        <v>95367</v>
      </c>
      <c r="L270" s="1692">
        <f>SUM(L263:L269)</f>
        <v>113943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v>25708</v>
      </c>
      <c r="E276" s="617"/>
      <c r="F276" s="617"/>
      <c r="G276" s="617"/>
      <c r="H276" s="617"/>
      <c r="I276" s="617"/>
      <c r="J276" s="617"/>
      <c r="K276" s="1694">
        <f>D276</f>
        <v>25708</v>
      </c>
      <c r="L276" s="466">
        <v>27885</v>
      </c>
    </row>
    <row r="277" spans="1:12" ht="12.75" customHeight="1" thickBot="1" x14ac:dyDescent="0.25">
      <c r="A277" s="1713" t="s">
        <v>37</v>
      </c>
      <c r="B277" s="1691" t="s">
        <v>36</v>
      </c>
      <c r="C277" s="617"/>
      <c r="D277" s="1692">
        <f>SUM(D272:D276)</f>
        <v>25708</v>
      </c>
      <c r="E277" s="617"/>
      <c r="F277" s="617"/>
      <c r="G277" s="617"/>
      <c r="H277" s="617"/>
      <c r="I277" s="617"/>
      <c r="J277" s="617"/>
      <c r="K277" s="1692">
        <f>SUM(K272:K276)</f>
        <v>25708</v>
      </c>
      <c r="L277" s="1692">
        <f>SUM(L272:L276)</f>
        <v>27885</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209530</v>
      </c>
      <c r="E279" s="617"/>
      <c r="F279" s="617"/>
      <c r="G279" s="617"/>
      <c r="H279" s="617"/>
      <c r="I279" s="617"/>
      <c r="J279" s="617"/>
      <c r="K279" s="1699">
        <f>SUM(K238,K243,K257,K261,K270,K277,K278)</f>
        <v>209530</v>
      </c>
      <c r="L279" s="1699">
        <f>SUM(L238,L243,L257,L261,L270,L277,L278)</f>
        <v>237581</v>
      </c>
    </row>
    <row r="280" spans="1:12" ht="15.75" customHeight="1" thickTop="1" thickBot="1" x14ac:dyDescent="0.25">
      <c r="A280" s="1646" t="s">
        <v>930</v>
      </c>
      <c r="B280" s="1635">
        <v>3000</v>
      </c>
      <c r="C280" s="617"/>
      <c r="D280" s="576">
        <v>11847</v>
      </c>
      <c r="E280" s="617"/>
      <c r="F280" s="617"/>
      <c r="G280" s="617"/>
      <c r="H280" s="617"/>
      <c r="I280" s="617"/>
      <c r="J280" s="617"/>
      <c r="K280" s="1701">
        <f>D280</f>
        <v>11847</v>
      </c>
      <c r="L280" s="576">
        <v>15895</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15000</v>
      </c>
    </row>
    <row r="295" spans="1:14" ht="12.75" customHeight="1" thickTop="1" thickBot="1" x14ac:dyDescent="0.25">
      <c r="A295" s="2202" t="s">
        <v>526</v>
      </c>
      <c r="B295" s="2203"/>
      <c r="C295" s="617"/>
      <c r="D295" s="1692">
        <f>SUM(D229,D279,D280,D285)</f>
        <v>416196</v>
      </c>
      <c r="E295" s="617"/>
      <c r="F295" s="617"/>
      <c r="G295" s="617"/>
      <c r="H295" s="1692">
        <f>H293</f>
        <v>0</v>
      </c>
      <c r="I295" s="617"/>
      <c r="J295" s="617"/>
      <c r="K295" s="1692">
        <f>SUM(K229,K279,K280,K285,K293,K294)</f>
        <v>416196</v>
      </c>
      <c r="L295" s="1692">
        <f>SUM(L229,L279,L280,L285,L293,L294)</f>
        <v>496937</v>
      </c>
    </row>
    <row r="296" spans="1:14" ht="13.5" thickTop="1" x14ac:dyDescent="0.2">
      <c r="A296" s="2184" t="s">
        <v>1053</v>
      </c>
      <c r="B296" s="2185"/>
      <c r="C296" s="617"/>
      <c r="D296" s="619"/>
      <c r="E296" s="617"/>
      <c r="F296" s="617"/>
      <c r="G296" s="617"/>
      <c r="H296" s="688"/>
      <c r="I296" s="617"/>
      <c r="J296" s="617"/>
      <c r="K296" s="1706">
        <f>'Revenues 9-14'!G275-'Expenditures 15-22'!K295</f>
        <v>7075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4" t="s">
        <v>145</v>
      </c>
      <c r="B298" s="218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9" t="s">
        <v>295</v>
      </c>
      <c r="B312" s="220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5" t="s">
        <v>1053</v>
      </c>
      <c r="B313" s="219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8" t="s">
        <v>151</v>
      </c>
      <c r="B315" s="220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0" t="s">
        <v>954</v>
      </c>
      <c r="B317" s="220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97" t="s">
        <v>1053</v>
      </c>
      <c r="B343" s="219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7" t="s">
        <v>1023</v>
      </c>
      <c r="B345" s="218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84" t="s">
        <v>1053</v>
      </c>
      <c r="B368" s="2185"/>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http://schemas.microsoft.com/office/infopath/2007/PartnerControls"/>
    <ds:schemaRef ds:uri="4d435f69-8686-490b-bd6d-b153bf22ab50"/>
    <ds:schemaRef ds:uri="http://purl.org/dc/terms/"/>
    <ds:schemaRef ds:uri="http://schemas.microsoft.com/office/2006/documentManagement/types"/>
    <ds:schemaRef ds:uri="6ce3111e-7420-4802-b50a-75d4e9a0b980"/>
    <ds:schemaRef ds:uri="d21dc803-237d-4c68-8692-8d731fd29118"/>
    <ds:schemaRef ds:uri="http://purl.org/dc/dcmitype/"/>
    <ds:schemaRef ds:uri="http://purl.org/dc/elements/1.1/"/>
    <ds:schemaRef ds:uri="http://schemas.openxmlformats.org/package/2006/metadata/core-properties"/>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Sec-2 (2)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2018-09-21T14:25:49Z</cp:lastPrinted>
  <dcterms:created xsi:type="dcterms:W3CDTF">2003-10-29T19:06:34Z</dcterms:created>
  <dcterms:modified xsi:type="dcterms:W3CDTF">2018-09-27T19:16:09Z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