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2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2)" sheetId="183" r:id="rId29"/>
    <sheet name=" SEFA (3)" sheetId="184" r:id="rId30"/>
    <sheet name=" SEFA" sheetId="179" r:id="rId31"/>
    <sheet name="SF&amp;QC Sec-1" sheetId="174" r:id="rId32"/>
    <sheet name="SF&amp;QC Sec-2" sheetId="175" r:id="rId33"/>
    <sheet name="SF&amp;QC Sec-3" sheetId="176" r:id="rId34"/>
    <sheet name="SSPAF" sheetId="177" r:id="rId35"/>
  </sheets>
  <definedNames>
    <definedName name="_xlnm.Print_Area" localSheetId="30">' SEFA'!$B$1:$M$46</definedName>
    <definedName name="_xlnm.Print_Area" localSheetId="28">' SEFA (2)'!$B$1:$M$46</definedName>
    <definedName name="_xlnm.Print_Area" localSheetId="29">'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30">#REF!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30">#REF!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30">#REF!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30">#REF!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30">#REF!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9" i="3" l="1"/>
  <c r="M18" i="3"/>
  <c r="M17" i="3"/>
  <c r="I13" i="11"/>
  <c r="D13" i="11"/>
  <c r="H13" i="11"/>
  <c r="C13" i="11"/>
  <c r="J33" i="8"/>
  <c r="E27" i="8"/>
  <c r="E10" i="108" l="1"/>
  <c r="I16" i="179"/>
  <c r="F16" i="179"/>
  <c r="L25" i="184"/>
  <c r="I19" i="184"/>
  <c r="L19" i="184" s="1"/>
  <c r="F19" i="184"/>
  <c r="I22" i="183"/>
  <c r="I11" i="179" s="1"/>
  <c r="I18" i="179" s="1"/>
  <c r="I20" i="183"/>
  <c r="G20" i="183"/>
  <c r="F20" i="183"/>
  <c r="E20" i="183"/>
  <c r="F18" i="183"/>
  <c r="I16" i="183"/>
  <c r="I24" i="179" s="1"/>
  <c r="G16" i="183"/>
  <c r="F16" i="183"/>
  <c r="F22" i="183" s="1"/>
  <c r="F11" i="179" s="1"/>
  <c r="F18" i="179" s="1"/>
  <c r="E16" i="183"/>
  <c r="L22" i="184"/>
  <c r="L17" i="184"/>
  <c r="L15" i="184"/>
  <c r="L12" i="184"/>
  <c r="B4" i="184"/>
  <c r="L19" i="183"/>
  <c r="L18" i="183"/>
  <c r="L15" i="183"/>
  <c r="L14" i="183"/>
  <c r="L13" i="183"/>
  <c r="L12" i="183"/>
  <c r="B4" i="183"/>
  <c r="C27" i="3" l="1"/>
  <c r="C4" i="3"/>
  <c r="E65" i="5" l="1"/>
  <c r="H171" i="29"/>
  <c r="D39" i="3" l="1"/>
  <c r="C39" i="3"/>
  <c r="C8" i="3"/>
  <c r="C32" i="3"/>
  <c r="F75" i="29"/>
  <c r="E75" i="29"/>
  <c r="D75" i="29"/>
  <c r="C75" i="29"/>
  <c r="C107" i="5"/>
  <c r="I13" i="29"/>
  <c r="C126" i="5"/>
  <c r="C79" i="5"/>
  <c r="G182" i="29" l="1"/>
  <c r="F39" i="3"/>
  <c r="F32" i="3"/>
  <c r="D222" i="29"/>
  <c r="D280" i="29"/>
  <c r="D223" i="29"/>
  <c r="D215" i="29"/>
  <c r="G39" i="3"/>
  <c r="H39" i="3"/>
  <c r="K4"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95" i="106"/>
  <c r="K133" i="29"/>
  <c r="B7776" i="106" s="1"/>
  <c r="B7793" i="106"/>
  <c r="B7791" i="106"/>
  <c r="B7787"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18" i="179" l="1"/>
  <c r="L16" i="179"/>
  <c r="L15" i="179"/>
  <c r="L14"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1" i="184"/>
  <c r="B1"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D7762" i="106" s="1"/>
  <c r="K12" i="12"/>
  <c r="B7719" i="106" s="1"/>
  <c r="D7719" i="106" s="1"/>
  <c r="K23" i="12"/>
  <c r="K24" i="12" s="1"/>
  <c r="B7733" i="106" s="1"/>
  <c r="D7733" i="106" s="1"/>
  <c r="J12" i="12"/>
  <c r="J21" i="12"/>
  <c r="J23" i="12"/>
  <c r="B7729" i="106"/>
  <c r="D7729" i="106" s="1"/>
  <c r="B7734" i="106"/>
  <c r="B7726" i="106"/>
  <c r="D7726" i="106" s="1"/>
  <c r="D76" i="36"/>
  <c r="F162" i="34"/>
  <c r="B30" i="36"/>
  <c r="B33" i="36" s="1"/>
  <c r="B43" i="36" s="1"/>
  <c r="B56" i="36" s="1"/>
  <c r="B66" i="36" s="1"/>
  <c r="B70" i="36" s="1"/>
  <c r="B74" i="36" s="1"/>
  <c r="D73" i="36"/>
  <c r="C191" i="5"/>
  <c r="B4395" i="106" s="1"/>
  <c r="D4395" i="106" s="1"/>
  <c r="C201" i="5"/>
  <c r="B5246" i="106" s="1"/>
  <c r="D5246" i="106" s="1"/>
  <c r="C211" i="5"/>
  <c r="C216" i="5"/>
  <c r="C224" i="5"/>
  <c r="B5286" i="106" s="1"/>
  <c r="D5286" i="106" s="1"/>
  <c r="C228" i="5"/>
  <c r="C259" i="5"/>
  <c r="B7761" i="106"/>
  <c r="D7761" i="106" s="1"/>
  <c r="L127" i="29"/>
  <c r="L129" i="29" s="1"/>
  <c r="L139" i="29"/>
  <c r="L149" i="29"/>
  <c r="I7" i="145"/>
  <c r="I6" i="145"/>
  <c r="D78" i="36"/>
  <c r="K75" i="29"/>
  <c r="F52" i="34" s="1"/>
  <c r="K130" i="29"/>
  <c r="K185" i="29"/>
  <c r="K122" i="29"/>
  <c r="F15" i="145" s="1"/>
  <c r="F19" i="145" s="1"/>
  <c r="K67" i="29"/>
  <c r="G33" i="108" s="1"/>
  <c r="K64" i="29"/>
  <c r="F31" i="108" s="1"/>
  <c r="K59" i="29"/>
  <c r="D26" i="108"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K63" i="29"/>
  <c r="D1132" i="106"/>
  <c r="K68" i="29"/>
  <c r="K69" i="29"/>
  <c r="B1136" i="106" s="1"/>
  <c r="D1136" i="106" s="1"/>
  <c r="K70" i="29"/>
  <c r="B1137" i="106" s="1"/>
  <c r="D1137" i="106" s="1"/>
  <c r="D1138" i="106"/>
  <c r="K71" i="29"/>
  <c r="B1139" i="106" s="1"/>
  <c r="D1139" i="106" s="1"/>
  <c r="D1140" i="106"/>
  <c r="K73" i="29"/>
  <c r="K78" i="29"/>
  <c r="B2973" i="106" s="1"/>
  <c r="D2973" i="106" s="1"/>
  <c r="K79" i="29"/>
  <c r="K80" i="29"/>
  <c r="B2975" i="106" s="1"/>
  <c r="D2975" i="106" s="1"/>
  <c r="K81" i="29"/>
  <c r="B2976" i="106" s="1"/>
  <c r="D2976" i="106" s="1"/>
  <c r="K82" i="29"/>
  <c r="B2977" i="106" s="1"/>
  <c r="D2977" i="106" s="1"/>
  <c r="K83" i="29"/>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c r="B5122" i="106"/>
  <c r="D5122" i="106" s="1"/>
  <c r="B5123" i="106"/>
  <c r="D5123" i="106"/>
  <c r="B5124" i="106"/>
  <c r="D5124" i="106"/>
  <c r="B5126" i="106"/>
  <c r="D5126" i="106"/>
  <c r="B5127" i="106"/>
  <c r="D5127" i="106"/>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c r="B6320" i="106"/>
  <c r="D6320" i="106"/>
  <c r="B6321" i="106"/>
  <c r="D6321" i="106" s="1"/>
  <c r="B6322" i="106"/>
  <c r="D6322" i="106"/>
  <c r="B6323" i="106"/>
  <c r="D6323" i="106"/>
  <c r="B6324" i="106"/>
  <c r="D6324" i="106"/>
  <c r="B6325" i="106"/>
  <c r="D6325" i="106" s="1"/>
  <c r="B6326" i="106"/>
  <c r="D6326" i="106"/>
  <c r="B6327" i="106"/>
  <c r="D6327" i="106"/>
  <c r="B6328" i="106"/>
  <c r="D6328" i="106"/>
  <c r="B6329" i="106"/>
  <c r="D6329" i="106" s="1"/>
  <c r="B6330" i="106"/>
  <c r="D6330" i="106"/>
  <c r="B6331" i="106"/>
  <c r="D6331" i="106"/>
  <c r="B6332" i="106"/>
  <c r="D6332" i="106"/>
  <c r="B6333" i="106"/>
  <c r="D6333" i="106" s="1"/>
  <c r="B6334" i="106"/>
  <c r="D6334" i="106"/>
  <c r="B6335" i="106"/>
  <c r="D6335" i="106"/>
  <c r="B6336" i="106"/>
  <c r="D6336" i="106"/>
  <c r="B6337" i="106"/>
  <c r="D6337" i="106" s="1"/>
  <c r="B6338" i="106"/>
  <c r="D6338" i="106"/>
  <c r="B6339" i="106"/>
  <c r="D6339" i="106"/>
  <c r="B6340" i="106"/>
  <c r="D6340" i="106"/>
  <c r="B6341" i="106"/>
  <c r="D6341" i="106" s="1"/>
  <c r="B6342" i="106"/>
  <c r="D6342" i="106"/>
  <c r="B6343" i="106"/>
  <c r="D6343" i="106"/>
  <c r="B6344" i="106"/>
  <c r="D6344" i="106"/>
  <c r="B6345" i="106"/>
  <c r="D6345" i="106" s="1"/>
  <c r="B6346" i="106"/>
  <c r="D6346" i="106"/>
  <c r="B6347" i="106"/>
  <c r="D6347" i="106"/>
  <c r="B6348" i="106"/>
  <c r="D6348" i="106"/>
  <c r="B6349" i="106"/>
  <c r="D6349" i="106" s="1"/>
  <c r="B6350" i="106"/>
  <c r="D6350" i="106"/>
  <c r="B6353" i="106"/>
  <c r="D6353" i="106"/>
  <c r="B6354" i="106"/>
  <c r="D6354" i="106"/>
  <c r="B6355" i="106"/>
  <c r="D6355" i="106" s="1"/>
  <c r="B6356" i="106"/>
  <c r="D6356" i="106"/>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s="1"/>
  <c r="B6730" i="106"/>
  <c r="D6730" i="106"/>
  <c r="B6731" i="106"/>
  <c r="D6731" i="106" s="1"/>
  <c r="B6732" i="106"/>
  <c r="D6732" i="106"/>
  <c r="B6733" i="106"/>
  <c r="D6733" i="106" s="1"/>
  <c r="B6734" i="106"/>
  <c r="D6734" i="106" s="1"/>
  <c r="B6735" i="106"/>
  <c r="D6735" i="106" s="1"/>
  <c r="B6736" i="106"/>
  <c r="D6736" i="106"/>
  <c r="B6737" i="106"/>
  <c r="D6737" i="106" s="1"/>
  <c r="B6738" i="106"/>
  <c r="D6738" i="106"/>
  <c r="B6739" i="106"/>
  <c r="D6739" i="106" s="1"/>
  <c r="B6740" i="106"/>
  <c r="D6740" i="106"/>
  <c r="B6741" i="106"/>
  <c r="D6741" i="106" s="1"/>
  <c r="B6742" i="106"/>
  <c r="D6742" i="106" s="1"/>
  <c r="B6743" i="106"/>
  <c r="D6743" i="106" s="1"/>
  <c r="B6744" i="106"/>
  <c r="D6744" i="106"/>
  <c r="B6745" i="106"/>
  <c r="D6745" i="106" s="1"/>
  <c r="B6746" i="106"/>
  <c r="D6746" i="106"/>
  <c r="B6747" i="106"/>
  <c r="D6747" i="106" s="1"/>
  <c r="B6748" i="106"/>
  <c r="D6748" i="106"/>
  <c r="B6749" i="106"/>
  <c r="D6749" i="106" s="1"/>
  <c r="B6750" i="106"/>
  <c r="D6750" i="106" s="1"/>
  <c r="B6751" i="106"/>
  <c r="D6751" i="106" s="1"/>
  <c r="B6752" i="106"/>
  <c r="D6752" i="106"/>
  <c r="B6753" i="106"/>
  <c r="D6753" i="106" s="1"/>
  <c r="B6754" i="106"/>
  <c r="D6754" i="106"/>
  <c r="B6755" i="106"/>
  <c r="D6755" i="106" s="1"/>
  <c r="B6756" i="106"/>
  <c r="D6756" i="106"/>
  <c r="B6757" i="106"/>
  <c r="D6757" i="106" s="1"/>
  <c r="B6758" i="106"/>
  <c r="D6758" i="106" s="1"/>
  <c r="B6759" i="106"/>
  <c r="D6759" i="106" s="1"/>
  <c r="B6760" i="106"/>
  <c r="D6760" i="106"/>
  <c r="B6761" i="106"/>
  <c r="D6761" i="106" s="1"/>
  <c r="B6762" i="106"/>
  <c r="D6762" i="106"/>
  <c r="B6763" i="106"/>
  <c r="D6763" i="106" s="1"/>
  <c r="B6764" i="106"/>
  <c r="D6764" i="106"/>
  <c r="B6765" i="106"/>
  <c r="D6765" i="106" s="1"/>
  <c r="B6766" i="106"/>
  <c r="D6766" i="106" s="1"/>
  <c r="B6767" i="106"/>
  <c r="D6767" i="106" s="1"/>
  <c r="B6768" i="106"/>
  <c r="D6768" i="106"/>
  <c r="B6769" i="106"/>
  <c r="D6769" i="106" s="1"/>
  <c r="B6770" i="106"/>
  <c r="D6770" i="106"/>
  <c r="B6771" i="106"/>
  <c r="D6771" i="106" s="1"/>
  <c r="B6772" i="106"/>
  <c r="D6772" i="106"/>
  <c r="B6773" i="106"/>
  <c r="D6773" i="106" s="1"/>
  <c r="B6774" i="106"/>
  <c r="D6774" i="106" s="1"/>
  <c r="B6775" i="106"/>
  <c r="D6775" i="106" s="1"/>
  <c r="B6776" i="106"/>
  <c r="D6776" i="106"/>
  <c r="B6777" i="106"/>
  <c r="D6777" i="106" s="1"/>
  <c r="B6778" i="106"/>
  <c r="D6778" i="106"/>
  <c r="B6779" i="106"/>
  <c r="D6779" i="106" s="1"/>
  <c r="B6780" i="106"/>
  <c r="D6780" i="106"/>
  <c r="B6781" i="106"/>
  <c r="D6781" i="106" s="1"/>
  <c r="B6782" i="106"/>
  <c r="D6782" i="106" s="1"/>
  <c r="B6783" i="106"/>
  <c r="D6783" i="106" s="1"/>
  <c r="B6784" i="106"/>
  <c r="D6784" i="106"/>
  <c r="B6785" i="106"/>
  <c r="D6785" i="106" s="1"/>
  <c r="B6786" i="106"/>
  <c r="D6786" i="106"/>
  <c r="B6787" i="106"/>
  <c r="D6787" i="106" s="1"/>
  <c r="B6788" i="106"/>
  <c r="D6788" i="106"/>
  <c r="B6789" i="106"/>
  <c r="D6789" i="106" s="1"/>
  <c r="B6790" i="106"/>
  <c r="D6790" i="106" s="1"/>
  <c r="B6791" i="106"/>
  <c r="D6791" i="106" s="1"/>
  <c r="B6792" i="106"/>
  <c r="D6792" i="106"/>
  <c r="B6793" i="106"/>
  <c r="D6793" i="106" s="1"/>
  <c r="B6794" i="106"/>
  <c r="D6794" i="106"/>
  <c r="B6795" i="106"/>
  <c r="D6795" i="106" s="1"/>
  <c r="B6796" i="106"/>
  <c r="D6796" i="106"/>
  <c r="B6797" i="106"/>
  <c r="D6797" i="106" s="1"/>
  <c r="B6798" i="106"/>
  <c r="D6798" i="106" s="1"/>
  <c r="B6799" i="106"/>
  <c r="D6799" i="106" s="1"/>
  <c r="B6800" i="106"/>
  <c r="D6800" i="106"/>
  <c r="B6801" i="106"/>
  <c r="D6801" i="106" s="1"/>
  <c r="B6802" i="106"/>
  <c r="D6802" i="106"/>
  <c r="B6803" i="106"/>
  <c r="D6803" i="106" s="1"/>
  <c r="B6804" i="106"/>
  <c r="D6804" i="106"/>
  <c r="B6805" i="106"/>
  <c r="D6805" i="106" s="1"/>
  <c r="B6806" i="106"/>
  <c r="D6806" i="106" s="1"/>
  <c r="B6807" i="106"/>
  <c r="D6807" i="106" s="1"/>
  <c r="B6808" i="106"/>
  <c r="D6808" i="106"/>
  <c r="B6809" i="106"/>
  <c r="D6809" i="106" s="1"/>
  <c r="B6810" i="106"/>
  <c r="D6810" i="106"/>
  <c r="B6811" i="106"/>
  <c r="D6811" i="106" s="1"/>
  <c r="B6812" i="106"/>
  <c r="D6812" i="106"/>
  <c r="B6813" i="106"/>
  <c r="D6813" i="106" s="1"/>
  <c r="B6814" i="106"/>
  <c r="D6814" i="106" s="1"/>
  <c r="B6815" i="106"/>
  <c r="D6815" i="106" s="1"/>
  <c r="B6816" i="106"/>
  <c r="D6816" i="106"/>
  <c r="B6817" i="106"/>
  <c r="D6817" i="106" s="1"/>
  <c r="B6818" i="106"/>
  <c r="D6818" i="106"/>
  <c r="B6819" i="106"/>
  <c r="D6819" i="106" s="1"/>
  <c r="B6820" i="106"/>
  <c r="D6820" i="106"/>
  <c r="B6821" i="106"/>
  <c r="D6821" i="106" s="1"/>
  <c r="B6822" i="106"/>
  <c r="D6822" i="106" s="1"/>
  <c r="B6823" i="106"/>
  <c r="D6823" i="106" s="1"/>
  <c r="B6824" i="106"/>
  <c r="D6824" i="106"/>
  <c r="B6825" i="106"/>
  <c r="D6825" i="106" s="1"/>
  <c r="B6826" i="106"/>
  <c r="D6826" i="106"/>
  <c r="B6827" i="106"/>
  <c r="D6827" i="106" s="1"/>
  <c r="B6828" i="106"/>
  <c r="D6828" i="106"/>
  <c r="B6829" i="106"/>
  <c r="D6829" i="106" s="1"/>
  <c r="B6830" i="106"/>
  <c r="D6830" i="106" s="1"/>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4" i="106"/>
  <c r="D6884" i="106" s="1"/>
  <c r="K24" i="29"/>
  <c r="B6886" i="106"/>
  <c r="D6886" i="106" s="1"/>
  <c r="K25" i="29"/>
  <c r="B6887" i="106" s="1"/>
  <c r="D6887" i="106" s="1"/>
  <c r="B6888" i="106"/>
  <c r="D6888" i="106" s="1"/>
  <c r="K26" i="29"/>
  <c r="B6890" i="106"/>
  <c r="D6890" i="106" s="1"/>
  <c r="K27" i="29"/>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40" i="106"/>
  <c r="D7240"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F26" i="108"/>
  <c r="G26" i="108"/>
  <c r="E27" i="108"/>
  <c r="G27" i="108"/>
  <c r="F28" i="108"/>
  <c r="F37" i="108"/>
  <c r="G28" i="108"/>
  <c r="D31" i="108"/>
  <c r="D37" i="108"/>
  <c r="E31" i="108"/>
  <c r="G31" i="108"/>
  <c r="E33" i="108"/>
  <c r="E34" i="108"/>
  <c r="G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F50" i="34"/>
  <c r="C51" i="34"/>
  <c r="D51" i="34"/>
  <c r="C52" i="34"/>
  <c r="C53" i="34"/>
  <c r="D53" i="34"/>
  <c r="C56" i="34"/>
  <c r="C57" i="34"/>
  <c r="D57" i="34"/>
  <c r="C61" i="34"/>
  <c r="C62" i="34"/>
  <c r="C63" i="34"/>
  <c r="D63" i="34"/>
  <c r="C64" i="34"/>
  <c r="C67" i="34"/>
  <c r="D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8" i="7"/>
  <c r="B1748" i="106" s="1"/>
  <c r="D1748" i="106" s="1"/>
  <c r="B9" i="7"/>
  <c r="B10" i="7"/>
  <c r="B1749" i="106" s="1"/>
  <c r="D1749" i="106" s="1"/>
  <c r="B11" i="7"/>
  <c r="B12" i="7"/>
  <c r="B1753" i="106" s="1"/>
  <c r="D1753" i="106" s="1"/>
  <c r="B13" i="7"/>
  <c r="B3725" i="106" s="1"/>
  <c r="D3725" i="106" s="1"/>
  <c r="B14" i="7"/>
  <c r="B1754" i="106" s="1"/>
  <c r="D1754" i="106" s="1"/>
  <c r="B15" i="7"/>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B5730" i="106" s="1"/>
  <c r="D5730" i="106" s="1"/>
  <c r="H18" i="5"/>
  <c r="H109" i="5"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D131" i="5"/>
  <c r="B5369" i="106" s="1"/>
  <c r="D5369" i="106" s="1"/>
  <c r="C140" i="5"/>
  <c r="B5161" i="106"/>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C184" i="5"/>
  <c r="B5232" i="106" s="1"/>
  <c r="D5232" i="106" s="1"/>
  <c r="D184" i="5"/>
  <c r="F184" i="5"/>
  <c r="B5658" i="106"/>
  <c r="D5658" i="106" s="1"/>
  <c r="G184" i="5"/>
  <c r="B5784" i="106" s="1"/>
  <c r="D5784" i="106" s="1"/>
  <c r="H184" i="5"/>
  <c r="B5908" i="106"/>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B2633" i="106"/>
  <c r="D2633" i="106" s="1"/>
  <c r="D7" i="118"/>
  <c r="D8" i="118"/>
  <c r="D9" i="118"/>
  <c r="H14" i="118"/>
  <c r="H19" i="118"/>
  <c r="H24" i="118"/>
  <c r="D22" i="37"/>
  <c r="J22" i="37"/>
  <c r="D24" i="37"/>
  <c r="B4270" i="106" s="1"/>
  <c r="D4270" i="106" s="1"/>
  <c r="B5847" i="106"/>
  <c r="D5847" i="106" s="1"/>
  <c r="B5752" i="106"/>
  <c r="D5752" i="106" s="1"/>
  <c r="H173" i="5"/>
  <c r="B1746" i="106"/>
  <c r="D1746" i="106" s="1"/>
  <c r="H28" i="118" l="1"/>
  <c r="B1868" i="106"/>
  <c r="D1868" i="106" s="1"/>
  <c r="B1511" i="106"/>
  <c r="D1511" i="106" s="1"/>
  <c r="F72" i="34"/>
  <c r="B4363" i="106"/>
  <c r="D4363" i="106" s="1"/>
  <c r="I173" i="5"/>
  <c r="B4216" i="106" s="1"/>
  <c r="D4216" i="106" s="1"/>
  <c r="B6191" i="106"/>
  <c r="D6191" i="106" s="1"/>
  <c r="J41" i="3"/>
  <c r="D51" i="36" s="1"/>
  <c r="D13" i="7"/>
  <c r="B3726" i="106" s="1"/>
  <c r="D3726" i="106" s="1"/>
  <c r="B6891" i="106"/>
  <c r="D6891" i="106" s="1"/>
  <c r="F46" i="34"/>
  <c r="B6883" i="106"/>
  <c r="D6883" i="106" s="1"/>
  <c r="F42" i="34"/>
  <c r="B7078" i="106"/>
  <c r="D7078" i="106" s="1"/>
  <c r="F69" i="34"/>
  <c r="B1751" i="106"/>
  <c r="D1751" i="106" s="1"/>
  <c r="D9" i="7"/>
  <c r="B1767" i="106" s="1"/>
  <c r="D1767" i="106" s="1"/>
  <c r="B5878" i="106"/>
  <c r="D5878" i="106" s="1"/>
  <c r="B1126" i="106"/>
  <c r="D1126" i="106" s="1"/>
  <c r="D17" i="7"/>
  <c r="B4104" i="106" s="1"/>
  <c r="D4104" i="106" s="1"/>
  <c r="F19" i="7"/>
  <c r="B1807" i="106" s="1"/>
  <c r="D1807" i="106" s="1"/>
  <c r="H33" i="118"/>
  <c r="G14" i="4"/>
  <c r="B2609" i="106" s="1"/>
  <c r="D2609" i="106" s="1"/>
  <c r="G38" i="108"/>
  <c r="F106" i="34"/>
  <c r="E29" i="108"/>
  <c r="F131" i="34"/>
  <c r="G35" i="108"/>
  <c r="D69" i="36"/>
  <c r="B7047" i="106"/>
  <c r="D7047" i="106" s="1"/>
  <c r="L342" i="29"/>
  <c r="F37" i="34"/>
  <c r="B6995" i="106"/>
  <c r="D6995" i="106" s="1"/>
  <c r="C352" i="29"/>
  <c r="K76" i="4"/>
  <c r="B3586" i="106" s="1"/>
  <c r="D3586" i="106" s="1"/>
  <c r="E174" i="29"/>
  <c r="B1309" i="106" s="1"/>
  <c r="D1309" i="106" s="1"/>
  <c r="L13" i="11"/>
  <c r="B2060" i="106" s="1"/>
  <c r="D2060" i="106" s="1"/>
  <c r="L5" i="11"/>
  <c r="B2056" i="106" s="1"/>
  <c r="D2056" i="106" s="1"/>
  <c r="C14" i="4"/>
  <c r="B2558" i="106" s="1"/>
  <c r="D2558" i="106" s="1"/>
  <c r="F27" i="108"/>
  <c r="F41" i="108" s="1"/>
  <c r="G43" i="108" s="1"/>
  <c r="F34" i="34"/>
  <c r="B5096" i="106"/>
  <c r="D5096" i="106" s="1"/>
  <c r="D4" i="7"/>
  <c r="B1760" i="106" s="1"/>
  <c r="D1760" i="106" s="1"/>
  <c r="F77" i="4"/>
  <c r="B3255" i="106" s="1"/>
  <c r="D3255" i="106" s="1"/>
  <c r="F64" i="34"/>
  <c r="I210" i="29"/>
  <c r="B7071" i="106" s="1"/>
  <c r="D7071" i="106" s="1"/>
  <c r="G109" i="5"/>
  <c r="B6024" i="106" s="1"/>
  <c r="D6024" i="106" s="1"/>
  <c r="C342" i="29"/>
  <c r="B7216" i="106" s="1"/>
  <c r="D7216" i="106" s="1"/>
  <c r="D12" i="7"/>
  <c r="B1769" i="106" s="1"/>
  <c r="D1769" i="106" s="1"/>
  <c r="B6025" i="106"/>
  <c r="D6025" i="106" s="1"/>
  <c r="H4" i="4"/>
  <c r="B2655" i="106" s="1"/>
  <c r="D2655" i="106" s="1"/>
  <c r="B279" i="106"/>
  <c r="D279" i="106" s="1"/>
  <c r="D54" i="36"/>
  <c r="B1053" i="106"/>
  <c r="D1053" i="106" s="1"/>
  <c r="H112" i="29"/>
  <c r="B7018" i="106" s="1"/>
  <c r="D7018" i="106" s="1"/>
  <c r="F14" i="4"/>
  <c r="B2597" i="106" s="1"/>
  <c r="D2597" i="106" s="1"/>
  <c r="B2836" i="106"/>
  <c r="D2836" i="106" s="1"/>
  <c r="B5906" i="106"/>
  <c r="D5906" i="106" s="1"/>
  <c r="H6" i="4"/>
  <c r="B2656" i="106" s="1"/>
  <c r="D2656" i="106" s="1"/>
  <c r="F56" i="34"/>
  <c r="B2805" i="106"/>
  <c r="D2805" i="106" s="1"/>
  <c r="H29" i="118"/>
  <c r="K28" i="118" s="1"/>
  <c r="O27" i="118" s="1"/>
  <c r="O29" i="118" s="1"/>
  <c r="D11" i="37"/>
  <c r="D31" i="36"/>
  <c r="F49" i="34"/>
  <c r="F111" i="34"/>
  <c r="G172" i="5"/>
  <c r="B1756" i="106"/>
  <c r="D1756" i="106" s="1"/>
  <c r="D15" i="7"/>
  <c r="B1772" i="106" s="1"/>
  <c r="D1772" i="106" s="1"/>
  <c r="B1747" i="106"/>
  <c r="D1747" i="106" s="1"/>
  <c r="D7" i="7"/>
  <c r="B1763" i="106" s="1"/>
  <c r="D1763" i="106" s="1"/>
  <c r="F67" i="34"/>
  <c r="F62" i="34"/>
  <c r="J210" i="29"/>
  <c r="B7072" i="106" s="1"/>
  <c r="D7072" i="106" s="1"/>
  <c r="B3170" i="106"/>
  <c r="D3170" i="106" s="1"/>
  <c r="H76" i="4"/>
  <c r="B3298" i="106" s="1"/>
  <c r="D3298" i="106" s="1"/>
  <c r="F136" i="34"/>
  <c r="J274" i="5"/>
  <c r="B7054" i="106" s="1"/>
  <c r="D7054" i="106" s="1"/>
  <c r="B7041" i="106"/>
  <c r="D7041" i="106" s="1"/>
  <c r="B1130" i="106"/>
  <c r="D1130" i="106" s="1"/>
  <c r="G30" i="108"/>
  <c r="E30" i="108"/>
  <c r="B5518" i="106"/>
  <c r="D5518" i="106" s="1"/>
  <c r="E109" i="5"/>
  <c r="E4" i="4" s="1"/>
  <c r="B2630" i="106" s="1"/>
  <c r="D2630" i="106" s="1"/>
  <c r="B6858" i="106"/>
  <c r="D6858" i="106" s="1"/>
  <c r="F36" i="34"/>
  <c r="B6889" i="106"/>
  <c r="D6889" i="106" s="1"/>
  <c r="F45" i="34"/>
  <c r="G39" i="108"/>
  <c r="B5425" i="106"/>
  <c r="D5425" i="106" s="1"/>
  <c r="F127" i="34"/>
  <c r="B3621" i="106"/>
  <c r="D3621" i="106" s="1"/>
  <c r="C367" i="29"/>
  <c r="F128" i="34"/>
  <c r="D7245" i="106"/>
  <c r="K350" i="29"/>
  <c r="B1752" i="106"/>
  <c r="D1752" i="106" s="1"/>
  <c r="D11" i="7"/>
  <c r="B1768" i="106" s="1"/>
  <c r="D1768" i="106" s="1"/>
  <c r="B3565" i="106"/>
  <c r="D3565" i="106" s="1"/>
  <c r="K41" i="3"/>
  <c r="B1142" i="106"/>
  <c r="D1142" i="106" s="1"/>
  <c r="E38" i="108"/>
  <c r="B5147" i="106"/>
  <c r="D5147" i="106" s="1"/>
  <c r="C172" i="5"/>
  <c r="B1129" i="106"/>
  <c r="D1129" i="106" s="1"/>
  <c r="G29" i="108"/>
  <c r="B6881" i="106"/>
  <c r="D6881" i="106" s="1"/>
  <c r="F41" i="34"/>
  <c r="B4172" i="106"/>
  <c r="D4172" i="106" s="1"/>
  <c r="N22" i="3"/>
  <c r="B283" i="106" s="1"/>
  <c r="D283" i="106" s="1"/>
  <c r="B1377" i="106"/>
  <c r="D1377" i="106" s="1"/>
  <c r="K184" i="29"/>
  <c r="F13" i="4" s="1"/>
  <c r="B2596" i="106" s="1"/>
  <c r="D2596" i="106" s="1"/>
  <c r="E13" i="145"/>
  <c r="G13" i="145" s="1"/>
  <c r="B2724" i="106"/>
  <c r="D2724" i="106" s="1"/>
  <c r="I274" i="5"/>
  <c r="B4951" i="106"/>
  <c r="D4951" i="106" s="1"/>
  <c r="K274" i="5"/>
  <c r="K7" i="4" s="1"/>
  <c r="B3718" i="106" s="1"/>
  <c r="D3718" i="106" s="1"/>
  <c r="C109" i="5"/>
  <c r="B5121" i="106" s="1"/>
  <c r="D5121" i="106" s="1"/>
  <c r="F21" i="8"/>
  <c r="B3689" i="106"/>
  <c r="D3689" i="106" s="1"/>
  <c r="D109" i="5"/>
  <c r="D14" i="4"/>
  <c r="B2570" i="106" s="1"/>
  <c r="D2570" i="106" s="1"/>
  <c r="I342" i="29"/>
  <c r="B7222" i="106" s="1"/>
  <c r="D7222" i="106" s="1"/>
  <c r="H365" i="29"/>
  <c r="I24" i="12"/>
  <c r="D5" i="7"/>
  <c r="B1761" i="106" s="1"/>
  <c r="D1761" i="106" s="1"/>
  <c r="K173" i="5"/>
  <c r="K6" i="4" s="1"/>
  <c r="B3570" i="106" s="1"/>
  <c r="D3570" i="106" s="1"/>
  <c r="F66" i="34"/>
  <c r="D36" i="108"/>
  <c r="F36" i="108"/>
  <c r="G352" i="29"/>
  <c r="K285" i="29"/>
  <c r="B3724" i="106" s="1"/>
  <c r="D3724" i="106" s="1"/>
  <c r="B1329" i="106"/>
  <c r="D1329" i="106" s="1"/>
  <c r="F61" i="34"/>
  <c r="E15" i="145"/>
  <c r="G15" i="145" s="1"/>
  <c r="G210" i="29"/>
  <c r="B1124" i="106"/>
  <c r="D1124" i="106" s="1"/>
  <c r="G5" i="4"/>
  <c r="B3409" i="106" s="1"/>
  <c r="D3409" i="106" s="1"/>
  <c r="F35" i="34"/>
  <c r="E28" i="108"/>
  <c r="H342" i="29"/>
  <c r="B7221" i="106" s="1"/>
  <c r="D7221" i="106" s="1"/>
  <c r="F130" i="34"/>
  <c r="B5304" i="106"/>
  <c r="D5304" i="106" s="1"/>
  <c r="K26" i="12"/>
  <c r="B7743" i="106" s="1"/>
  <c r="D7743" i="106" s="1"/>
  <c r="F172" i="5"/>
  <c r="B5644" i="106" s="1"/>
  <c r="D5644" i="106" s="1"/>
  <c r="L312" i="29"/>
  <c r="B1410" i="106"/>
  <c r="D1410"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2657" i="106"/>
  <c r="D2657" i="106" s="1"/>
  <c r="B7270" i="106"/>
  <c r="B5914" i="106" l="1"/>
  <c r="D5914" i="106" s="1"/>
  <c r="D7250" i="106"/>
  <c r="H275" i="5"/>
  <c r="G4" i="4"/>
  <c r="B2603" i="106" s="1"/>
  <c r="D2603" i="106" s="1"/>
  <c r="H77" i="4"/>
  <c r="B3299" i="106" s="1"/>
  <c r="D3299" i="106" s="1"/>
  <c r="I6" i="4"/>
  <c r="B5011" i="106" s="1"/>
  <c r="D5011" i="106" s="1"/>
  <c r="D274" i="5"/>
  <c r="D7" i="4" s="1"/>
  <c r="L16" i="11"/>
  <c r="B2061" i="106" s="1"/>
  <c r="D2061" i="106" s="1"/>
  <c r="B1317" i="106"/>
  <c r="D1317" i="106" s="1"/>
  <c r="B5527" i="106"/>
  <c r="D5527" i="106" s="1"/>
  <c r="D44" i="36"/>
  <c r="C4" i="4"/>
  <c r="B2551" i="106" s="1"/>
  <c r="D2551" i="106" s="1"/>
  <c r="B1381" i="106"/>
  <c r="D1381" i="106" s="1"/>
  <c r="K342" i="29"/>
  <c r="F13" i="34" s="1"/>
  <c r="D7254" i="106"/>
  <c r="I26" i="12"/>
  <c r="B7741" i="106" s="1"/>
  <c r="D7741" i="106" s="1"/>
  <c r="B1996" i="106"/>
  <c r="D1996" i="106" s="1"/>
  <c r="K365" i="29"/>
  <c r="D7255" i="106"/>
  <c r="B7215" i="106"/>
  <c r="D7215" i="106" s="1"/>
  <c r="B6022" i="106"/>
  <c r="D6022" i="106" s="1"/>
  <c r="N23" i="3"/>
  <c r="B284" i="106" s="1"/>
  <c r="D284" i="106" s="1"/>
  <c r="F73" i="34"/>
  <c r="G15" i="4"/>
  <c r="B6032" i="106" s="1"/>
  <c r="D6032" i="106" s="1"/>
  <c r="H367" i="29"/>
  <c r="B3660" i="106" s="1"/>
  <c r="D3660" i="106" s="1"/>
  <c r="B7242" i="106"/>
  <c r="D7242" i="106" s="1"/>
  <c r="B3568" i="106"/>
  <c r="D3568" i="106" s="1"/>
  <c r="D52" i="36"/>
  <c r="B1879" i="106"/>
  <c r="D1879" i="106" s="1"/>
  <c r="H22" i="37"/>
  <c r="F173" i="5"/>
  <c r="D7256" i="106"/>
  <c r="D7251" i="106"/>
  <c r="C114" i="29"/>
  <c r="B757" i="106" s="1"/>
  <c r="D757" i="106" s="1"/>
  <c r="B3649" i="106"/>
  <c r="D3649" i="106" s="1"/>
  <c r="G367" i="29"/>
  <c r="B3650" i="106" s="1"/>
  <c r="D3650" i="106" s="1"/>
  <c r="F274" i="5"/>
  <c r="B5719" i="106" s="1"/>
  <c r="D5719" i="106" s="1"/>
  <c r="D19" i="7"/>
  <c r="B1775" i="106" s="1"/>
  <c r="D1775" i="106" s="1"/>
  <c r="J16" i="4"/>
  <c r="B6226" i="106" s="1"/>
  <c r="D6226" i="106" s="1"/>
  <c r="H8" i="4"/>
  <c r="B2658" i="106" s="1"/>
  <c r="D2658" i="106" s="1"/>
  <c r="D7253" i="106"/>
  <c r="B5356" i="106"/>
  <c r="D5356" i="106" s="1"/>
  <c r="D4" i="4"/>
  <c r="B2564" i="106" s="1"/>
  <c r="D2564" i="106" s="1"/>
  <c r="G173" i="5"/>
  <c r="B5770" i="106"/>
  <c r="D5770" i="106" s="1"/>
  <c r="D7252" i="106"/>
  <c r="L114" i="29"/>
  <c r="B6014" i="106"/>
  <c r="D6014" i="106" s="1"/>
  <c r="B1365" i="106"/>
  <c r="D1365" i="106" s="1"/>
  <c r="F65" i="34"/>
  <c r="B5214" i="106"/>
  <c r="D5214" i="106" s="1"/>
  <c r="C173" i="5"/>
  <c r="B3670" i="106"/>
  <c r="D3670" i="106" s="1"/>
  <c r="K352"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B7298" i="106"/>
  <c r="B7299" i="106"/>
  <c r="B5507" i="106" l="1"/>
  <c r="D5507" i="106" s="1"/>
  <c r="B1145" i="106"/>
  <c r="D1145" i="106" s="1"/>
  <c r="H10" i="4"/>
  <c r="B4127" i="106" s="1"/>
  <c r="D4127" i="106" s="1"/>
  <c r="B7224" i="106"/>
  <c r="D7224" i="106" s="1"/>
  <c r="J17" i="4"/>
  <c r="G41" i="108"/>
  <c r="G44" i="108" s="1"/>
  <c r="G45" i="108" s="1"/>
  <c r="B5778" i="106"/>
  <c r="D5778" i="106" s="1"/>
  <c r="G6" i="4"/>
  <c r="B2604" i="106" s="1"/>
  <c r="D2604" i="106" s="1"/>
  <c r="J8" i="4"/>
  <c r="B6223" i="106" s="1"/>
  <c r="D6223" i="106" s="1"/>
  <c r="E41" i="108"/>
  <c r="E44" i="108" s="1"/>
  <c r="E45" i="108" s="1"/>
  <c r="K367" i="29"/>
  <c r="B3678" i="106" s="1"/>
  <c r="D3678" i="106" s="1"/>
  <c r="K13" i="4"/>
  <c r="B3572" i="106" s="1"/>
  <c r="D3572" i="106" s="1"/>
  <c r="B3672" i="106"/>
  <c r="D3672" i="106" s="1"/>
  <c r="B5223" i="106"/>
  <c r="D5223" i="106" s="1"/>
  <c r="C6" i="4"/>
  <c r="B2553" i="106" s="1"/>
  <c r="D2553" i="106" s="1"/>
  <c r="F24" i="37"/>
  <c r="F275" i="5"/>
  <c r="B5720" i="106" s="1"/>
  <c r="D5720" i="106" s="1"/>
  <c r="B5653" i="106"/>
  <c r="D5653" i="106" s="1"/>
  <c r="F6"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J20" i="4" l="1"/>
  <c r="J10" i="4"/>
  <c r="B6225" i="106" s="1"/>
  <c r="D6225" i="106" s="1"/>
  <c r="F76" i="34"/>
  <c r="B2593" i="106"/>
  <c r="D2593" i="106" s="1"/>
  <c r="F8" i="4"/>
  <c r="D10" i="171"/>
  <c r="D19" i="171" s="1"/>
  <c r="D32" i="171" s="1"/>
  <c r="D49" i="171" s="1"/>
  <c r="K17" i="4"/>
  <c r="K20" i="4"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K19" i="4"/>
  <c r="B4144" i="106" s="1"/>
  <c r="D4144" i="106" s="1"/>
  <c r="B3575" i="106"/>
  <c r="D3575" i="106" s="1"/>
  <c r="F10" i="4"/>
  <c r="B4125" i="106" s="1"/>
  <c r="D4125"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F8" i="146"/>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<sst xmlns="http://schemas.openxmlformats.org/spreadsheetml/2006/main" count="5255" uniqueCount="2180">
  <si>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</si>
  <si>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</si>
  <si>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</si>
  <si>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</si>
  <si>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</si>
  <si>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</si>
  <si>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</si>
  <si>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</si>
  <si>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</si>
  <si>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</si>
  <si>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</si>
  <si>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</si>
  <si>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</si>
  <si>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</si>
  <si>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</si>
  <si>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</si>
  <si>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</si>
  <si>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</si>
  <si>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</si>
  <si>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</si>
  <si>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</si>
  <si>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</si>
  <si>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</si>
  <si>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</si>
  <si>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</si>
  <si>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</si>
  <si>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</si>
  <si>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</si>
  <si>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</si>
  <si>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</si>
  <si>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</si>
  <si>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</si>
  <si>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</si>
  <si>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</si>
  <si>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</si>
  <si>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</si>
  <si>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</si>
  <si>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</si>
  <si>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</si>
  <si>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</si>
  <si>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</si>
  <si>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</si>
  <si>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</si>
  <si>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</si>
  <si>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</si>
  <si>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</si>
  <si>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</si>
  <si>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</si>
  <si>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</si>
  <si>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</si>
  <si>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</si>
  <si>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</si>
  <si>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</si>
  <si>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</si>
  <si>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</si>
  <si>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</si>
  <si>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</si>
  <si>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</si>
  <si>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</si>
  <si>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</si>
  <si>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</si>
  <si>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</si>
  <si>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</si>
  <si>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</si>
  <si>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</si>
  <si>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</si>
  <si>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</si>
  <si>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</si>
  <si>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</si>
  <si>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</si>
  <si>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</si>
  <si>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</si>
  <si>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</si>
  <si>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</si>
  <si>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</si>
  <si>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</si>
  <si>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</si>
  <si>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</si>
  <si>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</si>
  <si>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</si>
  <si>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</si>
  <si>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</si>
  <si>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</si>
  <si>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</si>
  <si>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</si>
  <si>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</si>
  <si>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</si>
  <si>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</si>
  <si>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</si>
  <si>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</si>
  <si>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</si>
  <si>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</si>
  <si>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</si>
  <si>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</si>
  <si>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</si>
  <si>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</si>
  <si>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</si>
  <si>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</si>
  <si>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</si>
  <si>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</si>
  <si>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</si>
  <si>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</si>
  <si>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</si>
  <si>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</si>
  <si>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</si>
  <si>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</si>
  <si>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</si>
  <si>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</si>
  <si>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</si>
  <si>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</si>
  <si>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</si>
  <si>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</si>
  <si>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</si>
  <si>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</si>
  <si>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</si>
  <si>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</si>
  <si>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</si>
  <si>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</si>
  <si>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</si>
  <si>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</si>
  <si>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</si>
  <si>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</si>
  <si>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</si>
  <si>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</si>
  <si>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</si>
  <si>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</si>
  <si>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</si>
  <si>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</si>
  <si>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</si>
  <si>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</si>
  <si>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</si>
  <si>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</si>
  <si>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</si>
  <si>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</si>
  <si>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</si>
  <si>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</si>
  <si>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</si>
  <si>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</si>
  <si>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</si>
  <si>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</si>
  <si>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</si>
  <si>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</si>
  <si>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</si>
  <si>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</si>
  <si>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</si>
  <si>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</si>
  <si>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</si>
  <si>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</si>
  <si>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</si>
  <si>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</si>
  <si>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</si>
  <si>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</si>
  <si>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</si>
  <si>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</si>
  <si>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</si>
  <si>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</si>
  <si>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</si>
  <si>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</si>
  <si>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</si>
  <si>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</si>
  <si>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</si>
  <si>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</si>
  <si>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</si>
  <si>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</si>
  <si>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</si>
  <si>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</si>
  <si>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</si>
  <si>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</si>
  <si>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</si>
  <si>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</si>
  <si>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</si>
  <si>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</si>
  <si>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</si>
  <si>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</si>
  <si>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</si>
  <si>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</si>
  <si>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</si>
  <si>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</si>
  <si>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</si>
  <si>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</si>
  <si>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</si>
  <si>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</si>
  <si>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</si>
  <si>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</si>
  <si>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</si>
  <si>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</si>
  <si>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</si>
  <si>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</si>
  <si>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</si>
  <si>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</si>
  <si>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</si>
  <si>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</si>
  <si>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</si>
  <si>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</si>
  <si>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</si>
  <si>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</si>
  <si>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</si>
  <si>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</si>
  <si>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</si>
  <si>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</si>
  <si>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</si>
  <si>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</si>
  <si>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</si>
  <si>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</si>
  <si>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</si>
  <si>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</si>
  <si>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</si>
  <si>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</si>
  <si>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</si>
  <si>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</si>
  <si>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</si>
  <si>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</si>
  <si>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</si>
  <si>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</si>
  <si>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</si>
  <si>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</si>
  <si>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</si>
  <si>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</si>
  <si>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</si>
  <si>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</si>
  <si>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</si>
  <si>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</si>
  <si>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</si>
  <si>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</si>
  <si>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</si>
  <si>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</si>
  <si>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</si>
  <si>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</si>
  <si>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</si>
  <si>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</si>
  <si>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</si>
  <si>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</si>
  <si>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</si>
  <si>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</si>
  <si>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</si>
  <si>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</si>
  <si>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</si>
  <si>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</si>
  <si>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</si>
  <si>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</si>
  <si>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</si>
  <si>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</si>
  <si>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</si>
  <si>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</si>
  <si>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</si>
  <si>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</si>
  <si>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</si>
  <si>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</si>
  <si>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</si>
  <si>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</si>
  <si>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</si>
  <si>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</si>
  <si>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</si>
  <si>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</si>
  <si>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</si>
  <si>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</si>
  <si>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</si>
  <si>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</si>
  <si>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</si>
  <si>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</si>
  <si>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</si>
  <si>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</si>
  <si>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</si>
  <si>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</si>
  <si>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</si>
  <si>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</si>
  <si>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</si>
  <si>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</si>
  <si>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</si>
  <si>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</si>
  <si>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</si>
  <si>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</si>
  <si>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</si>
  <si>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</si>
  <si>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</si>
  <si>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</si>
  <si>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</si>
  <si>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</si>
  <si>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</si>
  <si>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</si>
  <si>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</si>
  <si>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</si>
  <si>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</si>
  <si>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</si>
  <si>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</si>
  <si>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</si>
  <si>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</si>
  <si>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</si>
  <si>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</si>
  <si>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</si>
  <si>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</si>
  <si>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</si>
  <si>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</si>
  <si>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</si>
  <si>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</si>
  <si>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</si>
  <si>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</si>
  <si>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</si>
  <si>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</si>
  <si>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</si>
  <si>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</si>
  <si>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</si>
  <si>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</si>
  <si>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</si>
  <si>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</si>
  <si>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</si>
  <si>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</si>
  <si>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</si>
  <si>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</si>
  <si>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</si>
  <si>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</si>
  <si>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</si>
  <si>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</si>
  <si>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</si>
  <si>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</si>
  <si>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</si>
  <si>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</si>
  <si>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</si>
  <si>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</si>
  <si>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</si>
  <si>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</si>
  <si>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</si>
  <si>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</si>
  <si>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</si>
  <si>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</si>
  <si>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</si>
  <si>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</si>
  <si>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</si>
  <si>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</si>
  <si>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</si>
  <si>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</si>
  <si>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</si>
  <si>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</si>
  <si>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</si>
  <si>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</si>
  <si>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</si>
  <si>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</si>
  <si>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</si>
  <si>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</si>
  <si>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</si>
  <si>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</si>
  <si>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</si>
  <si>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</si>
  <si>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</si>
  <si>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</si>
  <si>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</si>
  <si>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</si>
  <si>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</si>
  <si>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</si>
  <si>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</si>
  <si>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</si>
  <si>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</si>
  <si>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</si>
  <si>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</si>
  <si>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</si>
  <si>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</si>
  <si>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</si>
  <si>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</si>
  <si>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</si>
  <si>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</si>
  <si>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</si>
  <si>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</si>
  <si>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</si>
  <si>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</si>
  <si>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</si>
  <si>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</si>
  <si>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</si>
  <si>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</si>
  <si>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</si>
  <si>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</si>
  <si>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</si>
  <si>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</si>
  <si>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</si>
  <si>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</si>
  <si>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</si>
  <si>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</si>
  <si>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</si>
  <si>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</si>
  <si>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</si>
  <si>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</si>
  <si>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</si>
  <si>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</si>
  <si>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</si>
  <si>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</si>
  <si>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</si>
  <si>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</si>
  <si>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</si>
  <si>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</si>
  <si>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</si>
  <si>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</si>
  <si>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</si>
  <si>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</si>
  <si>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</si>
  <si>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</si>
  <si>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</si>
  <si>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</si>
  <si>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</si>
  <si>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</si>
  <si>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</si>
  <si>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</si>
  <si>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</si>
  <si>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</si>
  <si>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</si>
  <si>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</si>
  <si>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</si>
  <si>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</si>
  <si>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</si>
  <si>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</si>
  <si>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</si>
  <si>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</si>
  <si>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</si>
  <si>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</si>
  <si>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</si>
  <si>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</si>
  <si>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</si>
  <si>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</si>
  <si>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</si>
  <si>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</si>
  <si>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</si>
  <si>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</si>
  <si>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</si>
  <si>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</si>
  <si>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</si>
  <si>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</si>
  <si>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</si>
  <si>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</si>
  <si>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</si>
  <si>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</si>
  <si>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</si>
  <si>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</si>
  <si>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</si>
  <si>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</si>
  <si>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</si>
  <si>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</si>
  <si>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</si>
  <si>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</si>
  <si>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</si>
  <si>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</si>
  <si>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</si>
  <si>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</si>
  <si>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</si>
  <si>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</si>
  <si>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</si>
  <si>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</si>
  <si>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</si>
  <si>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</si>
  <si>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</si>
  <si>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</si>
  <si>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</si>
  <si>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</si>
  <si>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</si>
  <si>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</si>
  <si>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</si>
  <si>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</si>
  <si>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</si>
  <si>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</si>
  <si>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</si>
  <si>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</si>
  <si>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</si>
  <si>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</si>
  <si>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</si>
  <si>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</si>
  <si>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</si>
  <si>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</si>
  <si>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</si>
  <si>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</si>
  <si>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</si>
  <si>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</si>
  <si>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</si>
  <si>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</si>
  <si>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</si>
  <si>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</si>
  <si>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</si>
  <si>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</si>
  <si>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</si>
  <si>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</si>
  <si>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</si>
  <si>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</si>
  <si>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</si>
  <si>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</si>
  <si>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</si>
  <si>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</si>
  <si>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</si>
  <si>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</si>
  <si>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</si>
  <si>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</si>
  <si>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</si>
  <si>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</si>
  <si>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</si>
  <si>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</si>
  <si>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</si>
  <si>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</si>
  <si>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</si>
  <si>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</si>
  <si>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</si>
  <si>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</si>
  <si>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</si>
  <si>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</si>
  <si>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</si>
  <si>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</si>
  <si>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</si>
  <si>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</si>
  <si>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</si>
  <si>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</si>
  <si>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</si>
  <si>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</si>
  <si>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</si>
  <si>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</si>
  <si>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</si>
  <si>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</si>
  <si>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</si>
  <si>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</si>
  <si>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</si>
  <si>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</si>
  <si>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</si>
  <si>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</si>
  <si>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</si>
  <si>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</si>
  <si>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</si>
  <si>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</si>
  <si>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</si>
  <si>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</si>
  <si>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</si>
  <si>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</si>
  <si>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</si>
  <si>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</si>
  <si>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</si>
  <si>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</si>
  <si>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</si>
  <si>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</si>
  <si>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</si>
  <si>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</si>
  <si>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</si>
  <si>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</si>
  <si>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</si>
  <si>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</si>
  <si>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</si>
  <si>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</si>
  <si>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</si>
  <si>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</si>
  <si>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</si>
  <si>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</si>
  <si>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</si>
  <si>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</si>
  <si>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</si>
  <si>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</si>
  <si>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</si>
  <si>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</si>
  <si>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</si>
  <si>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</si>
  <si>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</si>
  <si>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</si>
  <si>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</si>
  <si>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</si>
  <si>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</si>
  <si>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</si>
  <si>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</si>
  <si>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</si>
  <si>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</si>
  <si>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</si>
  <si>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</si>
  <si>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</si>
  <si>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</si>
  <si>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</si>
  <si>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</si>
  <si>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</si>
  <si>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</si>
  <si>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</si>
  <si>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</si>
  <si>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</si>
  <si>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</si>
  <si>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</si>
  <si>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</si>
  <si>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</si>
  <si>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</si>
  <si>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</si>
  <si>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</si>
  <si>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</si>
  <si>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</si>
  <si>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</si>
  <si>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</si>
  <si>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</si>
  <si>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</si>
  <si>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</si>
  <si>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</si>
  <si>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</si>
  <si>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</si>
  <si>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</si>
  <si>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</si>
  <si>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</si>
  <si>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</si>
  <si>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</si>
  <si>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</si>
  <si>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</si>
  <si>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</si>
  <si>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</si>
  <si>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</si>
  <si>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</si>
  <si>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</si>
  <si>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</si>
  <si>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</si>
  <si>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</si>
  <si>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</si>
  <si>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</si>
  <si>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</si>
  <si>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</si>
  <si>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</si>
  <si>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</si>
  <si>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</si>
  <si>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</si>
  <si>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</si>
  <si>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</si>
  <si>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</si>
  <si>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</si>
  <si>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</si>
  <si>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</si>
  <si>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</si>
  <si>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</si>
  <si>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</si>
  <si>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</si>
  <si>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</si>
  <si>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</si>
  <si>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</si>
  <si>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</si>
  <si>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</si>
  <si>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</si>
  <si>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</si>
  <si>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</si>
  <si>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</si>
  <si>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</si>
  <si>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</si>
  <si>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</si>
  <si>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</si>
  <si>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</si>
  <si>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</si>
  <si>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</si>
  <si>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</si>
  <si>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</si>
  <si>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</si>
  <si>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</si>
  <si>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</si>
  <si>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</si>
  <si>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</si>
  <si>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</si>
  <si>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</si>
  <si>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</si>
  <si>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</si>
  <si>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</si>
  <si>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</si>
  <si>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</si>
  <si>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</si>
  <si>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</si>
  <si>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</si>
  <si>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</si>
  <si>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</si>
  <si>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</si>
  <si>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</si>
  <si>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</si>
  <si>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</si>
  <si>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</si>
  <si>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</si>
  <si>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</si>
  <si>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</si>
  <si>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</si>
  <si>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</si>
  <si>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</si>
  <si>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</si>
  <si>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</si>
  <si>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</si>
  <si>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</si>
  <si>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</si>
  <si>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</si>
  <si>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</si>
  <si>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</si>
  <si>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</si>
  <si>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</si>
  <si>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</si>
  <si>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</si>
  <si>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</si>
  <si>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</si>
  <si>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</si>
  <si>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</si>
  <si>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</si>
  <si>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</si>
  <si>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</si>
  <si>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</si>
  <si>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</si>
  <si>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</si>
  <si>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</si>
  <si>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</si>
  <si>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</si>
  <si>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</si>
  <si>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</si>
  <si>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</si>
  <si>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</si>
  <si>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</si>
  <si>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</si>
  <si>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</si>
  <si>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</si>
  <si>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</si>
  <si>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</si>
  <si>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</si>
  <si>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</si>
  <si>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</si>
  <si>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</si>
  <si>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</si>
  <si>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</si>
  <si>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</si>
  <si>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</si>
  <si>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</si>
  <si>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</si>
  <si>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</si>
  <si>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</si>
  <si>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</si>
  <si>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</si>
  <si>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</si>
  <si>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</si>
  <si>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</si>
  <si>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</si>
  <si>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</si>
  <si>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</si>
  <si>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</si>
  <si>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</si>
  <si>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</si>
  <si>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</si>
  <si>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</si>
  <si>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</si>
  <si>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</si>
  <si>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</si>
  <si>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</si>
  <si>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</si>
  <si>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</si>
  <si>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</si>
  <si>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</si>
  <si>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</si>
  <si>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</si>
  <si>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</si>
  <si>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</si>
  <si>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</si>
  <si>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</si>
  <si>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</si>
  <si>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</si>
  <si>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</si>
  <si>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</si>
  <si>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</si>
  <si>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</si>
  <si>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</si>
  <si>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</si>
  <si>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</si>
  <si>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</si>
  <si>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</si>
  <si>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</si>
  <si>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</si>
  <si>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</si>
  <si>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</si>
  <si>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</si>
  <si>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</si>
  <si>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</si>
  <si>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</si>
  <si>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</si>
  <si>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</si>
  <si>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</si>
  <si>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</si>
  <si>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</si>
  <si>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</si>
  <si>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</si>
  <si>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</si>
  <si>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</si>
  <si>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</si>
  <si>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</si>
  <si>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</si>
  <si>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</si>
  <si>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</si>
  <si>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</si>
  <si>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</si>
  <si>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</si>
  <si>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</si>
  <si>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</si>
  <si>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</si>
  <si>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</si>
  <si>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</si>
  <si>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</si>
  <si>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</si>
  <si>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</si>
  <si>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</si>
  <si>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</si>
  <si>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</si>
  <si>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</si>
  <si>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</si>
  <si>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</si>
  <si>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</si>
  <si>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</si>
  <si>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</si>
  <si>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</si>
  <si>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</si>
  <si>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</si>
  <si>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</si>
  <si>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</si>
  <si>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</si>
  <si>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</si>
  <si>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</si>
  <si>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</si>
  <si>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</si>
  <si>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</si>
  <si>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</si>
  <si>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</si>
  <si>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</si>
  <si>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</si>
  <si>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</si>
  <si>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</si>
  <si>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</si>
  <si>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</si>
  <si>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</si>
  <si>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</si>
  <si>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</si>
  <si>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</si>
  <si>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</si>
  <si>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</si>
  <si>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</si>
  <si>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</si>
  <si>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</si>
  <si>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</si>
  <si>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</si>
  <si>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</si>
  <si>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</si>
  <si>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</si>
  <si>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</si>
  <si>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</si>
  <si>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</si>
  <si>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</si>
  <si>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</si>
  <si>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</si>
  <si>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</si>
  <si>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</si>
  <si>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</si>
  <si>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</si>
  <si>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</si>
  <si>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</si>
  <si>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</si>
  <si>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</si>
  <si>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</si>
  <si>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</si>
  <si>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</si>
  <si>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</si>
  <si>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</si>
  <si>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</si>
  <si>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</si>
  <si>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</si>
  <si>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</si>
  <si>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</si>
  <si>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</si>
  <si>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</si>
  <si>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</si>
  <si>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</si>
  <si>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</si>
  <si>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</si>
  <si>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</si>
  <si>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</si>
  <si>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</si>
  <si>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</si>
  <si>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</si>
  <si>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</si>
  <si>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</si>
  <si>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</si>
  <si>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</si>
  <si>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</si>
  <si>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</si>
  <si>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</si>
  <si>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</si>
  <si>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</si>
  <si>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</si>
  <si>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</si>
  <si>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</si>
  <si>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</si>
  <si>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</si>
  <si>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</si>
  <si>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</si>
  <si>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</si>
  <si>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</si>
  <si>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</si>
  <si>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</si>
  <si>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</si>
  <si>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</si>
  <si>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</si>
  <si>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</si>
  <si>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</si>
  <si>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</si>
  <si>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</si>
  <si>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</si>
  <si>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</si>
  <si>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</si>
  <si>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</si>
  <si>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</si>
  <si>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</si>
  <si>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</si>
  <si>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</si>
  <si>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</si>
  <si>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</si>
  <si>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</si>
  <si>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</si>
  <si>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</si>
  <si>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</si>
  <si>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</si>
  <si>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</si>
  <si>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</si>
  <si>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</si>
  <si>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</si>
  <si>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</si>
  <si>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</si>
  <si>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</si>
  <si>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</si>
  <si>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</si>
  <si>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</si>
  <si>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</si>
  <si>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</si>
  <si>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</si>
  <si>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</si>
  <si>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</si>
  <si>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</si>
  <si>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</si>
  <si>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</si>
  <si>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</si>
  <si>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</si>
  <si>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</si>
  <si>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</si>
  <si>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</si>
  <si>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</si>
  <si>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</si>
  <si>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</si>
  <si>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</si>
  <si>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</si>
  <si>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</si>
  <si>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</si>
  <si>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</si>
  <si>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</si>
  <si>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</si>
  <si>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</si>
  <si>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</si>
  <si>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</si>
  <si>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</si>
  <si>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</si>
  <si>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</si>
  <si>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</si>
  <si>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</si>
  <si>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</si>
  <si>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</si>
  <si>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</si>
  <si>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</si>
  <si>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</si>
  <si>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</si>
  <si>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</si>
  <si>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</si>
  <si>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</si>
  <si>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</si>
  <si>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</si>
  <si>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</si>
  <si>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</si>
  <si>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</si>
  <si>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</si>
  <si>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</si>
  <si>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</si>
  <si>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</si>
  <si>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</si>
  <si>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</si>
  <si>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</si>
  <si>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</si>
  <si>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</si>
  <si>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</si>
  <si>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</si>
  <si>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</si>
  <si>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</si>
  <si>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</si>
  <si>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</si>
  <si>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</si>
  <si>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</si>
  <si>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</si>
  <si>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</si>
  <si>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</si>
  <si>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</si>
  <si>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</si>
  <si>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</si>
  <si>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</si>
  <si>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</si>
  <si>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</si>
  <si>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</si>
  <si>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</si>
  <si>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</si>
  <si>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</si>
  <si>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</si>
  <si>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</si>
  <si>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</si>
  <si>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</si>
  <si>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</si>
  <si>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</si>
  <si>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</si>
  <si>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</si>
  <si>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</si>
  <si>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</si>
  <si>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</si>
  <si>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</si>
  <si>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</si>
  <si>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</si>
  <si>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</si>
  <si>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</si>
  <si>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</si>
  <si>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</si>
  <si>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</si>
  <si>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</si>
  <si>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</si>
  <si>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</si>
  <si>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</si>
  <si>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</si>
  <si>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</si>
  <si>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</si>
  <si>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</si>
  <si>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</si>
  <si>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</si>
  <si>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</si>
  <si>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</si>
  <si>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</si>
  <si>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</si>
  <si>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</si>
  <si>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</si>
  <si>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</si>
  <si>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</si>
  <si>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</si>
  <si>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</si>
  <si>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</si>
  <si>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</si>
  <si>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</si>
  <si>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</si>
  <si>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</si>
  <si>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</si>
  <si>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</si>
  <si>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</si>
  <si>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</si>
  <si>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</si>
  <si>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</si>
  <si>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</si>
  <si>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</si>
  <si>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</si>
  <si>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</si>
  <si>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</si>
  <si>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</si>
  <si>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</si>
  <si>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</si>
  <si>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</si>
  <si>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</si>
  <si>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</si>
  <si>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</si>
  <si>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</si>
  <si>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</si>
  <si>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</si>
  <si>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</si>
  <si>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</si>
  <si>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</si>
  <si>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</si>
  <si>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</si>
  <si>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</si>
  <si>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</si>
  <si>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</si>
  <si>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</si>
  <si>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</si>
  <si>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</si>
  <si>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</si>
  <si>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</si>
  <si>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</si>
  <si>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</si>
  <si>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</si>
  <si>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</si>
  <si>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</si>
  <si>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</si>
  <si>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</si>
  <si>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</si>
  <si>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</si>
  <si>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</si>
  <si>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</si>
  <si>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</si>
  <si>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</si>
  <si>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</si>
  <si>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</si>
  <si>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</si>
  <si>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</si>
  <si>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</si>
  <si>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</si>
  <si>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</si>
  <si>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</si>
  <si>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</si>
  <si>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</si>
  <si>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</si>
  <si>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</si>
  <si>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</si>
  <si>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</si>
  <si>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</si>
  <si>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</si>
  <si>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</si>
  <si>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</si>
  <si>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</si>
  <si>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</si>
  <si>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</si>
  <si>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</si>
  <si>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</si>
  <si>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</si>
  <si>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</si>
  <si>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</si>
  <si>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</si>
  <si>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</si>
  <si>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</si>
  <si>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</si>
  <si>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</si>
  <si>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</si>
  <si>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</si>
  <si>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</si>
  <si>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</si>
  <si>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</si>
  <si>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</si>
  <si>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</si>
  <si>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</si>
  <si>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</si>
  <si>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</si>
  <si>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</si>
  <si>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</si>
  <si>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</si>
  <si>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</si>
  <si>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</si>
  <si>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</si>
  <si>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</si>
  <si>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</si>
  <si>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</si>
  <si>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</si>
  <si>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</si>
  <si>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</si>
  <si>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</si>
  <si>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</si>
  <si>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</si>
  <si>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</si>
  <si>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</si>
  <si>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</si>
  <si>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</si>
  <si>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</si>
  <si>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</si>
  <si>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</si>
  <si>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</si>
  <si>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</si>
  <si>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</si>
  <si>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</si>
  <si>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</si>
  <si>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</si>
  <si>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</si>
  <si>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</si>
  <si>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</si>
  <si>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</si>
  <si>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</si>
  <si>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</si>
  <si>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</si>
  <si>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</si>
  <si>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</si>
  <si>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</si>
  <si>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</si>
  <si>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</si>
  <si>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</si>
  <si>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</si>
  <si>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</si>
  <si>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</si>
  <si>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</si>
  <si>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</si>
  <si>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</si>
  <si>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</si>
  <si>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</si>
  <si>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</si>
  <si>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</si>
  <si>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</si>
  <si>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</si>
  <si>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</si>
  <si>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</si>
  <si>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</si>
  <si>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</si>
  <si>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</si>
  <si>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</si>
  <si>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</si>
  <si>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</si>
  <si>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</si>
  <si>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</si>
  <si>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</si>
  <si>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</si>
  <si>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</si>
  <si>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</si>
  <si>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</si>
  <si>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</si>
  <si>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</si>
  <si>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</si>
  <si>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</si>
  <si>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</si>
  <si>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</si>
  <si>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</si>
  <si>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</si>
  <si>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</si>
  <si>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</si>
  <si>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</si>
  <si>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</si>
  <si>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</si>
  <si>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</si>
  <si>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</si>
  <si>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</si>
  <si>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</si>
  <si>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</si>
  <si>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</si>
  <si>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</si>
  <si>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</si>
  <si>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</si>
  <si>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</si>
  <si>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</si>
  <si>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</si>
  <si>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</si>
  <si>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</si>
  <si>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</si>
  <si>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</si>
  <si>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</si>
  <si>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</si>
  <si>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</si>
  <si>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</si>
  <si>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</si>
  <si>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</si>
  <si>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</si>
  <si>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</si>
  <si>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</si>
  <si>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</si>
  <si>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</si>
  <si>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</si>
  <si>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</si>
  <si>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</si>
  <si>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</si>
  <si>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</si>
  <si>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</si>
  <si>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</si>
  <si>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</si>
  <si>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</si>
  <si>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</si>
  <si>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</si>
  <si>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</si>
  <si>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</si>
  <si>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</si>
  <si>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</si>
  <si>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</si>
  <si>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</si>
  <si>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</si>
  <si>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</si>
  <si>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</si>
  <si>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</si>
  <si>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</si>
  <si>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</si>
  <si>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</si>
  <si>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</si>
  <si>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</si>
  <si>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</si>
  <si>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</si>
  <si>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</si>
  <si>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</si>
  <si>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</si>
  <si>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</si>
  <si>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</si>
  <si>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</si>
  <si>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</si>
  <si>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</si>
  <si>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</si>
  <si>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</si>
  <si>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</si>
  <si>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</si>
  <si>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</si>
  <si>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</si>
  <si>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</si>
  <si>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</si>
  <si>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</si>
  <si>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</si>
  <si>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</si>
  <si>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</si>
  <si>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</si>
  <si>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</si>
  <si>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</si>
  <si>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</si>
  <si>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</si>
  <si>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</si>
  <si>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</si>
  <si>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</si>
  <si>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</si>
  <si>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</si>
  <si>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</si>
  <si>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</si>
  <si>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</si>
  <si>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</si>
  <si>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</si>
  <si>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</si>
  <si>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</si>
  <si>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</si>
  <si>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</si>
  <si>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</si>
  <si>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</si>
  <si>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</si>
  <si>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</si>
  <si>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</si>
  <si>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</si>
  <si>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</si>
  <si>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</si>
  <si>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</si>
  <si>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</si>
  <si>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</si>
  <si>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</si>
  <si>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</si>
  <si>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</si>
  <si>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</si>
  <si>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</si>
  <si>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</si>
  <si>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</si>
  <si>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</si>
  <si>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</si>
  <si>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</si>
  <si>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</si>
  <si>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</si>
  <si>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</si>
  <si>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</si>
  <si>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</si>
  <si>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</si>
  <si>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</si>
  <si>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</si>
  <si>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</si>
  <si>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</si>
  <si>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</si>
  <si>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</si>
  <si>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</si>
  <si>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</si>
  <si>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</si>
  <si>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</si>
  <si>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</si>
  <si>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</si>
  <si>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</si>
  <si>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</si>
  <si>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</si>
  <si>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</si>
  <si>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</si>
  <si>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</si>
  <si>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</si>
  <si>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</si>
  <si>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</si>
  <si>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</si>
  <si>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</si>
  <si>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</si>
  <si>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</si>
  <si>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</si>
  <si>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</si>
  <si>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</si>
  <si>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</si>
  <si>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</si>
  <si>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</si>
  <si>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</si>
  <si>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</si>
  <si>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</si>
  <si>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</si>
  <si>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</si>
  <si>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</si>
  <si>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</si>
  <si>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</si>
  <si>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</si>
  <si>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</si>
  <si>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</si>
  <si>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</si>
  <si>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</si>
  <si>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</si>
  <si>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</si>
  <si>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</si>
  <si>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</si>
  <si>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</si>
  <si>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</si>
  <si>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</si>
  <si>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</si>
  <si>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</si>
  <si>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</si>
  <si>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</si>
  <si>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</si>
  <si>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</si>
  <si>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</si>
  <si>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</si>
  <si>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</si>
  <si>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</si>
  <si>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</si>
  <si>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</si>
  <si>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</si>
  <si>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</si>
  <si>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</si>
  <si>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</si>
  <si>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</si>
  <si>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</si>
  <si>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</si>
  <si>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</si>
  <si>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</si>
  <si>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</si>
  <si>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</si>
  <si>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</si>
  <si>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</si>
  <si>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</si>
  <si>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</si>
  <si>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</si>
  <si>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</si>
  <si>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</si>
  <si>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</si>
  <si>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</si>
  <si>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</si>
  <si>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</si>
  <si>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</si>
  <si>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</si>
  <si>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</si>
  <si>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</si>
  <si>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</si>
  <si>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</si>
  <si>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</si>
  <si>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</si>
  <si>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</si>
  <si>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</si>
  <si>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</si>
  <si>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</si>
  <si>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</si>
  <si>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</si>
  <si>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</si>
  <si>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</si>
  <si>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</si>
  <si>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</si>
  <si>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</si>
  <si>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</si>
  <si>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</si>
  <si>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</si>
  <si>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</si>
  <si>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</si>
  <si>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</si>
  <si>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</si>
  <si>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</si>
  <si>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</si>
  <si>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</si>
  <si>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</si>
  <si>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</si>
  <si>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</si>
  <si>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</si>
  <si>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</si>
  <si>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</si>
  <si>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</si>
  <si>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</si>
  <si>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</si>
  <si>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</si>
  <si>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</si>
  <si>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</si>
  <si>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</si>
  <si>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</si>
  <si>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</si>
  <si>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</si>
  <si>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</si>
  <si>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</si>
  <si>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</si>
  <si>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</si>
  <si>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</si>
  <si>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</si>
  <si>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</si>
  <si>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</si>
  <si>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</si>
  <si>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</si>
  <si>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</si>
  <si>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</si>
  <si>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</si>
  <si>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</si>
  <si>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</si>
  <si>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</si>
  <si>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</si>
  <si>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</si>
  <si>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</si>
  <si>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</si>
  <si>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</si>
  <si>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</si>
  <si>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</si>
  <si>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</si>
  <si>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</si>
  <si>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</si>
  <si>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</si>
  <si>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</si>
  <si>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</si>
  <si>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</si>
  <si>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</si>
  <si>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</si>
  <si>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</si>
  <si>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</si>
  <si>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</si>
  <si>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</si>
  <si>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</si>
  <si>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</si>
  <si>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</si>
  <si>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</si>
  <si>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</si>
  <si>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</si>
  <si>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</si>
  <si>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</si>
  <si>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</si>
  <si>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</si>
  <si>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</si>
  <si>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</si>
  <si>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</si>
  <si>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</si>
  <si>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</si>
  <si>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</si>
  <si>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</si>
  <si>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</si>
  <si>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</si>
  <si>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</si>
  <si>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</si>
  <si>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</si>
  <si>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</si>
  <si>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</si>
  <si>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</si>
  <si>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</si>
  <si>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</si>
  <si>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</si>
  <si>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</si>
  <si>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</si>
  <si>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</si>
  <si>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</si>
  <si>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</si>
  <si>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</si>
  <si>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</si>
  <si>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</si>
  <si>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</si>
  <si>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</si>
  <si>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</si>
  <si>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</si>
  <si>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</si>
  <si>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</si>
  <si>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</si>
  <si>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</si>
  <si>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</si>
  <si>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</si>
  <si>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</si>
  <si>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</si>
  <si>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</si>
  <si>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</si>
  <si>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</si>
  <si>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</si>
  <si>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</si>
  <si>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</si>
  <si>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</si>
  <si>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</si>
  <si>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</si>
  <si>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</si>
  <si>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</si>
  <si>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</si>
  <si>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</si>
  <si>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</si>
  <si>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</si>
  <si>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</si>
  <si>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</si>
  <si>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</si>
  <si>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</si>
  <si>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</si>
  <si>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</si>
  <si>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</si>
  <si>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</si>
  <si>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</si>
  <si>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</si>
  <si>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</si>
  <si>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</si>
  <si>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</si>
  <si>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</si>
  <si>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</si>
  <si>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</si>
  <si>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</si>
  <si>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</si>
  <si>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</si>
  <si>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</si>
  <si>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</si>
  <si>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</si>
  <si>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</si>
  <si>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</si>
  <si>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</si>
  <si>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</si>
  <si>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</si>
  <si>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</si>
  <si>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</si>
  <si>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</si>
  <si>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</si>
  <si>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</si>
  <si>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</si>
  <si>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</si>
  <si>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</si>
  <si>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</si>
  <si>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</si>
  <si>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</si>
  <si>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</si>
  <si>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</si>
  <si>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</si>
  <si>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</si>
  <si>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</si>
  <si>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</si>
  <si>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</si>
  <si>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</si>
  <si>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</si>
  <si>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</si>
  <si>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</si>
  <si>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</si>
  <si>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</si>
  <si>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</si>
  <si>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</si>
  <si>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</si>
  <si>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</si>
  <si>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</si>
  <si>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</si>
  <si>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</si>
  <si>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</si>
  <si>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</si>
  <si>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</si>
  <si>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</si>
  <si>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</si>
  <si>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</si>
  <si>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</si>
  <si>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</si>
  <si>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</si>
  <si>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</si>
  <si>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</si>
  <si>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</si>
  <si>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</si>
  <si>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</si>
  <si>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</si>
  <si>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</si>
  <si>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</si>
  <si>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</si>
  <si>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</si>
  <si>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</si>
  <si>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</si>
  <si>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</si>
  <si>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</si>
  <si>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</si>
  <si>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</si>
  <si>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</si>
  <si>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</si>
  <si>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</si>
  <si>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</si>
  <si>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</si>
  <si>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</si>
  <si>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</si>
  <si>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</si>
  <si>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</si>
  <si>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</si>
  <si>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</si>
  <si>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</si>
  <si>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</si>
  <si>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</si>
  <si>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</si>
  <si>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</si>
  <si>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</si>
  <si>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</si>
  <si>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</si>
  <si>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</si>
  <si>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</si>
  <si>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</si>
  <si>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</si>
  <si>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</si>
  <si>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</si>
  <si>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</si>
  <si>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</si>
  <si>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</si>
  <si>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</si>
  <si>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</si>
  <si>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</si>
  <si>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</si>
  <si>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</si>
  <si>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</si>
  <si>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</si>
  <si>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</si>
  <si>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</si>
  <si>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</si>
  <si>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</si>
  <si>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</si>
  <si>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</si>
  <si>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</si>
  <si>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</si>
  <si>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</si>
  <si>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</si>
  <si>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</si>
  <si>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</si>
  <si>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</si>
  <si>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</si>
  <si>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</si>
  <si>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</si>
  <si>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</si>
  <si>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</si>
  <si>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</si>
  <si>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</si>
  <si>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</si>
  <si>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</si>
  <si>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</si>
  <si>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</si>
  <si>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</si>
  <si>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</si>
  <si>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</si>
  <si>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</si>
  <si>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</si>
  <si>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</si>
  <si>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</si>
  <si>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</si>
  <si>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</si>
  <si>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</si>
  <si>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</si>
  <si>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</si>
  <si>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</si>
  <si>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</si>
  <si>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</si>
  <si>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</si>
  <si>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</si>
  <si>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</si>
  <si>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</si>
  <si>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</si>
  <si>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</si>
  <si>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</si>
  <si>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</si>
  <si>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</si>
  <si>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</si>
  <si>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</si>
  <si>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</si>
  <si>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</si>
  <si>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</si>
  <si>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</si>
  <si>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</si>
  <si>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</si>
  <si>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</si>
  <si>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</si>
  <si>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</si>
  <si>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</si>
  <si>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</si>
  <si>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</si>
  <si>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</si>
  <si>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</si>
  <si>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</si>
  <si>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</si>
  <si>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</si>
  <si>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</si>
  <si>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</si>
  <si>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</si>
  <si>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</si>
  <si>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</si>
  <si>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</si>
  <si>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</si>
  <si>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</si>
  <si>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</si>
  <si>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</si>
  <si>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</si>
  <si>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</si>
  <si>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</si>
  <si>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</si>
  <si>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</si>
  <si>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</si>
  <si>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</si>
  <si>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</si>
  <si>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</si>
  <si>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</si>
  <si>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</si>
  <si>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</si>
  <si>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</si>
  <si>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</si>
  <si>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</si>
  <si>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</si>
  <si>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</si>
  <si>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</si>
  <si>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</si>
  <si>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</si>
  <si>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</si>
  <si>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</si>
  <si>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</si>
  <si>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</si>
  <si>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</si>
  <si>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</si>
  <si>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</si>
  <si>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</si>
  <si>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</si>
  <si>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</si>
  <si>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</si>
  <si>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</si>
  <si>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</si>
  <si>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</si>
  <si>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</si>
  <si>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</si>
  <si>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</si>
  <si>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</si>
  <si>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</si>
  <si>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</si>
  <si>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</si>
  <si>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</si>
  <si>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</si>
  <si>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</si>
  <si>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</si>
  <si>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</si>
  <si>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</si>
  <si>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</si>
  <si>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</si>
  <si>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</si>
  <si>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</si>
  <si>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</si>
  <si>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</si>
  <si>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</si>
  <si>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</si>
  <si>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</si>
  <si>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</si>
  <si>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</si>
  <si>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</si>
  <si>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</si>
  <si>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</si>
  <si>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</si>
  <si>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</si>
  <si>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</si>
  <si>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</si>
  <si>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</si>
  <si>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</si>
  <si>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</si>
  <si>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</si>
  <si>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</si>
  <si>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</si>
  <si>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</si>
  <si>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</si>
  <si>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</si>
  <si>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</si>
  <si>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</si>
  <si>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</si>
  <si>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</si>
  <si>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</si>
  <si>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</si>
  <si>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</si>
  <si>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</si>
  <si>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</si>
  <si>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</si>
  <si>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</si>
  <si>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</si>
  <si>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</si>
  <si>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</si>
  <si>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</si>
  <si>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</si>
  <si>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</si>
  <si>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</si>
  <si>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</si>
  <si>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</si>
  <si>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</si>
  <si>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</si>
  <si>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</si>
  <si>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</si>
  <si>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</si>
  <si>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</si>
  <si>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</si>
  <si>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</si>
  <si>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</si>
  <si>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</si>
  <si>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</si>
  <si>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</si>
  <si>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</si>
  <si>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</si>
  <si>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</si>
  <si>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</si>
  <si>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</si>
  <si>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</si>
  <si>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</si>
  <si>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</si>
  <si>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</si>
  <si>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</si>
  <si>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</si>
  <si>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</si>
  <si>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</si>
  <si>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</si>
  <si>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</si>
  <si>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</si>
  <si>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</si>
  <si>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</si>
  <si>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</si>
  <si>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</si>
  <si>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</si>
  <si>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</si>
  <si>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</si>
  <si>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</si>
  <si>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</si>
  <si>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</si>
  <si>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</si>
  <si>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</si>
  <si>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</si>
  <si>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</si>
  <si>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</si>
  <si>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</si>
  <si>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</si>
  <si>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</si>
  <si>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</si>
  <si>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</si>
  <si>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</si>
  <si>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</si>
  <si>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</si>
  <si>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</si>
  <si>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</si>
  <si>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</si>
  <si>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</si>
  <si>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</si>
  <si>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</si>
  <si>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</si>
  <si>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</si>
  <si>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</si>
  <si>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</si>
  <si>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</si>
  <si>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</si>
  <si>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</si>
  <si>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</si>
  <si>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</si>
  <si>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</si>
  <si>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</si>
  <si>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</si>
  <si>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</si>
  <si>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</si>
  <si>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</si>
  <si>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</si>
  <si>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</si>
  <si>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</si>
  <si>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</si>
  <si>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</si>
  <si>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</si>
  <si>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</si>
  <si>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</si>
  <si>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</si>
  <si>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</si>
  <si>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</si>
  <si>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</si>
  <si>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</si>
  <si>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</si>
  <si>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</si>
  <si>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</si>
  <si>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</si>
  <si>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</si>
  <si>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</si>
  <si>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</si>
  <si>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</si>
  <si>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</si>
  <si>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</si>
  <si>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</si>
  <si>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</si>
  <si>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</si>
  <si>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</si>
  <si>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</si>
  <si>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</si>
  <si>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</si>
  <si>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</si>
  <si>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</si>
  <si>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</si>
  <si>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</si>
  <si>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</si>
  <si>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</si>
  <si>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</si>
  <si>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</si>
  <si>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</si>
  <si>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</si>
  <si>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</si>
  <si>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</si>
  <si>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</si>
  <si>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</si>
  <si>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</si>
  <si>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</si>
  <si>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</si>
  <si>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</si>
  <si>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</si>
  <si>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</si>
  <si>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</si>
  <si>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</si>
  <si>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</si>
  <si>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</si>
  <si>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</si>
  <si>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</si>
  <si>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</si>
  <si>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</si>
  <si>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</si>
  <si>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</si>
  <si>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</si>
  <si>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</si>
  <si>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</si>
  <si>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</si>
  <si>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</si>
  <si>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</si>
  <si>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</si>
  <si>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</si>
  <si>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</si>
  <si>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</si>
  <si>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</si>
  <si>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</si>
  <si>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</si>
  <si>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</si>
  <si>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</si>
  <si>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</si>
  <si>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</si>
  <si>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</si>
  <si>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</si>
  <si>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</si>
  <si>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</si>
  <si>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</si>
  <si>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</si>
  <si>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</si>
  <si>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</si>
  <si>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</si>
  <si>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</si>
  <si>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</si>
  <si>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</si>
  <si>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</si>
  <si>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</si>
  <si>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</si>
  <si>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</si>
  <si>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</si>
  <si>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</si>
  <si>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</si>
  <si>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</si>
  <si>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</si>
  <si>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</si>
  <si>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</si>
  <si>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</si>
  <si>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</si>
  <si>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</si>
  <si>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</si>
  <si>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</si>
  <si>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</si>
  <si>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</si>
  <si>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</si>
  <si>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</si>
  <si>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</si>
  <si>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</si>
  <si>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</si>
  <si>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</si>
  <si>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</si>
  <si>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</si>
  <si>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</si>
  <si>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</si>
  <si>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</si>
  <si>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</si>
  <si>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</si>
  <si>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</si>
  <si>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</si>
  <si>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</si>
  <si>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</si>
  <si>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</si>
  <si>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</si>
  <si>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</si>
  <si>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</si>
  <si>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</si>
  <si>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</si>
  <si>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</si>
  <si>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</si>
  <si>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</si>
  <si>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</si>
  <si>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</si>
  <si>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</si>
  <si>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</si>
  <si>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</si>
  <si>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</si>
  <si>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</si>
  <si>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</si>
  <si>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</si>
  <si>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</si>
  <si>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</si>
  <si>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</si>
  <si>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</si>
  <si>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</si>
  <si>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</si>
  <si>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</si>
  <si>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</si>
  <si>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</si>
  <si>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</si>
  <si>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</si>
  <si>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</si>
  <si>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</si>
  <si>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</si>
  <si>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</si>
  <si>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</si>
  <si>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</si>
  <si>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</si>
  <si>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</si>
  <si>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</si>
  <si>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</si>
  <si>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Montgomery</t>
  </si>
  <si>
    <t>1311 Vandalia Road</t>
  </si>
  <si>
    <t xml:space="preserve">Hillsboro  </t>
  </si>
  <si>
    <t>dpowell@hillsboroschools.net</t>
  </si>
  <si>
    <t>Scheffel Boyle</t>
  </si>
  <si>
    <t>David Powell</t>
  </si>
  <si>
    <t>217-532-2942</t>
  </si>
  <si>
    <t>217-532-3137</t>
  </si>
  <si>
    <t>Henry Siekmann</t>
  </si>
  <si>
    <t>222  East Main Street</t>
  </si>
  <si>
    <t>Belleville</t>
  </si>
  <si>
    <t>IL</t>
  </si>
  <si>
    <t>065.009532</t>
  </si>
  <si>
    <t>henry.siekmann@scheffelboyle.com</t>
  </si>
  <si>
    <r>
      <t xml:space="preserve">The accompanying Schedule of Expenditures of Federal Awards includes the federal grant activity of </t>
    </r>
    <r>
      <rPr>
        <b/>
        <sz val="9"/>
        <rFont val="Calibri"/>
        <family val="2"/>
        <scheme val="minor"/>
      </rPr>
      <t>Hillsboro Community Unit School District No. 3</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</si>
  <si>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X</t>
  </si>
  <si>
    <t>None</t>
  </si>
  <si>
    <r>
      <t xml:space="preserve">The following amounts were expended in the form of non-cash assistance by </t>
    </r>
    <r>
      <rPr>
        <b/>
        <sz val="9"/>
        <rFont val="Calibri"/>
        <family val="2"/>
        <scheme val="minor"/>
      </rPr>
      <t>Hillsboro CUSD No 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</si>
  <si>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AGRICULTURE - PASS THROUGH ILLINOIS STATE BOARD OF EDUCATION</t>
  </si>
  <si>
    <t>18-4210-00</t>
  </si>
  <si>
    <t>17-4210-00</t>
  </si>
  <si>
    <t>18-4220-00</t>
  </si>
  <si>
    <t>17-4220-00</t>
  </si>
  <si>
    <t>Total Child Nutrition Cluster</t>
  </si>
  <si>
    <t>Child and Adult Care Food Program FY 18</t>
  </si>
  <si>
    <t>18-4226-00</t>
  </si>
  <si>
    <t>17-4226-00</t>
  </si>
  <si>
    <t>N/A</t>
  </si>
  <si>
    <t xml:space="preserve">         Total Child and Adult Care Food Program</t>
  </si>
  <si>
    <t>TOTAL US DEPARTMENT OF AGRICULTURE - PASS THROUGH ILLINOIS STATE BOARD OF EDUCATION</t>
  </si>
  <si>
    <t>US DEPT OF HEALTH AND HUMAN SERVICES PASS THROUGH IL DEPT OF HEALTHCARE AND FAM SVCS</t>
  </si>
  <si>
    <t>Medicaid Matching</t>
  </si>
  <si>
    <t>18-4991-00</t>
  </si>
  <si>
    <t>US DEPARTMENT OF EDUCATION - PASS THROUGH ILLINOIS STATE BOARD OF EDUCATION</t>
  </si>
  <si>
    <t>Title I - Low Income FY 18</t>
  </si>
  <si>
    <t>Title II - Teacher Quality FY 18</t>
  </si>
  <si>
    <t>18-4300-00</t>
  </si>
  <si>
    <t>18-4932-00</t>
  </si>
  <si>
    <t>TOTAL US DEPARTMENT OF EDUCATION - PASS THROUGH ILLINOIS STATE BOARD OF EDUCATION</t>
  </si>
  <si>
    <t>US DEPARTMENT OF EDUCATION PASS THROUGH BOND FAYETTE VOCATIONAL SYSTEM</t>
  </si>
  <si>
    <t>Perkins</t>
  </si>
  <si>
    <t>18-4745-00</t>
  </si>
  <si>
    <t>LIBRARY SVC AND TECHNOLOGYACT PASS THROUGH OFFICE OF THE SEC OF STATE - IL STATE LIBRARY</t>
  </si>
  <si>
    <t>Books Without Borders</t>
  </si>
  <si>
    <t>18-4999-00</t>
  </si>
  <si>
    <t>TOTAL FEDERAL FINANCIAL ASSISTANCE - CASH</t>
  </si>
  <si>
    <t>NONCASH FEDERAL ASSISTANCE DIVISION OF FISCAL SERVICES - FOOD DISTRIBUTION PROGRAM</t>
  </si>
  <si>
    <t>TOTAL NONCASH FEDERAL ASSISTANCE DIVISION OF FISCAL SVCS - FOOD DISTRIBUTION PROGRAM</t>
  </si>
  <si>
    <t>TOTAL FEDERAL FINANCIAL ASSISTANCE - CASH AND NONCASH</t>
  </si>
  <si>
    <t>Unmodified</t>
  </si>
  <si>
    <t>10.553/10.555</t>
  </si>
  <si>
    <t>Child Nutrition Cluster</t>
  </si>
  <si>
    <t>The District was not in compliance by overexpending its budget for the year.</t>
  </si>
  <si>
    <t>To adopt a reasonable budget and monitor spending throughout the year.</t>
  </si>
  <si>
    <t>Management will adopt a reasonable budget and monitor spending throughout the year.</t>
  </si>
  <si>
    <t>2017-001</t>
  </si>
  <si>
    <t>Overexpenditure of Budget</t>
  </si>
  <si>
    <t>year, the Operations, Building and Maintenance Fund</t>
  </si>
  <si>
    <t>(M) Federal Lunch Program FY 18</t>
  </si>
  <si>
    <t>(M) Federal Breakfast Program FY 18</t>
  </si>
  <si>
    <t>(M) Federal Breakfast Program FY 17</t>
  </si>
  <si>
    <t>No payments to subrecipients</t>
  </si>
  <si>
    <r>
      <t xml:space="preserve">Of the federal expenditures presented in the schedule, </t>
    </r>
    <r>
      <rPr>
        <b/>
        <sz val="9"/>
        <rFont val="Calibri"/>
        <family val="2"/>
        <scheme val="minor"/>
      </rPr>
      <t xml:space="preserve">Hillsboro CUSD No. 3 </t>
    </r>
    <r>
      <rPr>
        <sz val="9"/>
        <rFont val="Calibri"/>
        <family val="2"/>
        <scheme val="minor"/>
      </rPr>
      <t>provided federal awards to subrecipients as follows:</t>
    </r>
  </si>
  <si>
    <t xml:space="preserve">         Total Federal Lunch and Breakfast</t>
  </si>
  <si>
    <t>Child and Adult Care Food Program FY 17</t>
  </si>
  <si>
    <t>(M) Department of Defense - Fresh Fruits and Vegetables  - Part of the Child Nutrition Cluster</t>
  </si>
  <si>
    <t>(M) Commodities at Market Value - Part of Child         Nutrition Cluster</t>
  </si>
  <si>
    <t>After comparing the budget and actual expenditures it was noted that the Operations, Building and Maintenance Fund and the Capital Projects Fund had overexpended their budget.</t>
  </si>
  <si>
    <t>The Operations, Building and Maintenance Fund was overbudget due to an increase in salaries over the prior year.  The Capital Projects Fund was overbudget due to an increase in repairs.</t>
  </si>
  <si>
    <t>and Capital Projects Fund were overbudget.</t>
  </si>
  <si>
    <t>In the prior year, the Educational Fund was overbudget</t>
  </si>
  <si>
    <t>due to higher on-behalf costs.  During the current</t>
  </si>
  <si>
    <t>Compared budgeted expenditures with actual expenditures to determine if the District had overexpended its budget.</t>
  </si>
  <si>
    <t>After completing the audit, it was noted that the District overexpended its budgets in the Operations, Building and Maintenance Fund and Capital Projects Fund.</t>
  </si>
  <si>
    <t>Fire Life Safety Bonds</t>
  </si>
  <si>
    <t>General Obligation School Bonds</t>
  </si>
  <si>
    <t>General Obligation Bonds</t>
  </si>
  <si>
    <t>Mid State Special Services Cooperative</t>
  </si>
  <si>
    <t>Fayette Bond Vocational System</t>
  </si>
  <si>
    <t>10-2300-300</t>
  </si>
  <si>
    <t>ED-Support Services - General Administration</t>
  </si>
  <si>
    <t>Page 10, Account 1690, Other Food Service - $29,530</t>
  </si>
  <si>
    <t xml:space="preserve">   Educational Fund - Vending machine sales and rebates</t>
  </si>
  <si>
    <t>Page 10, Account 1790, Other District Activity - $8,566</t>
  </si>
  <si>
    <t xml:space="preserve">   Educational Fund - Various fees for sports</t>
  </si>
  <si>
    <t>Page 10, Account 1999, Other Local Revenue</t>
  </si>
  <si>
    <t xml:space="preserve">   Educational Fund - $680,494 - $453,111 Child Care revenue; $26,124 TIF Revenue, $64,116 local revenue for a social worker, $41,440 reimbursement</t>
  </si>
  <si>
    <t xml:space="preserve">   of expenses for a consultant; $65,417 in Erate; $30,286 miscellenaous revenue</t>
  </si>
  <si>
    <t xml:space="preserve">   Operations and Maintenance - $4,868 miscellenaous revenue</t>
  </si>
  <si>
    <t xml:space="preserve">   Transporation - $78,622 - fees for sports transportation and Pre K transportation</t>
  </si>
  <si>
    <t>Page 12, Account 3999, Other Restricted Revenue from State Sources</t>
  </si>
  <si>
    <t xml:space="preserve">   Educational Fund - $2,233 - State Library grant</t>
  </si>
  <si>
    <t>Page 13, Account 4799, CTE Other</t>
  </si>
  <si>
    <t>Page 14, Account 4999, Other Restricted Revenue from Federal Sources</t>
  </si>
  <si>
    <t xml:space="preserve">   Educational Fund - $20,011 - Perkins Grant</t>
  </si>
  <si>
    <t xml:space="preserve">   Educational Fund - $4,999 - Book without Borders grant</t>
  </si>
  <si>
    <t>Page 15, Account 2190, Other Support Services - Pupils</t>
  </si>
  <si>
    <t xml:space="preserve">   Education Fund - Technology support salaries, benefits and supplies</t>
  </si>
  <si>
    <t xml:space="preserve">    Debt Services Fund - $52,256 - $48,618 in copier payments and $3,638 in bond fees</t>
  </si>
  <si>
    <t>Page 18, Account 5400, Debt Services - Other</t>
  </si>
  <si>
    <t>Page 19, Account 2190, Other Support Services - Pupils</t>
  </si>
  <si>
    <t xml:space="preserve">   Municipal Retirement Fund - Benefits for IT </t>
  </si>
  <si>
    <t>Page 24, Schedule of Long Term Debt</t>
  </si>
  <si>
    <t xml:space="preserve">   The $1,650,000 was amount defeased from the bond issue</t>
  </si>
  <si>
    <t>Hillsboro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</si>
</sst>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quotePrefix="1"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2407227</xdr:colOff>
          <xdr:row>4</xdr:row>
          <xdr:rowOff>129886</xdr:rowOff>
        </xdr:from>
        <xdr:to>
          <xdr:col>1</xdr:col>
          <xdr:colOff>3321627</xdr:colOff>
          <xdr:row>8</xdr:row>
          <xdr:rowOff>127288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3610841</xdr:colOff>
          <xdr:row>4</xdr:row>
          <xdr:rowOff>95250</xdr:rowOff>
        </xdr:from>
        <xdr:to>
          <xdr:col>2</xdr:col>
          <xdr:colOff>519545</xdr:colOff>
          <xdr:row>8</xdr:row>
          <xdr:rowOff>92652</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199159</xdr:colOff>
          <xdr:row>4</xdr:row>
          <xdr:rowOff>60613</xdr:rowOff>
        </xdr:from>
        <xdr:to>
          <xdr:col>4</xdr:col>
          <xdr:colOff>484909</xdr:colOff>
          <xdr:row>8</xdr:row>
          <xdr:rowOff>58015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2074</v>
      </c>
      <c r="C5" s="26" t="s">
        <v>966</v>
      </c>
      <c r="D5" s="84"/>
      <c r="E5" s="84"/>
      <c r="H5" s="38"/>
      <c r="I5" s="2044" t="s">
        <v>701</v>
      </c>
      <c r="J5" s="1988"/>
      <c r="K5" s="1988"/>
      <c r="L5" s="1988"/>
      <c r="M5" s="1988"/>
      <c r="N5" s="1988"/>
      <c r="O5" s="1988"/>
      <c r="P5" s="1988"/>
      <c r="Q5" s="1988"/>
      <c r="R5" s="1988"/>
      <c r="S5" s="1988"/>
    </row>
    <row r="6" spans="1:28" ht="14.1" customHeight="1" x14ac:dyDescent="0.2">
      <c r="B6" s="104"/>
      <c r="C6" s="26" t="s">
        <v>967</v>
      </c>
      <c r="D6" s="84"/>
      <c r="E6" s="84"/>
      <c r="I6" s="2043" t="s">
        <v>938</v>
      </c>
      <c r="J6" s="1988"/>
      <c r="K6" s="1988"/>
      <c r="L6" s="1988"/>
      <c r="M6" s="1988"/>
      <c r="N6" s="1988"/>
      <c r="O6" s="1988"/>
      <c r="P6" s="1988"/>
      <c r="Q6" s="1988"/>
      <c r="R6" s="1988"/>
      <c r="S6" s="1988"/>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004">
        <v>3068003026</v>
      </c>
      <c r="B13" s="2005"/>
      <c r="C13" s="2005"/>
      <c r="D13" s="2005"/>
      <c r="E13" s="2005"/>
      <c r="F13" s="2005"/>
      <c r="G13" s="2005"/>
      <c r="H13" s="2006"/>
      <c r="I13" s="31"/>
      <c r="J13" s="30"/>
      <c r="K13" s="28"/>
      <c r="L13" s="30"/>
      <c r="M13" s="30"/>
      <c r="N13" s="30"/>
      <c r="O13" s="30"/>
      <c r="P13" s="30"/>
      <c r="Q13" s="30"/>
      <c r="R13" s="30"/>
      <c r="S13" s="30"/>
      <c r="T13" s="2009" t="s">
        <v>2079</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2075</v>
      </c>
      <c r="B15" s="2007"/>
      <c r="C15" s="2007"/>
      <c r="D15" s="2007"/>
      <c r="E15" s="2007"/>
      <c r="F15" s="2007"/>
      <c r="G15" s="2007"/>
      <c r="H15" s="2008"/>
      <c r="T15" s="1970" t="s">
        <v>2083</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2" t="s">
        <v>2179</v>
      </c>
      <c r="B17" s="2033"/>
      <c r="C17" s="2033"/>
      <c r="D17" s="2033"/>
      <c r="E17" s="2033"/>
      <c r="F17" s="2033"/>
      <c r="G17" s="2033"/>
      <c r="H17" s="2034"/>
      <c r="T17" s="2019" t="s">
        <v>2084</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2076</v>
      </c>
      <c r="B19" s="2003"/>
      <c r="C19" s="2003"/>
      <c r="D19" s="2003"/>
      <c r="E19" s="2003"/>
      <c r="F19" s="2003"/>
      <c r="G19" s="2003"/>
      <c r="H19" s="2001"/>
      <c r="I19" s="30"/>
      <c r="J19" s="99"/>
      <c r="K19" s="40"/>
      <c r="L19" s="38"/>
      <c r="M19" s="112" t="s">
        <v>333</v>
      </c>
      <c r="P19" s="27"/>
      <c r="Q19" s="27"/>
      <c r="R19" s="27"/>
      <c r="S19" s="31"/>
      <c r="T19" s="2002" t="s">
        <v>2085</v>
      </c>
      <c r="U19" s="2000"/>
      <c r="V19" s="2000"/>
      <c r="W19" s="2001"/>
      <c r="X19" s="2017" t="s">
        <v>2086</v>
      </c>
      <c r="Y19" s="2018"/>
      <c r="Z19" s="2015">
        <v>62220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2077</v>
      </c>
      <c r="B21" s="2000"/>
      <c r="C21" s="2000"/>
      <c r="D21" s="2000"/>
      <c r="E21" s="2000"/>
      <c r="F21" s="2000"/>
      <c r="G21" s="2000"/>
      <c r="H21" s="2001"/>
      <c r="I21" s="2025" t="s">
        <v>699</v>
      </c>
      <c r="J21" s="1988"/>
      <c r="K21" s="1988"/>
      <c r="L21" s="1988"/>
      <c r="M21" s="1988"/>
      <c r="N21" s="1988"/>
      <c r="O21" s="1988"/>
      <c r="P21" s="1988"/>
      <c r="Q21" s="1988"/>
      <c r="R21" s="1988"/>
      <c r="S21" s="1989"/>
      <c r="T21" s="1967">
        <v>6182332641</v>
      </c>
      <c r="U21" s="1968"/>
      <c r="V21" s="1968"/>
      <c r="W21" s="1968"/>
      <c r="X21" s="1981">
        <v>6182336334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2078</v>
      </c>
      <c r="B23" s="2023"/>
      <c r="C23" s="2023"/>
      <c r="D23" s="2023"/>
      <c r="E23" s="2023"/>
      <c r="F23" s="2023"/>
      <c r="G23" s="2023"/>
      <c r="H23" s="2024"/>
      <c r="T23" s="1962" t="s">
        <v>2087</v>
      </c>
      <c r="U23" s="1963"/>
      <c r="V23" s="1963"/>
      <c r="W23" s="1963"/>
      <c r="X23" s="1978">
        <v>44469</v>
      </c>
      <c r="Y23" s="1979"/>
      <c r="Z23" s="1979"/>
      <c r="AA23" s="1980"/>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1999">
        <v>62049</v>
      </c>
      <c r="B25" s="2000"/>
      <c r="C25" s="2000"/>
      <c r="D25" s="2000"/>
      <c r="E25" s="2000"/>
      <c r="F25" s="2000"/>
      <c r="G25" s="2000"/>
      <c r="H25" s="2001"/>
      <c r="I25" s="113"/>
      <c r="J25" s="2067"/>
      <c r="K25" s="2067"/>
      <c r="L25" s="2067"/>
      <c r="M25" s="2067"/>
      <c r="N25" s="2067"/>
      <c r="O25" s="2067"/>
      <c r="P25" s="2067"/>
      <c r="Q25" s="2067"/>
      <c r="R25" s="2067"/>
      <c r="S25" s="2068"/>
      <c r="T25" s="1959" t="s">
        <v>2088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2" t="s">
        <v>2080</v>
      </c>
      <c r="B38" s="2033"/>
      <c r="C38" s="2033"/>
      <c r="D38" s="2033"/>
      <c r="E38" s="2033"/>
      <c r="F38" s="2000"/>
      <c r="G38" s="2000"/>
      <c r="H38" s="2001"/>
      <c r="I38" s="2052"/>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2078</v>
      </c>
      <c r="B40" s="2060"/>
      <c r="C40" s="2061"/>
      <c r="D40" s="2061"/>
      <c r="E40" s="2061"/>
      <c r="F40" s="2062"/>
      <c r="G40" s="2062"/>
      <c r="H40" s="2063"/>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2081</v>
      </c>
      <c r="B42" s="2050"/>
      <c r="C42" s="2051"/>
      <c r="D42" s="2064" t="s">
        <v>2082</v>
      </c>
      <c r="E42" s="2050"/>
      <c r="F42" s="2050"/>
      <c r="G42" s="2050"/>
      <c r="H42" s="2051"/>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W31" sqref="W3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1902</v>
      </c>
      <c r="B2" s="1550" t="s">
        <v>2032</v>
      </c>
      <c r="C2" s="715" t="s">
        <v>1907</v>
      </c>
      <c r="D2" s="715" t="s">
        <v>1908</v>
      </c>
      <c r="E2" s="715" t="s">
        <v>1909</v>
      </c>
      <c r="F2" s="715" t="s">
        <v>1910</v>
      </c>
    </row>
    <row r="3" spans="1:6" ht="12" customHeight="1" x14ac:dyDescent="0.2">
      <c r="A3" s="2203"/>
      <c r="B3" s="1547"/>
      <c r="C3" s="1548"/>
      <c r="D3" s="1549" t="s">
        <v>274</v>
      </c>
      <c r="E3" s="1548"/>
      <c r="F3" s="1549" t="s">
        <v>275</v>
      </c>
    </row>
    <row r="4" spans="1:6" ht="13.7" customHeight="1" x14ac:dyDescent="0.2">
      <c r="A4" s="716" t="s">
        <v>1217</v>
      </c>
      <c r="B4" s="1771">
        <f>'Revenues 9-14'!C5</f>
        <v>4364182</v>
      </c>
      <c r="C4" s="1546"/>
      <c r="D4" s="1774">
        <f>B4-C4</f>
        <v>4364182</v>
      </c>
      <c r="E4" s="1546">
        <v>3820934</v>
      </c>
      <c r="F4" s="1774">
        <f>E4-C4</f>
        <v>3820934</v>
      </c>
    </row>
    <row r="5" spans="1:6" ht="13.7" customHeight="1" x14ac:dyDescent="0.2">
      <c r="A5" s="716" t="s">
        <v>925</v>
      </c>
      <c r="B5" s="1772">
        <f>'Revenues 9-14'!D5</f>
        <v>908931</v>
      </c>
      <c r="C5" s="585"/>
      <c r="D5" s="1775">
        <f t="shared" ref="D5:D18" si="0">B5-C5</f>
        <v>908931</v>
      </c>
      <c r="E5" s="585">
        <v>795932</v>
      </c>
      <c r="F5" s="1775">
        <f>E5-C5</f>
        <v>795932</v>
      </c>
    </row>
    <row r="6" spans="1:6" ht="13.7" customHeight="1" x14ac:dyDescent="0.2">
      <c r="A6" s="716" t="s">
        <v>431</v>
      </c>
      <c r="B6" s="1772">
        <f>'Revenues 9-14'!E5</f>
        <v>1685170</v>
      </c>
      <c r="C6" s="585"/>
      <c r="D6" s="1775">
        <f t="shared" si="0"/>
        <v>1685170</v>
      </c>
      <c r="E6" s="585">
        <v>1479949</v>
      </c>
      <c r="F6" s="1775">
        <f t="shared" ref="F6:F18" si="1">E6-C6</f>
        <v>1479949</v>
      </c>
    </row>
    <row r="7" spans="1:6" ht="13.7" customHeight="1" x14ac:dyDescent="0.2">
      <c r="A7" s="716" t="s">
        <v>157</v>
      </c>
      <c r="B7" s="1772">
        <f>'Revenues 9-14'!F5</f>
        <v>363567</v>
      </c>
      <c r="C7" s="585"/>
      <c r="D7" s="1775">
        <f t="shared" si="0"/>
        <v>363567</v>
      </c>
      <c r="E7" s="585">
        <v>318373</v>
      </c>
      <c r="F7" s="1775">
        <f t="shared" si="1"/>
        <v>318373</v>
      </c>
    </row>
    <row r="8" spans="1:6" ht="13.7" customHeight="1" x14ac:dyDescent="0.2">
      <c r="A8" s="716" t="s">
        <v>1241</v>
      </c>
      <c r="B8" s="1772">
        <f>'Revenues 9-14'!G5</f>
        <v>430211</v>
      </c>
      <c r="C8" s="585"/>
      <c r="D8" s="1775">
        <f t="shared" si="0"/>
        <v>430211</v>
      </c>
      <c r="E8" s="585">
        <v>468134</v>
      </c>
      <c r="F8" s="1775">
        <f t="shared" si="1"/>
        <v>468134</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90894</v>
      </c>
      <c r="C10" s="585"/>
      <c r="D10" s="1775">
        <f t="shared" si="0"/>
        <v>90894</v>
      </c>
      <c r="E10" s="585">
        <v>79594</v>
      </c>
      <c r="F10" s="1775">
        <f t="shared" si="1"/>
        <v>79594</v>
      </c>
    </row>
    <row r="11" spans="1:6" x14ac:dyDescent="0.2">
      <c r="A11" s="716" t="s">
        <v>429</v>
      </c>
      <c r="B11" s="1772">
        <f>'Revenues 9-14'!J5</f>
        <v>850434</v>
      </c>
      <c r="C11" s="585"/>
      <c r="D11" s="1775">
        <f t="shared" si="0"/>
        <v>850434</v>
      </c>
      <c r="E11" s="585">
        <v>872523</v>
      </c>
      <c r="F11" s="1775">
        <f t="shared" si="1"/>
        <v>872523</v>
      </c>
    </row>
    <row r="12" spans="1:6" ht="13.7" customHeight="1" x14ac:dyDescent="0.2">
      <c r="A12" s="716" t="s">
        <v>159</v>
      </c>
      <c r="B12" s="1772">
        <f>'Revenues 9-14'!K5</f>
        <v>90894</v>
      </c>
      <c r="C12" s="585"/>
      <c r="D12" s="1775">
        <f t="shared" si="0"/>
        <v>90894</v>
      </c>
      <c r="E12" s="585">
        <v>79594</v>
      </c>
      <c r="F12" s="1775">
        <f t="shared" si="1"/>
        <v>79594</v>
      </c>
    </row>
    <row r="13" spans="1:6" ht="13.7" customHeight="1" x14ac:dyDescent="0.2">
      <c r="A13" s="716" t="s">
        <v>993</v>
      </c>
      <c r="B13" s="1772">
        <f>SUM('Revenues 9-14'!C6:D6)</f>
        <v>90894</v>
      </c>
      <c r="C13" s="585"/>
      <c r="D13" s="1775">
        <f t="shared" si="0"/>
        <v>90894</v>
      </c>
      <c r="E13" s="585">
        <v>79594</v>
      </c>
      <c r="F13" s="1775">
        <f t="shared" si="1"/>
        <v>79594</v>
      </c>
    </row>
    <row r="14" spans="1:6" ht="13.7" customHeight="1" x14ac:dyDescent="0.2">
      <c r="A14" s="716" t="s">
        <v>430</v>
      </c>
      <c r="B14" s="1772">
        <f>SUM('Revenues 9-14'!C7:D7,'Revenues 9-14'!F7:H7)</f>
        <v>72717</v>
      </c>
      <c r="C14" s="585"/>
      <c r="D14" s="1775">
        <f t="shared" si="0"/>
        <v>72717</v>
      </c>
      <c r="E14" s="585">
        <v>63674</v>
      </c>
      <c r="F14" s="1775">
        <f t="shared" si="1"/>
        <v>63674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370192</v>
      </c>
      <c r="C16" s="585"/>
      <c r="D16" s="1775">
        <f t="shared" si="0"/>
        <v>370192</v>
      </c>
      <c r="E16" s="585">
        <v>410369</v>
      </c>
      <c r="F16" s="1775">
        <f t="shared" si="1"/>
        <v>410369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9318086</v>
      </c>
      <c r="C19" s="1773">
        <f>SUM(C4:C18)</f>
        <v>0</v>
      </c>
      <c r="D19" s="1773">
        <f>SUM(D4:D18)</f>
        <v>9318086</v>
      </c>
      <c r="E19" s="1773">
        <f>SUM(E4:E18)</f>
        <v>8468670</v>
      </c>
      <c r="F19" s="1773">
        <f>SUM(F4:F18)</f>
        <v>8468670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5" colorId="8" zoomScale="110" zoomScaleNormal="110" workbookViewId="0">
      <selection activeCell="W31" sqref="W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1902</v>
      </c>
      <c r="B2" s="2218"/>
      <c r="C2" s="1909" t="s">
        <v>2033</v>
      </c>
      <c r="D2" s="724" t="s">
        <v>2040</v>
      </c>
      <c r="E2" s="724" t="s">
        <v>2041</v>
      </c>
      <c r="F2" s="1909" t="s">
        <v>2034</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7">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6" t="s">
        <v>652</v>
      </c>
      <c r="B15" s="2207"/>
      <c r="C15" s="1777">
        <f>SUM(C6:C14)</f>
        <v>0</v>
      </c>
      <c r="D15" s="1777">
        <f>SUM(D6:D14)</f>
        <v>0</v>
      </c>
      <c r="E15" s="1777">
        <f>SUM(E6:E14)</f>
        <v>0</v>
      </c>
      <c r="F15" s="1777">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406</v>
      </c>
      <c r="B19" s="2230"/>
      <c r="C19" s="727"/>
      <c r="D19" s="585"/>
      <c r="E19" s="727"/>
      <c r="F19" s="1777">
        <f>SUM(C19+D19)-E19</f>
        <v>0</v>
      </c>
    </row>
    <row r="20" spans="1:11" ht="12.75" customHeight="1" thickTop="1" thickBot="1" x14ac:dyDescent="0.25">
      <c r="A20" s="2229" t="s">
        <v>468</v>
      </c>
      <c r="B20" s="2230"/>
      <c r="C20" s="727"/>
      <c r="D20" s="585"/>
      <c r="E20" s="727"/>
      <c r="F20" s="1777">
        <f>SUM(C20+D20)-E20</f>
        <v>0</v>
      </c>
    </row>
    <row r="21" spans="1:11" ht="14.25" thickTop="1" thickBot="1" x14ac:dyDescent="0.25">
      <c r="A21" s="2206" t="s">
        <v>653</v>
      </c>
      <c r="B21" s="2207"/>
      <c r="C21" s="1777">
        <f>SUM(C17:C20)</f>
        <v>0</v>
      </c>
      <c r="D21" s="1777">
        <f>SUM(D17:D20)</f>
        <v>0</v>
      </c>
      <c r="E21" s="1777">
        <f>SUM(E17:E20)</f>
        <v>0</v>
      </c>
      <c r="F21" s="1777">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7">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7">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v>321205</v>
      </c>
      <c r="D27" s="585">
        <v>350260</v>
      </c>
      <c r="E27" s="585">
        <f>142378+10265</f>
        <v>152643</v>
      </c>
      <c r="F27" s="1777">
        <f>SUM(C27+D27)-E27</f>
        <v>518822</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10" t="s">
        <v>604</v>
      </c>
      <c r="D30" s="1910" t="s">
        <v>1772</v>
      </c>
      <c r="E30" s="1910" t="s">
        <v>2035</v>
      </c>
      <c r="F30" s="1910" t="s">
        <v>2036</v>
      </c>
      <c r="G30" s="1910" t="s">
        <v>2039</v>
      </c>
      <c r="H30" s="1910" t="s">
        <v>2037</v>
      </c>
      <c r="I30" s="1910" t="s">
        <v>2038</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t="s">
        <v>2149</v>
      </c>
      <c r="B32" s="734">
        <v>39600</v>
      </c>
      <c r="C32" s="735">
        <v>1605000</v>
      </c>
      <c r="D32" s="736">
        <v>4</v>
      </c>
      <c r="E32" s="735">
        <v>345000</v>
      </c>
      <c r="F32" s="735"/>
      <c r="G32" s="735"/>
      <c r="H32" s="735">
        <v>345000</v>
      </c>
      <c r="I32" s="1778">
        <f>((E32+F32)-H32)+G32</f>
        <v>0</v>
      </c>
      <c r="J32" s="735">
        <v>0</v>
      </c>
      <c r="K32" s="737"/>
    </row>
    <row r="33" spans="1:11" ht="12" customHeight="1" x14ac:dyDescent="0.2">
      <c r="A33" s="733" t="s">
        <v>2150</v>
      </c>
      <c r="B33" s="734">
        <v>40878</v>
      </c>
      <c r="C33" s="735">
        <v>875000</v>
      </c>
      <c r="D33" s="736">
        <v>4</v>
      </c>
      <c r="E33" s="735">
        <v>485000</v>
      </c>
      <c r="F33" s="735"/>
      <c r="G33" s="735"/>
      <c r="H33" s="735">
        <v>90000</v>
      </c>
      <c r="I33" s="1778">
        <f t="shared" ref="I33:I48" si="1">((E33+F33)-H33)+G33</f>
        <v>395000</v>
      </c>
      <c r="J33" s="735">
        <f>395000-89560</f>
        <v>305440</v>
      </c>
      <c r="K33" s="737"/>
    </row>
    <row r="34" spans="1:11" ht="12" customHeight="1" x14ac:dyDescent="0.2">
      <c r="A34" s="733" t="s">
        <v>2151</v>
      </c>
      <c r="B34" s="734">
        <v>41799</v>
      </c>
      <c r="C34" s="735">
        <v>5325000</v>
      </c>
      <c r="D34" s="736">
        <v>4</v>
      </c>
      <c r="E34" s="735">
        <v>4975000</v>
      </c>
      <c r="F34" s="735"/>
      <c r="G34" s="735">
        <v>-1650000</v>
      </c>
      <c r="H34" s="735">
        <v>350000</v>
      </c>
      <c r="I34" s="1778">
        <f t="shared" si="1"/>
        <v>2975000</v>
      </c>
      <c r="J34" s="735">
        <v>2975000</v>
      </c>
      <c r="K34" s="738"/>
    </row>
    <row r="35" spans="1:11" ht="12" customHeight="1" x14ac:dyDescent="0.2">
      <c r="A35" s="733" t="s">
        <v>2151</v>
      </c>
      <c r="B35" s="734">
        <v>42585</v>
      </c>
      <c r="C35" s="739">
        <v>2000000</v>
      </c>
      <c r="D35" s="736">
        <v>1</v>
      </c>
      <c r="E35" s="739">
        <v>2000000</v>
      </c>
      <c r="F35" s="739"/>
      <c r="G35" s="739"/>
      <c r="H35" s="739">
        <v>589000</v>
      </c>
      <c r="I35" s="1778">
        <f t="shared" si="1"/>
        <v>1411000</v>
      </c>
      <c r="J35" s="739">
        <v>1411000</v>
      </c>
      <c r="K35" s="738"/>
    </row>
    <row r="36" spans="1:11" ht="12" customHeight="1" x14ac:dyDescent="0.2">
      <c r="A36" s="733" t="s">
        <v>2151</v>
      </c>
      <c r="B36" s="734">
        <v>43097</v>
      </c>
      <c r="C36" s="735">
        <v>1836000</v>
      </c>
      <c r="D36" s="736">
        <v>3</v>
      </c>
      <c r="E36" s="735"/>
      <c r="F36" s="735">
        <v>1836000</v>
      </c>
      <c r="G36" s="735"/>
      <c r="H36" s="735"/>
      <c r="I36" s="1778">
        <f t="shared" si="1"/>
        <v>1836000</v>
      </c>
      <c r="J36" s="735">
        <v>1836000</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11641000</v>
      </c>
      <c r="D49" s="746"/>
      <c r="E49" s="1778">
        <f t="shared" ref="E49:J49" si="2">SUM(E31:E48)</f>
        <v>7805000</v>
      </c>
      <c r="F49" s="1778">
        <f t="shared" si="2"/>
        <v>1836000</v>
      </c>
      <c r="G49" s="1778">
        <f t="shared" si="2"/>
        <v>-1650000</v>
      </c>
      <c r="H49" s="1778">
        <f t="shared" si="2"/>
        <v>1374000</v>
      </c>
      <c r="I49" s="1778">
        <f t="shared" si="2"/>
        <v>6617000</v>
      </c>
      <c r="J49" s="1778">
        <f t="shared" si="2"/>
        <v>6527440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c r="G52" s="2226"/>
      <c r="H52" s="737"/>
      <c r="I52" s="737"/>
      <c r="J52" s="747"/>
    </row>
    <row r="53" spans="1:11" ht="11.25" customHeight="1" x14ac:dyDescent="0.2">
      <c r="A53" s="751" t="s">
        <v>969</v>
      </c>
      <c r="B53" s="752" t="s">
        <v>1008</v>
      </c>
      <c r="C53" s="747"/>
      <c r="D53" s="738"/>
      <c r="E53" s="750" t="s">
        <v>518</v>
      </c>
      <c r="F53" s="2227"/>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W31" sqref="W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1916</v>
      </c>
      <c r="K2" s="763" t="s">
        <v>140</v>
      </c>
    </row>
    <row r="3" spans="1:11" x14ac:dyDescent="0.2">
      <c r="A3" s="2239" t="s">
        <v>1698</v>
      </c>
      <c r="B3" s="2240"/>
      <c r="C3" s="2240"/>
      <c r="D3" s="2240"/>
      <c r="E3" s="2241"/>
      <c r="F3" s="764"/>
      <c r="G3" s="765"/>
      <c r="H3" s="765"/>
      <c r="I3" s="765"/>
      <c r="J3" s="766">
        <v>12637</v>
      </c>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72717</v>
      </c>
      <c r="I5" s="773"/>
      <c r="J5" s="774"/>
      <c r="K5" s="774"/>
    </row>
    <row r="6" spans="1:11" x14ac:dyDescent="0.2">
      <c r="A6" s="775" t="s">
        <v>744</v>
      </c>
      <c r="B6" s="776"/>
      <c r="C6" s="776"/>
      <c r="D6" s="776"/>
      <c r="E6" s="777"/>
      <c r="F6" s="778" t="s">
        <v>904</v>
      </c>
      <c r="G6" s="765"/>
      <c r="H6" s="765"/>
      <c r="I6" s="765"/>
      <c r="J6" s="766">
        <v>577</v>
      </c>
      <c r="K6" s="766"/>
    </row>
    <row r="7" spans="1:11" x14ac:dyDescent="0.2">
      <c r="A7" s="779" t="s">
        <v>264</v>
      </c>
      <c r="B7" s="780"/>
      <c r="C7" s="780"/>
      <c r="D7" s="780"/>
      <c r="E7" s="781"/>
      <c r="F7" s="771" t="s">
        <v>905</v>
      </c>
      <c r="G7" s="768"/>
      <c r="H7" s="768"/>
      <c r="I7" s="768"/>
      <c r="J7" s="782"/>
      <c r="K7" s="766">
        <v>6832</v>
      </c>
    </row>
    <row r="8" spans="1:11" x14ac:dyDescent="0.2">
      <c r="A8" s="779" t="s">
        <v>363</v>
      </c>
      <c r="B8" s="780"/>
      <c r="C8" s="780"/>
      <c r="D8" s="780"/>
      <c r="E8" s="781"/>
      <c r="F8" s="771" t="s">
        <v>906</v>
      </c>
      <c r="G8" s="783"/>
      <c r="H8" s="783"/>
      <c r="I8" s="783"/>
      <c r="J8" s="766">
        <v>994096</v>
      </c>
      <c r="K8" s="770"/>
    </row>
    <row r="9" spans="1:11" x14ac:dyDescent="0.2">
      <c r="A9" s="779" t="s">
        <v>140</v>
      </c>
      <c r="B9" s="780"/>
      <c r="C9" s="780"/>
      <c r="D9" s="780"/>
      <c r="E9" s="781"/>
      <c r="F9" s="778" t="s">
        <v>908</v>
      </c>
      <c r="G9" s="783"/>
      <c r="H9" s="772"/>
      <c r="I9" s="772"/>
      <c r="J9" s="782"/>
      <c r="K9" s="766">
        <v>22768</v>
      </c>
    </row>
    <row r="10" spans="1:11" x14ac:dyDescent="0.2">
      <c r="A10" s="2260" t="s">
        <v>1917</v>
      </c>
      <c r="B10" s="2233"/>
      <c r="C10" s="2233"/>
      <c r="D10" s="2233"/>
      <c r="E10" s="2262"/>
      <c r="F10" s="784" t="s">
        <v>917</v>
      </c>
      <c r="G10" s="783"/>
      <c r="H10" s="785"/>
      <c r="I10" s="765"/>
      <c r="J10" s="766"/>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9"/>
      <c r="G12" s="1780">
        <f>SUM(G5:G11)</f>
        <v>0</v>
      </c>
      <c r="H12" s="1780">
        <f>SUM(H5:H11)</f>
        <v>72717</v>
      </c>
      <c r="I12" s="1780">
        <f>SUM(I5:I11)</f>
        <v>0</v>
      </c>
      <c r="J12" s="1780">
        <f>SUM(J5:J11)</f>
        <v>994673</v>
      </c>
      <c r="K12" s="1780">
        <f>SUM(K5:K11)</f>
        <v>29600</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v>72717</v>
      </c>
      <c r="I14" s="772"/>
      <c r="J14" s="774"/>
      <c r="K14" s="766">
        <v>29600</v>
      </c>
    </row>
    <row r="15" spans="1:11" x14ac:dyDescent="0.2">
      <c r="A15" s="2233" t="s">
        <v>4</v>
      </c>
      <c r="B15" s="2233"/>
      <c r="C15" s="2233"/>
      <c r="D15" s="2233"/>
      <c r="E15" s="2261"/>
      <c r="F15" s="790" t="s">
        <v>910</v>
      </c>
      <c r="G15" s="772"/>
      <c r="H15" s="765"/>
      <c r="I15" s="765"/>
      <c r="J15" s="766">
        <v>275067</v>
      </c>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1913</v>
      </c>
      <c r="B19" s="2268"/>
      <c r="C19" s="2268"/>
      <c r="D19" s="2268"/>
      <c r="E19" s="2269"/>
      <c r="F19" s="790" t="s">
        <v>990</v>
      </c>
      <c r="G19" s="783"/>
      <c r="H19" s="783"/>
      <c r="I19" s="783"/>
      <c r="J19" s="766"/>
      <c r="K19" s="796"/>
    </row>
    <row r="20" spans="1:11" x14ac:dyDescent="0.2">
      <c r="A20" s="2247" t="s">
        <v>1918</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1"/>
      <c r="G21" s="793"/>
      <c r="H21" s="797"/>
      <c r="I21" s="797"/>
      <c r="J21" s="1782">
        <f>SUM(J18:J20)</f>
        <v>0</v>
      </c>
      <c r="K21" s="794"/>
    </row>
    <row r="22" spans="1:11" ht="13.5" thickTop="1" x14ac:dyDescent="0.2">
      <c r="A22" s="2233" t="s">
        <v>1919</v>
      </c>
      <c r="B22" s="2233"/>
      <c r="C22" s="2233"/>
      <c r="D22" s="2233"/>
      <c r="E22" s="2261"/>
      <c r="F22" s="790" t="s">
        <v>917</v>
      </c>
      <c r="G22" s="783"/>
      <c r="H22" s="765"/>
      <c r="I22" s="765"/>
      <c r="J22" s="798"/>
      <c r="K22" s="766"/>
    </row>
    <row r="23" spans="1:11" ht="13.5" thickBot="1" x14ac:dyDescent="0.25">
      <c r="A23" s="2254" t="s">
        <v>962</v>
      </c>
      <c r="B23" s="2253"/>
      <c r="C23" s="2253"/>
      <c r="D23" s="2253"/>
      <c r="E23" s="2253"/>
      <c r="F23" s="1783"/>
      <c r="G23" s="1780">
        <f>SUM(G14:G16,G21,G22)</f>
        <v>0</v>
      </c>
      <c r="H23" s="1780">
        <f>SUM(H14:H16,H21,H22)</f>
        <v>72717</v>
      </c>
      <c r="I23" s="1780">
        <f>SUM(I14:I16,I21,I22)</f>
        <v>0</v>
      </c>
      <c r="J23" s="1780">
        <f>SUM(J14:J16,J21,J22)</f>
        <v>275067</v>
      </c>
      <c r="K23" s="1780">
        <f>SUM(K14:K16,K21,K22)</f>
        <v>29600</v>
      </c>
    </row>
    <row r="24" spans="1:11" ht="14.25" thickTop="1" thickBot="1" x14ac:dyDescent="0.25">
      <c r="A24" s="2254" t="s">
        <v>2021</v>
      </c>
      <c r="B24" s="2253"/>
      <c r="C24" s="2253"/>
      <c r="D24" s="2253"/>
      <c r="E24" s="2253"/>
      <c r="F24" s="1784"/>
      <c r="G24" s="1785">
        <f>SUM(G3,G12)-G23</f>
        <v>0</v>
      </c>
      <c r="H24" s="1785">
        <f>SUM(H3,H12)-H23</f>
        <v>0</v>
      </c>
      <c r="I24" s="1785">
        <f>SUM(I3,I12)-I23</f>
        <v>0</v>
      </c>
      <c r="J24" s="1785">
        <f>SUM(J3,J12)-J23</f>
        <v>732243</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732243</v>
      </c>
      <c r="K26" s="1780">
        <f>K24-K25</f>
        <v>0</v>
      </c>
    </row>
    <row r="27" spans="1:11" ht="5.25" customHeight="1" thickTop="1" x14ac:dyDescent="0.2">
      <c r="I27" s="202"/>
      <c r="J27" s="202"/>
    </row>
    <row r="28" spans="1:11" ht="29.25" customHeight="1" x14ac:dyDescent="0.2">
      <c r="A28" s="1905" t="s">
        <v>2031</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2074</v>
      </c>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W31" sqref="W3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2030</v>
      </c>
      <c r="B1" s="2273"/>
      <c r="C1" s="2274"/>
      <c r="D1" s="827"/>
      <c r="E1" s="828"/>
      <c r="F1" s="828"/>
      <c r="G1" s="829"/>
      <c r="H1" s="830"/>
      <c r="I1" s="831"/>
      <c r="J1" s="2270"/>
      <c r="K1" s="2271"/>
      <c r="L1" s="2271"/>
    </row>
    <row r="2" spans="1:14" ht="69.75" customHeight="1" x14ac:dyDescent="0.2">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509730</v>
      </c>
      <c r="D5" s="842"/>
      <c r="E5" s="842"/>
      <c r="F5" s="1782">
        <f>(C5+D5)-E5</f>
        <v>509730</v>
      </c>
      <c r="G5" s="838"/>
      <c r="H5" s="843"/>
      <c r="I5" s="843"/>
      <c r="J5" s="843"/>
      <c r="K5" s="794"/>
      <c r="L5" s="1791">
        <f>F5-K5</f>
        <v>509730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16485550</v>
      </c>
      <c r="D8" s="845">
        <v>70337</v>
      </c>
      <c r="E8" s="845"/>
      <c r="F8" s="1782">
        <f>(C8+D8)-E8</f>
        <v>16555887</v>
      </c>
      <c r="G8" s="844">
        <v>50</v>
      </c>
      <c r="H8" s="766">
        <v>6422898</v>
      </c>
      <c r="I8" s="766">
        <v>321995</v>
      </c>
      <c r="J8" s="766"/>
      <c r="K8" s="1791">
        <f>(H8+I8)-J8</f>
        <v>6744893</v>
      </c>
      <c r="L8" s="1791">
        <f>F8-K8</f>
        <v>9810994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3885830</v>
      </c>
      <c r="D10" s="847"/>
      <c r="E10" s="847"/>
      <c r="F10" s="1786">
        <f>(C10+D10)-E10</f>
        <v>3885830</v>
      </c>
      <c r="G10" s="844">
        <v>20</v>
      </c>
      <c r="H10" s="848">
        <v>2229694</v>
      </c>
      <c r="I10" s="848">
        <v>172808</v>
      </c>
      <c r="J10" s="848"/>
      <c r="K10" s="1791">
        <f>(H10+I10)-J10</f>
        <v>2402502</v>
      </c>
      <c r="L10" s="1791">
        <f>F10-K10</f>
        <v>1483328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607737</v>
      </c>
      <c r="D12" s="845">
        <v>37564</v>
      </c>
      <c r="E12" s="845">
        <v>6799</v>
      </c>
      <c r="F12" s="1782">
        <f>(C12+D12)-E12</f>
        <v>638502</v>
      </c>
      <c r="G12" s="844">
        <v>10</v>
      </c>
      <c r="H12" s="766">
        <v>504059</v>
      </c>
      <c r="I12" s="766">
        <v>38180</v>
      </c>
      <c r="J12" s="766">
        <v>6799</v>
      </c>
      <c r="K12" s="1791">
        <f>(H12+I12)-J12</f>
        <v>535440</v>
      </c>
      <c r="L12" s="1791">
        <f>F12-K12</f>
        <v>103062</v>
      </c>
    </row>
    <row r="13" spans="1:14" ht="14.25" thickTop="1" thickBot="1" x14ac:dyDescent="0.25">
      <c r="A13" s="849" t="s">
        <v>1184</v>
      </c>
      <c r="B13" s="841">
        <v>252</v>
      </c>
      <c r="C13" s="845">
        <f>2468462+254034</f>
        <v>2722496</v>
      </c>
      <c r="D13" s="845">
        <f>355899+19940</f>
        <v>375839</v>
      </c>
      <c r="E13" s="845">
        <v>57843</v>
      </c>
      <c r="F13" s="1782">
        <f>(C13+D13)-E13</f>
        <v>3040492</v>
      </c>
      <c r="G13" s="844">
        <v>5</v>
      </c>
      <c r="H13" s="766">
        <f>2247988+159953</f>
        <v>2407941</v>
      </c>
      <c r="I13" s="766">
        <f>146164+15553</f>
        <v>161717</v>
      </c>
      <c r="J13" s="766">
        <v>57843</v>
      </c>
      <c r="K13" s="1791">
        <f>(H13+I13)-J13</f>
        <v>2511815</v>
      </c>
      <c r="L13" s="1791">
        <f>F13-K13</f>
        <v>528677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24211343</v>
      </c>
      <c r="D16" s="1782">
        <f>SUM(D3,D5:D6,D8:D10,D12:D15)</f>
        <v>483740</v>
      </c>
      <c r="E16" s="1782">
        <f>SUM(E3,E5:E6,E8:E10,E12:E15)</f>
        <v>64642</v>
      </c>
      <c r="F16" s="1782">
        <f>SUM(F3,F5:F6,F8:F10,F12:F15)</f>
        <v>24630441</v>
      </c>
      <c r="G16" s="844"/>
      <c r="H16" s="1782">
        <f>SUM(H3,H6,H8:H10,H12:H14,)</f>
        <v>11564592</v>
      </c>
      <c r="I16" s="1782">
        <f>SUM(I3,I6,I8:I10,I12:I14,)</f>
        <v>694700</v>
      </c>
      <c r="J16" s="1782">
        <f>SUM(J3,J6,J8:J10,J12:J14,)</f>
        <v>64642</v>
      </c>
      <c r="K16" s="1782">
        <f>(H16+I16)-J16</f>
        <v>12194650</v>
      </c>
      <c r="L16" s="1782">
        <f>F16-K16</f>
        <v>12435791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110197</v>
      </c>
      <c r="G17" s="838">
        <v>10</v>
      </c>
      <c r="H17" s="770"/>
      <c r="I17" s="1791">
        <f>F17/G17</f>
        <v>11019.7</v>
      </c>
      <c r="J17" s="770"/>
      <c r="K17" s="796"/>
      <c r="L17" s="796"/>
    </row>
    <row r="18" spans="1:12" ht="14.25" thickTop="1" thickBot="1" x14ac:dyDescent="0.25">
      <c r="A18" s="1789" t="s">
        <v>706</v>
      </c>
      <c r="B18" s="1790"/>
      <c r="C18" s="772"/>
      <c r="D18" s="772"/>
      <c r="E18" s="772"/>
      <c r="F18" s="851"/>
      <c r="G18" s="852"/>
      <c r="H18" s="774"/>
      <c r="I18" s="1782">
        <f>SUM(I16,I17)</f>
        <v>705719.7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W31" sqref="W31"/>
      <selection pane="bottomLeft" activeCell="W31" sqref="W3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13275052</v>
      </c>
      <c r="G8" s="866"/>
    </row>
    <row r="9" spans="1:7" x14ac:dyDescent="0.2">
      <c r="A9" s="870" t="s">
        <v>480</v>
      </c>
      <c r="B9" s="871" t="s">
        <v>1985</v>
      </c>
      <c r="C9" s="872"/>
      <c r="D9" s="870" t="s">
        <v>522</v>
      </c>
      <c r="E9" s="869"/>
      <c r="F9" s="1935">
        <f>'Expenditures 15-22'!K151</f>
        <v>1265719</v>
      </c>
      <c r="G9" s="873"/>
    </row>
    <row r="10" spans="1:7" x14ac:dyDescent="0.2">
      <c r="A10" s="870" t="s">
        <v>520</v>
      </c>
      <c r="B10" s="871" t="s">
        <v>1986</v>
      </c>
      <c r="C10" s="872"/>
      <c r="D10" s="870" t="s">
        <v>522</v>
      </c>
      <c r="E10" s="869"/>
      <c r="F10" s="1935">
        <f>'Expenditures 15-22'!K174</f>
        <v>1732759</v>
      </c>
      <c r="G10" s="873"/>
    </row>
    <row r="11" spans="1:7" x14ac:dyDescent="0.2">
      <c r="A11" s="870" t="s">
        <v>481</v>
      </c>
      <c r="B11" s="871" t="s">
        <v>1987</v>
      </c>
      <c r="C11" s="872"/>
      <c r="D11" s="870" t="s">
        <v>522</v>
      </c>
      <c r="E11" s="869"/>
      <c r="F11" s="1935">
        <f>'Expenditures 15-22'!K210</f>
        <v>1324006</v>
      </c>
      <c r="G11" s="873"/>
    </row>
    <row r="12" spans="1:7" x14ac:dyDescent="0.2">
      <c r="A12" s="870" t="s">
        <v>482</v>
      </c>
      <c r="B12" s="871" t="s">
        <v>1988</v>
      </c>
      <c r="C12" s="872"/>
      <c r="D12" s="870" t="s">
        <v>522</v>
      </c>
      <c r="E12" s="869"/>
      <c r="F12" s="1935">
        <f>'Expenditures 15-22'!K295</f>
        <v>877913</v>
      </c>
      <c r="G12" s="873"/>
    </row>
    <row r="13" spans="1:7" x14ac:dyDescent="0.2">
      <c r="A13" s="870" t="s">
        <v>108</v>
      </c>
      <c r="B13" s="871" t="s">
        <v>1989</v>
      </c>
      <c r="C13" s="872"/>
      <c r="D13" s="870" t="s">
        <v>522</v>
      </c>
      <c r="E13" s="869"/>
      <c r="F13" s="1935">
        <f>'Expenditures 15-22'!K342</f>
        <v>769331</v>
      </c>
      <c r="G13" s="874"/>
    </row>
    <row r="14" spans="1:7" ht="12" customHeight="1" thickBot="1" x14ac:dyDescent="0.25">
      <c r="A14" s="1792"/>
      <c r="B14" s="1793"/>
      <c r="C14" s="1794"/>
      <c r="D14" s="1795" t="s">
        <v>522</v>
      </c>
      <c r="E14" s="1796" t="s">
        <v>1015</v>
      </c>
      <c r="F14" s="1797">
        <f>SUM(F8:F13)</f>
        <v>19244780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469933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126195</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601008</v>
      </c>
      <c r="G52" s="866"/>
    </row>
    <row r="53" spans="1:7" x14ac:dyDescent="0.2">
      <c r="A53" s="870" t="s">
        <v>479</v>
      </c>
      <c r="B53" s="870" t="s">
        <v>1551</v>
      </c>
      <c r="C53" s="890">
        <f>'Expenditures 15-22'!B102</f>
        <v>4000</v>
      </c>
      <c r="D53" s="889" t="str">
        <f>'Expenditures 15-22'!A102</f>
        <v>Total Payments to Other Govt Units</v>
      </c>
      <c r="E53" s="869"/>
      <c r="F53" s="1939">
        <f>'Expenditures 15-22'!K102</f>
        <v>1680087</v>
      </c>
      <c r="G53" s="866"/>
    </row>
    <row r="54" spans="1:7" x14ac:dyDescent="0.2">
      <c r="A54" s="870" t="s">
        <v>479</v>
      </c>
      <c r="B54" s="870" t="s">
        <v>1552</v>
      </c>
      <c r="C54" s="890" t="s">
        <v>1039</v>
      </c>
      <c r="D54" s="886" t="s">
        <v>1157</v>
      </c>
      <c r="E54" s="869"/>
      <c r="F54" s="1939">
        <f>'Expenditures 15-22'!G114</f>
        <v>24125</v>
      </c>
      <c r="G54" s="866"/>
    </row>
    <row r="55" spans="1:7" x14ac:dyDescent="0.2">
      <c r="A55" s="870" t="s">
        <v>479</v>
      </c>
      <c r="B55" s="870" t="s">
        <v>1553</v>
      </c>
      <c r="C55" s="890" t="s">
        <v>1039</v>
      </c>
      <c r="D55" s="886" t="s">
        <v>309</v>
      </c>
      <c r="E55" s="869"/>
      <c r="F55" s="1939">
        <f>'Expenditures 15-22'!I114</f>
        <v>38190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9">
        <f>'Expenditures 15-22'!K139</f>
        <v>0</v>
      </c>
      <c r="G57" s="866"/>
    </row>
    <row r="58" spans="1:7" x14ac:dyDescent="0.2">
      <c r="A58" s="870" t="s">
        <v>480</v>
      </c>
      <c r="B58" s="870" t="s">
        <v>1991</v>
      </c>
      <c r="C58" s="887" t="s">
        <v>1039</v>
      </c>
      <c r="D58" s="886" t="s">
        <v>1157</v>
      </c>
      <c r="E58" s="869"/>
      <c r="F58" s="1941">
        <f>'Expenditures 15-22'!G151</f>
        <v>13439</v>
      </c>
      <c r="G58" s="866"/>
    </row>
    <row r="59" spans="1:7" x14ac:dyDescent="0.2">
      <c r="A59" s="894" t="s">
        <v>480</v>
      </c>
      <c r="B59" s="857" t="s">
        <v>1992</v>
      </c>
      <c r="C59" s="895" t="s">
        <v>1039</v>
      </c>
      <c r="D59" s="857" t="s">
        <v>309</v>
      </c>
      <c r="F59" s="1942">
        <f>'Expenditures 15-22'!I151</f>
        <v>8882</v>
      </c>
      <c r="G59" s="866"/>
    </row>
    <row r="60" spans="1:7" x14ac:dyDescent="0.2">
      <c r="A60" s="894" t="s">
        <v>520</v>
      </c>
      <c r="B60" s="857" t="s">
        <v>1993</v>
      </c>
      <c r="C60" s="895">
        <v>4000</v>
      </c>
      <c r="D60" s="857" t="s">
        <v>330</v>
      </c>
      <c r="F60" s="1940">
        <f>'Expenditures 15-22'!K160</f>
        <v>0</v>
      </c>
      <c r="G60" s="866"/>
    </row>
    <row r="61" spans="1:7" x14ac:dyDescent="0.2">
      <c r="A61" s="896" t="s">
        <v>520</v>
      </c>
      <c r="B61" s="896" t="s">
        <v>1994</v>
      </c>
      <c r="C61" s="897" t="str">
        <f>'Expenditures 15-22'!B170</f>
        <v>5300</v>
      </c>
      <c r="D61" s="898" t="s">
        <v>329</v>
      </c>
      <c r="E61" s="880"/>
      <c r="F61" s="1939">
        <f>'Expenditures 15-22'!K170</f>
        <v>1374000</v>
      </c>
      <c r="G61" s="866"/>
    </row>
    <row r="62" spans="1:7" x14ac:dyDescent="0.2">
      <c r="A62" s="870" t="s">
        <v>481</v>
      </c>
      <c r="B62" s="870" t="s">
        <v>1995</v>
      </c>
      <c r="C62" s="887">
        <f>'Expenditures 15-22'!B185</f>
        <v>3000</v>
      </c>
      <c r="D62" s="877" t="s">
        <v>469</v>
      </c>
      <c r="E62" s="869"/>
      <c r="F62" s="1939">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1997</v>
      </c>
      <c r="C64" s="897" t="str">
        <f>'Expenditures 15-22'!B206</f>
        <v>5300</v>
      </c>
      <c r="D64" s="893" t="s">
        <v>329</v>
      </c>
      <c r="E64" s="869"/>
      <c r="F64" s="1939">
        <f>'Expenditures 15-22'!K206</f>
        <v>142378</v>
      </c>
      <c r="G64" s="866"/>
    </row>
    <row r="65" spans="1:8" x14ac:dyDescent="0.2">
      <c r="A65" s="870" t="s">
        <v>481</v>
      </c>
      <c r="B65" s="870" t="s">
        <v>1998</v>
      </c>
      <c r="C65" s="887" t="s">
        <v>1039</v>
      </c>
      <c r="D65" s="886" t="s">
        <v>1157</v>
      </c>
      <c r="E65" s="869"/>
      <c r="F65" s="1939">
        <f>'Expenditures 15-22'!G210</f>
        <v>355899</v>
      </c>
      <c r="G65" s="866"/>
    </row>
    <row r="66" spans="1:8" x14ac:dyDescent="0.2">
      <c r="A66" s="870" t="s">
        <v>481</v>
      </c>
      <c r="B66" s="870" t="s">
        <v>1999</v>
      </c>
      <c r="C66" s="887" t="s">
        <v>1039</v>
      </c>
      <c r="D66" s="886" t="s">
        <v>309</v>
      </c>
      <c r="E66" s="869"/>
      <c r="F66" s="1939">
        <f>'Expenditures 15-22'!I210</f>
        <v>1977</v>
      </c>
      <c r="G66" s="866"/>
    </row>
    <row r="67" spans="1:8" x14ac:dyDescent="0.2">
      <c r="A67" s="870" t="s">
        <v>482</v>
      </c>
      <c r="B67" s="870" t="s">
        <v>2000</v>
      </c>
      <c r="C67" s="887" t="str">
        <f>'Expenditures 15-22'!B216</f>
        <v>1125</v>
      </c>
      <c r="D67" s="893" t="str">
        <f>'Expenditures 15-22'!A216</f>
        <v>Pre-K Programs</v>
      </c>
      <c r="E67" s="869"/>
      <c r="F67" s="1939">
        <f>'Expenditures 15-22'!K216</f>
        <v>27283</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2002</v>
      </c>
      <c r="C70" s="887">
        <f>'Expenditures 15-22'!B221</f>
        <v>1300</v>
      </c>
      <c r="D70" s="888" t="str">
        <f>'Expenditures 15-22'!A221</f>
        <v>Adult/Continuing Education Programs</v>
      </c>
      <c r="E70" s="869"/>
      <c r="F70" s="1939">
        <f>'Expenditures 15-22'!K221</f>
        <v>0</v>
      </c>
      <c r="G70" s="866"/>
    </row>
    <row r="71" spans="1:8" x14ac:dyDescent="0.2">
      <c r="A71" s="870" t="s">
        <v>482</v>
      </c>
      <c r="B71" s="870" t="s">
        <v>2003</v>
      </c>
      <c r="C71" s="887">
        <f>'Expenditures 15-22'!B224</f>
        <v>1600</v>
      </c>
      <c r="D71" s="888" t="str">
        <f>'Expenditures 15-22'!A224</f>
        <v>Summer School Programs</v>
      </c>
      <c r="E71" s="869"/>
      <c r="F71" s="1939">
        <f>'Expenditures 15-22'!K224</f>
        <v>0</v>
      </c>
      <c r="G71" s="866"/>
    </row>
    <row r="72" spans="1:8" x14ac:dyDescent="0.2">
      <c r="A72" s="870" t="s">
        <v>482</v>
      </c>
      <c r="B72" s="870" t="s">
        <v>2004</v>
      </c>
      <c r="C72" s="887">
        <f>'Expenditures 15-22'!B280</f>
        <v>3000</v>
      </c>
      <c r="D72" s="877" t="s">
        <v>469</v>
      </c>
      <c r="E72" s="869"/>
      <c r="F72" s="1939">
        <f>'Expenditures 15-22'!K280</f>
        <v>89424</v>
      </c>
      <c r="G72" s="866"/>
    </row>
    <row r="73" spans="1:8" x14ac:dyDescent="0.2">
      <c r="A73" s="870" t="s">
        <v>482</v>
      </c>
      <c r="B73" s="870" t="s">
        <v>2005</v>
      </c>
      <c r="C73" s="887" t="str">
        <f>'Expenditures 15-22'!B285</f>
        <v>4000</v>
      </c>
      <c r="D73" s="888" t="str">
        <f>'Expenditures 15-22'!A285</f>
        <v>Total Payments to Other Govt Units</v>
      </c>
      <c r="E73" s="869"/>
      <c r="F73" s="1939">
        <f>'Expenditures 15-22'!K285</f>
        <v>76521</v>
      </c>
      <c r="G73" s="866"/>
    </row>
    <row r="74" spans="1:8" x14ac:dyDescent="0.2">
      <c r="A74" s="870" t="s">
        <v>456</v>
      </c>
      <c r="B74" s="870" t="s">
        <v>2006</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1015</v>
      </c>
      <c r="F76" s="1800">
        <f>SUM(F18:F74)</f>
        <v>5029341</v>
      </c>
      <c r="G76" s="866"/>
    </row>
    <row r="77" spans="1:8" s="894" customFormat="1" ht="12" customHeight="1" thickTop="1" thickBot="1" x14ac:dyDescent="0.25">
      <c r="A77" s="1801"/>
      <c r="B77" s="1798"/>
      <c r="C77" s="1794"/>
      <c r="D77" s="1799" t="s">
        <v>2008</v>
      </c>
      <c r="E77" s="1796"/>
      <c r="F77" s="1802">
        <f>(F14-F76)</f>
        <v>14215439</v>
      </c>
      <c r="G77" s="870"/>
    </row>
    <row r="78" spans="1:8" s="894" customFormat="1" ht="12" customHeight="1" thickTop="1" x14ac:dyDescent="0.2">
      <c r="A78" s="1803"/>
      <c r="B78" s="1798"/>
      <c r="C78" s="1794"/>
      <c r="D78" s="1799" t="s">
        <v>2054</v>
      </c>
      <c r="E78" s="1796"/>
      <c r="F78" s="899">
        <v>1494.31</v>
      </c>
      <c r="G78" s="900"/>
      <c r="H78" s="870"/>
    </row>
    <row r="79" spans="1:8" s="894" customFormat="1" ht="12" customHeight="1" thickBot="1" x14ac:dyDescent="0.25">
      <c r="A79" s="1804"/>
      <c r="B79" s="1798"/>
      <c r="C79" s="1794"/>
      <c r="D79" s="1799" t="s">
        <v>2009</v>
      </c>
      <c r="E79" s="1796" t="s">
        <v>1015</v>
      </c>
      <c r="F79" s="1805">
        <f>IF(F78&gt;0,F77/F78," Complete Line 78")</f>
        <v>9513.0454858764242</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303381</v>
      </c>
      <c r="G94" s="913"/>
    </row>
    <row r="95" spans="1:7" x14ac:dyDescent="0.2">
      <c r="A95" s="909" t="s">
        <v>142</v>
      </c>
      <c r="B95" s="909" t="s">
        <v>177</v>
      </c>
      <c r="C95" s="911">
        <v>1700</v>
      </c>
      <c r="D95" s="919" t="str">
        <f>'Revenues 9-14'!A82</f>
        <v>Total District/School Activity Income</v>
      </c>
      <c r="E95" s="907"/>
      <c r="F95" s="1811">
        <f>SUM('Revenues 9-14'!C82,'Revenues 9-14'!D82)</f>
        <v>55248</v>
      </c>
      <c r="G95" s="913"/>
    </row>
    <row r="96" spans="1:7" x14ac:dyDescent="0.2">
      <c r="A96" s="909" t="s">
        <v>479</v>
      </c>
      <c r="B96" s="909" t="s">
        <v>178</v>
      </c>
      <c r="C96" s="911">
        <f>'Revenues 9-14'!B84</f>
        <v>1811</v>
      </c>
      <c r="D96" s="912" t="str">
        <f>'Revenues 9-14'!A84</f>
        <v>Rentals - Regular Textbooks</v>
      </c>
      <c r="E96" s="907"/>
      <c r="F96" s="1811">
        <f>'Revenues 9-14'!C84</f>
        <v>84332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2850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342658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43223</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5592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22768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553527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2233</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417421</v>
      </c>
      <c r="G129" s="931"/>
    </row>
    <row r="130" spans="1:7" x14ac:dyDescent="0.2">
      <c r="A130" s="928" t="s">
        <v>689</v>
      </c>
      <c r="B130" s="928" t="s">
        <v>804</v>
      </c>
      <c r="C130" s="933">
        <v>4300</v>
      </c>
      <c r="D130" s="934" t="str">
        <f>'Revenues 9-14'!A211</f>
        <v>Total Title I</v>
      </c>
      <c r="E130" s="907"/>
      <c r="F130" s="1811">
        <f>SUM('Revenues 9-14'!C211,'Revenues 9-14'!D211,'Revenues 9-14'!F211,'Revenues 9-14'!G211)</f>
        <v>347312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20011</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76037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16986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47041</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4999</v>
      </c>
      <c r="G174" s="928"/>
    </row>
    <row r="175" spans="1:7" x14ac:dyDescent="0.2">
      <c r="A175" s="1944" t="s">
        <v>5</v>
      </c>
      <c r="B175" s="1945" t="s">
        <v>2053</v>
      </c>
      <c r="C175" s="1946">
        <v>3100</v>
      </c>
      <c r="D175" s="1947" t="s">
        <v>2056</v>
      </c>
      <c r="E175" s="907"/>
      <c r="F175" s="1931">
        <v>254107</v>
      </c>
      <c r="G175" s="928"/>
    </row>
    <row r="176" spans="1:7" x14ac:dyDescent="0.2">
      <c r="A176" s="1944" t="s">
        <v>685</v>
      </c>
      <c r="B176" s="1945" t="s">
        <v>2053</v>
      </c>
      <c r="C176" s="1946">
        <v>3300</v>
      </c>
      <c r="D176" s="1947" t="s">
        <v>2057</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1015</v>
      </c>
      <c r="F178" s="1810">
        <f>SUM(F84:F136,F161:F176)</f>
        <v>2599726</v>
      </c>
    </row>
    <row r="179" spans="1:7" ht="12" customHeight="1" x14ac:dyDescent="0.2">
      <c r="A179" s="1792"/>
      <c r="B179" s="1806"/>
      <c r="C179" s="1807"/>
      <c r="D179" s="1808" t="s">
        <v>2011</v>
      </c>
      <c r="E179" s="1809"/>
      <c r="F179" s="1811">
        <f>'PCTC-OEPP 27-28'!F77-F178</f>
        <v>11615713</v>
      </c>
    </row>
    <row r="180" spans="1:7" ht="12" customHeight="1" x14ac:dyDescent="0.2">
      <c r="A180" s="1792"/>
      <c r="B180" s="1806"/>
      <c r="C180" s="1807"/>
      <c r="D180" s="1808" t="s">
        <v>1921</v>
      </c>
      <c r="E180" s="1809"/>
      <c r="F180" s="1811">
        <f>'Cap Outlay Deprec 26'!I18</f>
        <v>705719.7</v>
      </c>
    </row>
    <row r="181" spans="1:7" ht="12" customHeight="1" x14ac:dyDescent="0.2">
      <c r="A181" s="1792"/>
      <c r="B181" s="1806"/>
      <c r="C181" s="1807"/>
      <c r="D181" s="1808" t="s">
        <v>2012</v>
      </c>
      <c r="E181" s="1809"/>
      <c r="F181" s="1811">
        <f>F179+F180</f>
        <v>12321432.699999999</v>
      </c>
    </row>
    <row r="182" spans="1:7" ht="12" customHeight="1" x14ac:dyDescent="0.2">
      <c r="A182" s="1792"/>
      <c r="B182" s="1812"/>
      <c r="C182" s="1807"/>
      <c r="D182" s="1808" t="str">
        <f>D78</f>
        <v>9 Month ADA from District Average Daily Attendance/Prior General State Aid Inquiry 2017-2018</v>
      </c>
      <c r="E182" s="1809"/>
      <c r="F182" s="1813">
        <f>'PCTC-OEPP 27-28'!F78</f>
        <v>1494.31</v>
      </c>
      <c r="G182" s="931"/>
    </row>
    <row r="183" spans="1:7" ht="12" customHeight="1" thickBot="1" x14ac:dyDescent="0.25">
      <c r="A183" s="1792"/>
      <c r="B183" s="1812"/>
      <c r="C183" s="1807"/>
      <c r="D183" s="1808" t="s">
        <v>2013</v>
      </c>
      <c r="E183" s="1809" t="s">
        <v>1626</v>
      </c>
      <c r="F183" s="1814">
        <f>F181/F182</f>
        <v>8245.5666494903999</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8" customFormat="1" ht="12.2" customHeight="1" x14ac:dyDescent="0.2">
      <c r="A186" s="1948" t="s">
        <v>2060</v>
      </c>
      <c r="B186" s="1949"/>
      <c r="C186" s="1950"/>
      <c r="D186" s="1949"/>
      <c r="E186" s="1950"/>
      <c r="F186" s="1949"/>
      <c r="G186" s="1949"/>
    </row>
    <row r="187" spans="1:7" s="1948" customFormat="1" ht="12.2" customHeight="1" x14ac:dyDescent="0.2">
      <c r="A187" s="1951" t="s">
        <v>2061</v>
      </c>
      <c r="C187" s="1950"/>
      <c r="D187" s="1949"/>
      <c r="E187" s="1950"/>
      <c r="F187" s="1949"/>
      <c r="G187" s="1949"/>
    </row>
    <row r="188" spans="1:7" ht="12" customHeight="1" x14ac:dyDescent="0.2">
      <c r="C188" s="950"/>
      <c r="D188" s="931"/>
      <c r="E188" s="950"/>
      <c r="F188" s="931"/>
      <c r="G188" s="931"/>
    </row>
    <row r="189" spans="1:7" x14ac:dyDescent="0.2">
      <c r="A189" s="1952" t="s">
        <v>2059</v>
      </c>
      <c r="B189" s="1953"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W31" sqref="W31"/>
      <selection pane="bottomLeft" activeCell="W31" sqref="W3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1922</v>
      </c>
      <c r="B4" s="2290"/>
      <c r="C4" s="2290"/>
      <c r="D4" s="2290"/>
      <c r="E4" s="2290"/>
      <c r="F4" s="2290"/>
      <c r="G4" s="2291"/>
    </row>
    <row r="5" spans="1:7" x14ac:dyDescent="0.25">
      <c r="A5" s="2292"/>
      <c r="B5" s="2293"/>
      <c r="C5" s="2293"/>
      <c r="D5" s="2293"/>
      <c r="E5" s="2293"/>
      <c r="F5" s="2293"/>
      <c r="G5" s="2294"/>
    </row>
    <row r="6" spans="1:7" ht="18.75" x14ac:dyDescent="0.25">
      <c r="A6" s="1556" t="s">
        <v>1923</v>
      </c>
      <c r="B6" s="1557"/>
      <c r="C6" s="1557"/>
      <c r="D6" s="1557"/>
      <c r="E6" s="1557"/>
      <c r="F6" s="1557"/>
      <c r="G6" s="1558"/>
    </row>
    <row r="7" spans="1:7" ht="30.75" customHeight="1" x14ac:dyDescent="0.25">
      <c r="A7" s="2295" t="s">
        <v>2070</v>
      </c>
      <c r="B7" s="2296"/>
      <c r="C7" s="2296"/>
      <c r="D7" s="2296"/>
      <c r="E7" s="2296"/>
      <c r="F7" s="2296"/>
      <c r="G7" s="2297"/>
    </row>
    <row r="8" spans="1:7" ht="15.75" customHeight="1" x14ac:dyDescent="0.25">
      <c r="A8" s="2298" t="s">
        <v>2019</v>
      </c>
      <c r="B8" s="2299"/>
      <c r="C8" s="2299"/>
      <c r="D8" s="2299"/>
      <c r="E8" s="2299"/>
      <c r="F8" s="2299"/>
      <c r="G8" s="2300"/>
    </row>
    <row r="9" spans="1:7" ht="35.25" customHeight="1" x14ac:dyDescent="0.25">
      <c r="A9" s="2295" t="s">
        <v>2073</v>
      </c>
      <c r="B9" s="2296"/>
      <c r="C9" s="2296"/>
      <c r="D9" s="2296"/>
      <c r="E9" s="2296"/>
      <c r="F9" s="2296"/>
      <c r="G9" s="2297"/>
    </row>
    <row r="10" spans="1:7" ht="15" customHeight="1" x14ac:dyDescent="0.25">
      <c r="A10" s="1559" t="s">
        <v>1924</v>
      </c>
      <c r="B10" s="1560"/>
      <c r="C10" s="1560"/>
      <c r="D10" s="1560"/>
      <c r="E10" s="1560"/>
      <c r="F10" s="1560"/>
      <c r="G10" s="1561"/>
    </row>
    <row r="11" spans="1:7" ht="17.25" customHeight="1" x14ac:dyDescent="0.25">
      <c r="A11" s="2295" t="s">
        <v>2072</v>
      </c>
      <c r="B11" s="2296"/>
      <c r="C11" s="2296"/>
      <c r="D11" s="2296"/>
      <c r="E11" s="2296"/>
      <c r="F11" s="2296"/>
      <c r="G11" s="2297"/>
    </row>
    <row r="12" spans="1:7" ht="15" customHeight="1" x14ac:dyDescent="0.25">
      <c r="A12" s="1559" t="s">
        <v>1929</v>
      </c>
      <c r="B12" s="1560"/>
      <c r="C12" s="1560"/>
      <c r="D12" s="1560"/>
      <c r="E12" s="1560"/>
      <c r="F12" s="1560"/>
      <c r="G12" s="1561"/>
    </row>
    <row r="13" spans="1:7" ht="32.25" customHeight="1" x14ac:dyDescent="0.25">
      <c r="A13" s="2286" t="s">
        <v>1930</v>
      </c>
      <c r="B13" s="2287"/>
      <c r="C13" s="2287"/>
      <c r="D13" s="2287"/>
      <c r="E13" s="2287"/>
      <c r="F13" s="2287"/>
      <c r="G13" s="2288"/>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2155</v>
      </c>
      <c r="B17" s="1958" t="s">
        <v>2154</v>
      </c>
      <c r="C17" s="1957" t="s">
        <v>2079</v>
      </c>
      <c r="D17" s="1867">
        <v>14450</v>
      </c>
      <c r="E17" s="1562">
        <f t="shared" ref="E17:E141" si="1">IF(D17&lt;=25000,D17,IF(D17&gt;25000,25000,0))</f>
        <v>14450</v>
      </c>
      <c r="F17" s="1815">
        <f t="shared" si="0"/>
        <v>14450</v>
      </c>
      <c r="G17" s="1816">
        <f>IF(F17=0,0,D17-F17)</f>
        <v>0</v>
      </c>
      <c r="H17" s="1669"/>
    </row>
    <row r="18" spans="1:8" x14ac:dyDescent="0.25">
      <c r="A18" s="1675"/>
      <c r="B18" s="1958"/>
      <c r="C18" s="1957"/>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14450</v>
      </c>
      <c r="E141" s="1563">
        <f t="shared" si="1"/>
        <v>14450</v>
      </c>
      <c r="F141" s="1817">
        <f>SUM(F17:F140)</f>
        <v>14450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W31" sqref="W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f>8930+339014</f>
        <v>347944</v>
      </c>
      <c r="F10" s="975"/>
      <c r="G10" s="976"/>
      <c r="H10" s="162"/>
      <c r="I10" s="162"/>
    </row>
    <row r="11" spans="1:9" s="669" customFormat="1" ht="22.5" customHeight="1" x14ac:dyDescent="0.2">
      <c r="A11" s="2306" t="s">
        <v>1941</v>
      </c>
      <c r="B11" s="2307"/>
      <c r="C11" s="2307"/>
      <c r="D11" s="2308"/>
      <c r="E11" s="978">
        <v>55328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8239385</v>
      </c>
      <c r="F19" s="1822"/>
      <c r="G19" s="1824">
        <f>'Expenditures 15-22'!K33-SUM('Expenditures 15-22'!G33,'Expenditures 15-22'!I33)+'Expenditures 15-22'!D229</f>
        <v>8239385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536456</v>
      </c>
      <c r="F21" s="1825"/>
      <c r="G21" s="1828">
        <f>'Expenditures 15-22'!K42-SUM('Expenditures 15-22'!G42,'Expenditures 15-22'!I42)+'Expenditures 15-22'!K120-SUM('Expenditures 15-22'!G120,'Expenditures 15-22'!I120)+'Expenditures 15-22'!K180-SUM('Expenditures 15-22'!G180,'Expenditures 15-22'!I180)+'Expenditures 15-22'!D238</f>
        <v>536456</v>
      </c>
      <c r="H21" s="988"/>
      <c r="I21" s="162"/>
    </row>
    <row r="22" spans="1:9" s="669" customFormat="1" ht="12" customHeight="1" x14ac:dyDescent="0.2">
      <c r="A22" s="995" t="s">
        <v>585</v>
      </c>
      <c r="B22" s="996"/>
      <c r="C22" s="994">
        <v>2200</v>
      </c>
      <c r="D22" s="1825"/>
      <c r="E22" s="1827">
        <f>'Expenditures 15-22'!K47-SUM('Expenditures 15-22'!G47,'Expenditures 15-22'!I47)+'Expenditures 15-22'!D243</f>
        <v>143007</v>
      </c>
      <c r="F22" s="1825"/>
      <c r="G22" s="1828">
        <f>'Expenditures 15-22'!K47-SUM('Expenditures 15-22'!G47,'Expenditures 15-22'!I47)+'Expenditures 15-22'!D243</f>
        <v>143007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1232763</v>
      </c>
      <c r="F23" s="1825"/>
      <c r="G23" s="1827">
        <f>'Expenditures 15-22'!K53-SUM('Expenditures 15-22'!G53,'Expenditures 15-22'!I53)+'Expenditures 15-22'!D257+'Expenditures 15-22'!K330-SUM('Expenditures 15-22'!G330,'Expenditures 15-22'!I330)</f>
        <v>1232763</v>
      </c>
      <c r="H23" s="988"/>
      <c r="I23" s="162"/>
    </row>
    <row r="24" spans="1:9" s="669" customFormat="1" ht="12" customHeight="1" x14ac:dyDescent="0.2">
      <c r="A24" s="995" t="s">
        <v>587</v>
      </c>
      <c r="B24" s="996"/>
      <c r="C24" s="994">
        <v>2400</v>
      </c>
      <c r="D24" s="1825"/>
      <c r="E24" s="1827">
        <f>'Expenditures 15-22'!K57-SUM('Expenditures 15-22'!G57,'Expenditures 15-22'!I57)+'Expenditures 15-22'!D261</f>
        <v>849661</v>
      </c>
      <c r="F24" s="1825"/>
      <c r="G24" s="1828">
        <f>'Expenditures 15-22'!K57-SUM('Expenditures 15-22'!G57,'Expenditures 15-22'!I57)+'Expenditures 15-22'!D261</f>
        <v>849661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157093</v>
      </c>
      <c r="E27" s="1827">
        <f>E8</f>
        <v>0</v>
      </c>
      <c r="F27" s="1827">
        <f>'Expenditures 15-22'!K60-SUM('Expenditures 15-22'!G60,'Expenditures 15-22'!I60)+'Expenditures 15-22'!D264-E8</f>
        <v>157093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1486923</v>
      </c>
      <c r="F28" s="1829">
        <f>'Expenditures 15-22'!K61-SUM('Expenditures 15-22'!G61,'Expenditures 15-22'!I61)+'Expenditures 15-22'!K124-SUM('Expenditures 15-22'!G124,'Expenditures 15-22'!I124)+'Expenditures 15-22'!D266-E9</f>
        <v>1486923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1032898</v>
      </c>
      <c r="F29" s="1825"/>
      <c r="G29" s="1828">
        <f>'Expenditures 15-22'!K62-SUM('Expenditures 15-22'!G62,'Expenditures 15-22'!I62)+'Expenditures 15-22'!K125-SUM('Expenditures 15-22'!G125,'Expenditures 15-22'!I125)+'Expenditures 15-22'!K182-SUM('Expenditures 15-22'!G182,'Expenditures 15-22'!I182)+'Expenditures 15-22'!D267</f>
        <v>1032898</v>
      </c>
      <c r="H29" s="986"/>
    </row>
    <row r="30" spans="1:9" ht="12" customHeight="1" x14ac:dyDescent="0.2">
      <c r="A30" s="995" t="s">
        <v>102</v>
      </c>
      <c r="B30" s="998"/>
      <c r="C30" s="994">
        <v>2560</v>
      </c>
      <c r="D30" s="1825"/>
      <c r="E30" s="1827">
        <f>'Expenditures 15-22'!K63-SUM('Expenditures 15-22'!G63,'Expenditures 15-22'!I63)+'Expenditures 15-22'!D268-E10</f>
        <v>448474</v>
      </c>
      <c r="F30" s="1825"/>
      <c r="G30" s="1827">
        <f>'Expenditures 15-22'!K63-SUM('Expenditures 15-22'!G63,'Expenditures 15-22'!I63)+'Expenditures 15-22'!D268-E10</f>
        <v>448474</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690432</v>
      </c>
      <c r="F39" s="1825"/>
      <c r="G39" s="1827">
        <f>'Expenditures 15-22'!K75-SUM('Expenditures 15-22'!G75,'Expenditures 15-22'!I75)+'Expenditures 15-22'!K130-SUM('Expenditures 15-22'!G130,'Expenditures 15-22'!I130)+'Expenditures 15-22'!K185-SUM('Expenditures 15-22'!G185,'Expenditures 15-22'!I185)+'Expenditures 15-22'!D280</f>
        <v>690432</v>
      </c>
    </row>
    <row r="40" spans="1:7" ht="12" customHeight="1" x14ac:dyDescent="0.2">
      <c r="A40" s="991" t="s">
        <v>1927</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157093</v>
      </c>
      <c r="E41" s="1829">
        <f>SUM(E19:E40)</f>
        <v>14659999</v>
      </c>
      <c r="F41" s="1829">
        <f>SUM(F19:F39)</f>
        <v>1644016</v>
      </c>
      <c r="G41" s="1829">
        <f>SUM(G19:G40)</f>
        <v>13173076</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157093</v>
      </c>
      <c r="F43" s="1830" t="s">
        <v>495</v>
      </c>
      <c r="G43" s="1831">
        <f>F41</f>
        <v>1644016</v>
      </c>
    </row>
    <row r="44" spans="1:7" ht="12" customHeight="1" x14ac:dyDescent="0.2">
      <c r="A44" s="988"/>
      <c r="B44" s="162"/>
      <c r="C44" s="1002"/>
      <c r="D44" s="1830" t="s">
        <v>494</v>
      </c>
      <c r="E44" s="1831">
        <f>E41</f>
        <v>14659999</v>
      </c>
      <c r="F44" s="1830" t="s">
        <v>494</v>
      </c>
      <c r="G44" s="1831">
        <f>G41</f>
        <v>13173076</v>
      </c>
    </row>
    <row r="45" spans="1:7" ht="12" customHeight="1" x14ac:dyDescent="0.2">
      <c r="A45" s="988"/>
      <c r="B45" s="162"/>
      <c r="C45" s="162"/>
      <c r="D45" s="1832" t="s">
        <v>1063</v>
      </c>
      <c r="E45" s="1833">
        <f>(E43/E44)</f>
        <v>1.0715757893298629E-2</v>
      </c>
      <c r="F45" s="1832" t="s">
        <v>1063</v>
      </c>
      <c r="G45" s="1833">
        <f>(G43/G44)</f>
        <v>0.12480122334373536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W31" sqref="W31"/>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1446</v>
      </c>
      <c r="B1" s="2312"/>
      <c r="C1" s="2312"/>
      <c r="D1" s="2312"/>
      <c r="E1" s="2312"/>
      <c r="F1" s="2312"/>
    </row>
    <row r="2" spans="1:10" x14ac:dyDescent="0.2">
      <c r="A2" s="1912" t="s">
        <v>2043</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3" t="s">
        <v>1627</v>
      </c>
      <c r="B5" s="2314"/>
      <c r="C5" s="2315"/>
      <c r="D5" s="2315"/>
      <c r="E5" s="2315"/>
      <c r="F5" s="2315"/>
    </row>
    <row r="6" spans="1:10" ht="12" customHeight="1" x14ac:dyDescent="0.25">
      <c r="A6" s="1875"/>
      <c r="B6" s="1876"/>
      <c r="C6" s="2316" t="str">
        <f>COVER!A17</f>
        <v>Hillsboro CUSD 3</v>
      </c>
      <c r="D6" s="2316"/>
      <c r="E6" s="2316"/>
      <c r="F6" s="1877"/>
    </row>
    <row r="7" spans="1:10" ht="11.25" customHeight="1" thickBot="1" x14ac:dyDescent="0.3">
      <c r="A7" s="1875"/>
      <c r="B7" s="1876"/>
      <c r="C7" s="2317">
        <f>COVER!A13</f>
        <v>3068003026</v>
      </c>
      <c r="D7" s="2317"/>
      <c r="E7" s="2317"/>
      <c r="F7" s="1877"/>
    </row>
    <row r="8" spans="1:10" ht="25.5" customHeight="1" thickBot="1" x14ac:dyDescent="0.25">
      <c r="A8" s="1918" t="s">
        <v>2020</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2090</v>
      </c>
      <c r="D26" s="1890" t="s">
        <v>2090</v>
      </c>
      <c r="E26" s="1893"/>
      <c r="F26" s="1892" t="s">
        <v>2152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2090</v>
      </c>
      <c r="D31" s="1890" t="s">
        <v>2090</v>
      </c>
      <c r="E31" s="1893"/>
      <c r="F31" s="1892" t="s">
        <v>2153</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W31" sqref="W3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Hillsboro CUSD 3</v>
      </c>
      <c r="J6" s="2337"/>
      <c r="Q6" s="1686"/>
    </row>
    <row r="7" spans="1:17" x14ac:dyDescent="0.2">
      <c r="A7" s="2338" t="s">
        <v>924</v>
      </c>
      <c r="B7" s="2339"/>
      <c r="C7" s="2339"/>
      <c r="D7" s="2339"/>
      <c r="E7" s="2340"/>
      <c r="F7" s="1018"/>
      <c r="G7" s="1010"/>
      <c r="H7" s="1017" t="s">
        <v>390</v>
      </c>
      <c r="I7" s="2341">
        <f>COVER!A13</f>
        <v>3068003026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234826</v>
      </c>
      <c r="F12" s="1040"/>
      <c r="G12" s="1834">
        <f t="shared" ref="G12:G18" si="0">SUM(E12:F12)</f>
        <v>234826</v>
      </c>
      <c r="H12" s="1041">
        <v>242266</v>
      </c>
      <c r="I12" s="1040"/>
      <c r="J12" s="1834">
        <f t="shared" ref="J12:J18" si="1">SUM(H12:I12)</f>
        <v>242266</v>
      </c>
    </row>
    <row r="13" spans="1:17" ht="15" customHeight="1" x14ac:dyDescent="0.2">
      <c r="A13" s="1036">
        <v>2</v>
      </c>
      <c r="B13" s="1037" t="s">
        <v>44</v>
      </c>
      <c r="C13" s="1038"/>
      <c r="D13" s="1039">
        <v>2330</v>
      </c>
      <c r="E13" s="1834">
        <f>'Expenditures 15-22'!K51</f>
        <v>37555</v>
      </c>
      <c r="F13" s="1040"/>
      <c r="G13" s="1834">
        <f t="shared" si="0"/>
        <v>37555</v>
      </c>
      <c r="H13" s="1041">
        <v>37570</v>
      </c>
      <c r="I13" s="1040"/>
      <c r="J13" s="1834">
        <f t="shared" si="1"/>
        <v>37570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272381</v>
      </c>
      <c r="F19" s="1836">
        <f t="shared" si="2"/>
        <v>0</v>
      </c>
      <c r="G19" s="1836">
        <f t="shared" si="2"/>
        <v>272381</v>
      </c>
      <c r="H19" s="1836">
        <f t="shared" si="2"/>
        <v>279836</v>
      </c>
      <c r="I19" s="1836">
        <f t="shared" si="2"/>
        <v>0</v>
      </c>
      <c r="J19" s="1836">
        <f t="shared" si="2"/>
        <v>279836</v>
      </c>
    </row>
    <row r="20" spans="1:10" ht="13.5" thickTop="1" x14ac:dyDescent="0.2">
      <c r="A20" s="1036">
        <v>9</v>
      </c>
      <c r="B20" s="2348" t="s">
        <v>1703</v>
      </c>
      <c r="C20" s="2348"/>
      <c r="D20" s="2349"/>
      <c r="E20" s="1047"/>
      <c r="F20" s="1047"/>
      <c r="G20" s="1047"/>
      <c r="H20" s="1047"/>
      <c r="I20" s="1047"/>
      <c r="J20" s="1837">
        <f>IF(AND(G19&gt;0,J19&gt;0),(((J19-G19)/G19)),"Enter Budget Data")</f>
        <v>2.7369750459833836E-2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1940</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9" zoomScale="110" zoomScaleNormal="110" workbookViewId="0">
      <selection activeCell="B20" sqref="B2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c r="B5" s="329" t="s">
        <v>2156</v>
      </c>
    </row>
    <row r="6" spans="1:2" x14ac:dyDescent="0.2">
      <c r="A6" s="1069"/>
      <c r="B6" s="329" t="s">
        <v>2157</v>
      </c>
    </row>
    <row r="7" spans="1:2" x14ac:dyDescent="0.2">
      <c r="A7" s="1069"/>
    </row>
    <row r="8" spans="1:2" x14ac:dyDescent="0.2">
      <c r="A8" s="1069"/>
      <c r="B8" s="329" t="s">
        <v>2158</v>
      </c>
    </row>
    <row r="9" spans="1:2" x14ac:dyDescent="0.2">
      <c r="A9" s="1070"/>
      <c r="B9" s="329" t="s">
        <v>2159</v>
      </c>
    </row>
    <row r="10" spans="1:2" x14ac:dyDescent="0.2">
      <c r="A10" s="1070"/>
    </row>
    <row r="11" spans="1:2" x14ac:dyDescent="0.2">
      <c r="A11" s="1070"/>
      <c r="B11" s="329" t="s">
        <v>2160</v>
      </c>
    </row>
    <row r="12" spans="1:2" x14ac:dyDescent="0.2">
      <c r="A12" s="1070"/>
      <c r="B12" s="329" t="s">
        <v>2161</v>
      </c>
    </row>
    <row r="13" spans="1:2" x14ac:dyDescent="0.2">
      <c r="A13" s="1070"/>
      <c r="B13" s="329" t="s">
        <v>2162</v>
      </c>
    </row>
    <row r="14" spans="1:2" x14ac:dyDescent="0.2">
      <c r="A14" s="1070"/>
    </row>
    <row r="15" spans="1:2" x14ac:dyDescent="0.2">
      <c r="A15" s="1070"/>
      <c r="B15" s="329" t="s">
        <v>2163</v>
      </c>
    </row>
    <row r="16" spans="1:2" x14ac:dyDescent="0.2">
      <c r="A16" s="1070"/>
    </row>
    <row r="17" spans="1:2" x14ac:dyDescent="0.2">
      <c r="A17" s="1070"/>
      <c r="B17" s="329" t="s">
        <v>2164</v>
      </c>
    </row>
    <row r="18" spans="1:2" x14ac:dyDescent="0.2">
      <c r="A18" s="1070"/>
    </row>
    <row r="19" spans="1:2" x14ac:dyDescent="0.2">
      <c r="A19" s="1070"/>
      <c r="B19" s="329" t="s">
        <v>2165</v>
      </c>
    </row>
    <row r="20" spans="1:2" x14ac:dyDescent="0.2">
      <c r="A20" s="1070"/>
      <c r="B20" s="329" t="s">
        <v>2166</v>
      </c>
    </row>
    <row r="21" spans="1:2" x14ac:dyDescent="0.2">
      <c r="A21" s="1070"/>
    </row>
    <row r="22" spans="1:2" x14ac:dyDescent="0.2">
      <c r="A22" s="1070"/>
      <c r="B22" s="329" t="s">
        <v>2167</v>
      </c>
    </row>
    <row r="23" spans="1:2" x14ac:dyDescent="0.2">
      <c r="A23" s="1070"/>
      <c r="B23" s="329" t="s">
        <v>2169</v>
      </c>
    </row>
    <row r="24" spans="1:2" x14ac:dyDescent="0.2">
      <c r="A24" s="1070"/>
    </row>
    <row r="25" spans="1:2" x14ac:dyDescent="0.2">
      <c r="A25" s="1070"/>
      <c r="B25" s="329" t="s">
        <v>2168</v>
      </c>
    </row>
    <row r="26" spans="1:2" x14ac:dyDescent="0.2">
      <c r="A26" s="1070"/>
      <c r="B26" s="329" t="s">
        <v>2170</v>
      </c>
    </row>
    <row r="27" spans="1:2" x14ac:dyDescent="0.2">
      <c r="A27" s="1070"/>
    </row>
    <row r="28" spans="1:2" x14ac:dyDescent="0.2">
      <c r="A28" s="1070"/>
      <c r="B28" s="329" t="s">
        <v>2171</v>
      </c>
    </row>
    <row r="29" spans="1:2" x14ac:dyDescent="0.2">
      <c r="A29" s="1070"/>
      <c r="B29" s="329" t="s">
        <v>2172</v>
      </c>
    </row>
    <row r="30" spans="1:2" x14ac:dyDescent="0.2">
      <c r="A30" s="1070"/>
    </row>
    <row r="31" spans="1:2" x14ac:dyDescent="0.2">
      <c r="A31" s="1070"/>
      <c r="B31" s="329" t="s">
        <v>2174</v>
      </c>
    </row>
    <row r="32" spans="1:2" x14ac:dyDescent="0.2">
      <c r="A32" s="1070"/>
      <c r="B32" s="329" t="s">
        <v>2173</v>
      </c>
    </row>
    <row r="33" spans="1:2" x14ac:dyDescent="0.2">
      <c r="A33" s="1070"/>
    </row>
    <row r="34" spans="1:2" x14ac:dyDescent="0.2">
      <c r="A34" s="1070"/>
      <c r="B34" s="329" t="s">
        <v>2175</v>
      </c>
    </row>
    <row r="35" spans="1:2" x14ac:dyDescent="0.2">
      <c r="A35" s="1070"/>
      <c r="B35" s="329" t="s">
        <v>2176</v>
      </c>
    </row>
    <row r="36" spans="1:2" x14ac:dyDescent="0.2">
      <c r="A36" s="1070"/>
    </row>
    <row r="37" spans="1:2" x14ac:dyDescent="0.2">
      <c r="A37" s="1070"/>
      <c r="B37" s="329" t="s">
        <v>2177</v>
      </c>
    </row>
    <row r="38" spans="1:2" x14ac:dyDescent="0.2">
      <c r="A38" s="1070"/>
      <c r="B38" s="329" t="s">
        <v>2178</v>
      </c>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Hillsboro CUSD 3</v>
      </c>
    </row>
    <row r="65" spans="2:2" x14ac:dyDescent="0.2">
      <c r="B65" s="1071">
        <f>COVER!A13</f>
        <v>3068003026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W31" sqref="W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9" t="s">
        <v>1709</v>
      </c>
    </row>
    <row r="23" spans="1:5" x14ac:dyDescent="0.2">
      <c r="A23" s="168"/>
      <c r="B23" s="162" t="s">
        <v>1965</v>
      </c>
      <c r="D23" s="167" t="s">
        <v>658</v>
      </c>
      <c r="E23" s="1859"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W31" sqref="W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2409825</xdr:colOff>
                <xdr:row>4</xdr:row>
                <xdr:rowOff>133350</xdr:rowOff>
              </from>
              <to>
                <xdr:col>1</xdr:col>
                <xdr:colOff>3324225</xdr:colOff>
                <xdr:row>8</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3609975</xdr:colOff>
                <xdr:row>4</xdr:row>
                <xdr:rowOff>95250</xdr:rowOff>
              </from>
              <to>
                <xdr:col>2</xdr:col>
                <xdr:colOff>523875</xdr:colOff>
                <xdr:row>8</xdr:row>
                <xdr:rowOff>95250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autoPict="0" r:id="rId9">
            <anchor moveWithCells="1">
              <from>
                <xdr:col>3</xdr:col>
                <xdr:colOff>200025</xdr:colOff>
                <xdr:row>4</xdr:row>
                <xdr:rowOff>57150</xdr:rowOff>
              </from>
              <to>
                <xdr:col>4</xdr:col>
                <xdr:colOff>485775</xdr:colOff>
                <xdr:row>8</xdr:row>
                <xdr:rowOff>57150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W31" sqref="W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2051</v>
      </c>
      <c r="B4" s="2376"/>
      <c r="C4" s="2376"/>
      <c r="D4" s="2376"/>
      <c r="E4" s="2376"/>
      <c r="F4" s="2377"/>
      <c r="G4" s="1075"/>
      <c r="H4" s="1075"/>
    </row>
    <row r="5" spans="1:8" ht="14.25" customHeight="1" x14ac:dyDescent="0.2">
      <c r="A5" s="2378" t="s">
        <v>2052</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13562808</v>
      </c>
      <c r="C8" s="1838">
        <f>'Acct Summary 7-8'!D8</f>
        <v>1117938</v>
      </c>
      <c r="D8" s="1838">
        <f>'Acct Summary 7-8'!F8</f>
        <v>996645</v>
      </c>
      <c r="E8" s="1838">
        <f>'Acct Summary 7-8'!I8</f>
        <v>100809</v>
      </c>
      <c r="F8" s="1838">
        <f>SUM(B8:E8)</f>
        <v>15778200</v>
      </c>
    </row>
    <row r="9" spans="1:8" s="1080" customFormat="1" ht="14.25" customHeight="1" thickBot="1" x14ac:dyDescent="0.25">
      <c r="A9" s="1079" t="s">
        <v>1436</v>
      </c>
      <c r="B9" s="1839">
        <f>'Acct Summary 7-8'!C17</f>
        <v>13275052</v>
      </c>
      <c r="C9" s="1839">
        <f>'Acct Summary 7-8'!D17</f>
        <v>1265719</v>
      </c>
      <c r="D9" s="1839">
        <f>'Acct Summary 7-8'!F17</f>
        <v>1324006</v>
      </c>
      <c r="E9" s="1838"/>
      <c r="F9" s="1838">
        <f>SUM(B9:E9)</f>
        <v>15864777</v>
      </c>
    </row>
    <row r="10" spans="1:8" s="1080" customFormat="1" ht="14.25" thickTop="1" thickBot="1" x14ac:dyDescent="0.25">
      <c r="A10" s="1081" t="s">
        <v>1437</v>
      </c>
      <c r="B10" s="1840">
        <f>(B8-B9)</f>
        <v>287756</v>
      </c>
      <c r="C10" s="1840">
        <f>(C8-C9)</f>
        <v>-147781</v>
      </c>
      <c r="D10" s="1840">
        <f>(D8-D9)</f>
        <v>-327361</v>
      </c>
      <c r="E10" s="1839">
        <f>(E8-E9)</f>
        <v>100809</v>
      </c>
      <c r="F10" s="1841">
        <f>SUM(F8-F9)</f>
        <v>-86577</v>
      </c>
    </row>
    <row r="11" spans="1:8" s="1080" customFormat="1" ht="14.25" thickTop="1" thickBot="1" x14ac:dyDescent="0.25">
      <c r="A11" s="1082" t="s">
        <v>1785</v>
      </c>
      <c r="B11" s="1842">
        <f>'Acct Summary 7-8'!C81</f>
        <v>1698231</v>
      </c>
      <c r="C11" s="1842">
        <f>'Acct Summary 7-8'!D81</f>
        <v>-12059</v>
      </c>
      <c r="D11" s="1842">
        <f>'Acct Summary 7-8'!F81</f>
        <v>278245</v>
      </c>
      <c r="E11" s="1842">
        <f>'Acct Summary 7-8'!I81</f>
        <v>1672970</v>
      </c>
      <c r="F11" s="1843">
        <f>SUM(B11:E11)</f>
        <v>3637387</v>
      </c>
    </row>
    <row r="12" spans="1:8" ht="16.5" customHeight="1" thickTop="1" x14ac:dyDescent="0.2">
      <c r="A12" s="1083"/>
      <c r="B12" s="1084"/>
      <c r="C12" s="2360" t="str">
        <f>IF(AND(F10&lt;0,F11&gt;=0,ABS(F10*3)&gt;ABS(F11)),A16,IF(AND(F10&lt;0,F11&gt;0,ABS(F10*3)&lt;=ABS(F11)),A17,IF(AND(F10&lt;0,F11&lt;0),A16,IF(F11=0,A19,A18))))</f>
        <v>Unbalanced -  however, a deficit reduction plan is not required at this time.</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OK</v>
      </c>
    </row>
    <row r="69" spans="1:4" x14ac:dyDescent="0.2">
      <c r="A69" s="1101"/>
      <c r="B69" s="1111"/>
      <c r="C69" s="1103" t="s">
        <v>2047</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3068003026</v>
      </c>
    </row>
    <row r="3" spans="1:2" x14ac:dyDescent="0.2">
      <c r="A3" t="s">
        <v>1013</v>
      </c>
      <c r="B3" s="138" t="str">
        <f>COVER!A15</f>
        <v>Montgomery</v>
      </c>
    </row>
    <row r="4" spans="1:2" x14ac:dyDescent="0.2">
      <c r="A4" t="s">
        <v>1064</v>
      </c>
      <c r="B4" s="138" t="str">
        <f>COVER!A17</f>
        <v>Hillsboro CUSD 3</v>
      </c>
    </row>
    <row r="5" spans="1:2" x14ac:dyDescent="0.2">
      <c r="A5" t="s">
        <v>728</v>
      </c>
      <c r="B5" s="138" t="str">
        <f>COVER!A38</f>
        <v>David Powell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065.009532</v>
      </c>
    </row>
    <row r="16" spans="1:2" x14ac:dyDescent="0.2">
      <c r="A16" t="s">
        <v>442</v>
      </c>
      <c r="B16" s="138" t="str">
        <f>COVER!T13</f>
        <v>Scheffel Boyle</v>
      </c>
    </row>
    <row r="17" spans="1:2" x14ac:dyDescent="0.2">
      <c r="A17" t="s">
        <v>939</v>
      </c>
      <c r="B17" s="138" t="str">
        <f>COVER!T15</f>
        <v>Henry Siekmann</v>
      </c>
    </row>
    <row r="18" spans="1:2" x14ac:dyDescent="0.2">
      <c r="A18" t="s">
        <v>1212</v>
      </c>
      <c r="B18" s="138" t="str">
        <f>COVER!T17</f>
        <v>222  East Main Street</v>
      </c>
    </row>
    <row r="19" spans="1:2" x14ac:dyDescent="0.2">
      <c r="A19" t="s">
        <v>941</v>
      </c>
      <c r="B19" s="138" t="str">
        <f>COVER!T25</f>
        <v>henry.siekmann@scheffelboyle.com</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f>COVER!T21</f>
        <v>6182332641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3964202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45116</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6952730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918</v>
      </c>
      <c r="D86" s="2" t="str">
        <f t="shared" si="0"/>
        <v>Error?</v>
      </c>
    </row>
    <row r="87" spans="1:4" x14ac:dyDescent="0.2">
      <c r="A87" s="10">
        <v>26</v>
      </c>
      <c r="D87" s="2" t="str">
        <f t="shared" si="0"/>
        <v>OK</v>
      </c>
    </row>
    <row r="88" spans="1:4" x14ac:dyDescent="0.2">
      <c r="A88" s="5">
        <v>27</v>
      </c>
      <c r="B88" s="138">
        <f>'Assets-Liab 5-6'!C32</f>
        <v>4238387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5254499</v>
      </c>
      <c r="C91" s="2" t="s">
        <v>594</v>
      </c>
      <c r="D91" s="2" t="str">
        <f t="shared" si="0"/>
        <v>Error?</v>
      </c>
    </row>
    <row r="92" spans="1:4" x14ac:dyDescent="0.2">
      <c r="A92" s="5">
        <v>31</v>
      </c>
      <c r="B92" s="138">
        <f>'Assets-Liab 5-6'!C39</f>
        <v>1698231</v>
      </c>
      <c r="D92" s="2" t="str">
        <f t="shared" si="0"/>
        <v>Error?</v>
      </c>
    </row>
    <row r="93" spans="1:4" x14ac:dyDescent="0.2">
      <c r="A93" s="5">
        <v>32</v>
      </c>
      <c r="B93" s="138">
        <f>'Assets-Liab 5-6'!C41</f>
        <v>6952730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795932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833787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795932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845846</v>
      </c>
      <c r="C122" s="2" t="s">
        <v>594</v>
      </c>
      <c r="D122" s="2" t="str">
        <f t="shared" si="0"/>
        <v>Error?</v>
      </c>
    </row>
    <row r="123" spans="1:4" x14ac:dyDescent="0.2">
      <c r="A123" s="5">
        <v>62</v>
      </c>
      <c r="B123" s="138">
        <f>'Assets-Liab 5-6'!D39</f>
        <v>-12059</v>
      </c>
      <c r="D123" s="2" t="str">
        <f t="shared" si="0"/>
        <v>Error?</v>
      </c>
    </row>
    <row r="124" spans="1:4" x14ac:dyDescent="0.2">
      <c r="A124" s="5">
        <v>63</v>
      </c>
      <c r="B124" s="138">
        <f>'Assets-Liab 5-6'!D41</f>
        <v>833787</v>
      </c>
      <c r="C124" s="2" t="s">
        <v>594</v>
      </c>
      <c r="D124" s="2" t="str">
        <f t="shared" si="0"/>
        <v>Error?</v>
      </c>
    </row>
    <row r="125" spans="1:4" x14ac:dyDescent="0.2">
      <c r="A125" s="10">
        <v>64</v>
      </c>
      <c r="D125" s="2" t="str">
        <f t="shared" si="0"/>
        <v>OK</v>
      </c>
    </row>
    <row r="126" spans="1:4" x14ac:dyDescent="0.2">
      <c r="A126" s="5">
        <v>65</v>
      </c>
      <c r="B126" s="138">
        <f>'Assets-Liab 5-6'!E6</f>
        <v>1479949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1569509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1479949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1479949</v>
      </c>
      <c r="C139" s="2" t="s">
        <v>594</v>
      </c>
      <c r="D139" s="2" t="str">
        <f t="shared" si="1"/>
        <v>Error?</v>
      </c>
    </row>
    <row r="140" spans="1:4" x14ac:dyDescent="0.2">
      <c r="A140" s="5">
        <v>79</v>
      </c>
      <c r="B140" s="138">
        <f>'Assets-Liab 5-6'!E39</f>
        <v>89560</v>
      </c>
      <c r="D140" s="2" t="str">
        <f t="shared" si="1"/>
        <v>Error?</v>
      </c>
    </row>
    <row r="141" spans="1:4" x14ac:dyDescent="0.2">
      <c r="A141" s="5">
        <v>80</v>
      </c>
      <c r="B141" s="138">
        <f>'Assets-Liab 5-6'!E41</f>
        <v>1569509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318373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750698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462032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472453</v>
      </c>
      <c r="C169" s="2" t="s">
        <v>594</v>
      </c>
      <c r="D169" s="2" t="str">
        <f t="shared" si="1"/>
        <v>Error?</v>
      </c>
    </row>
    <row r="170" spans="1:4" x14ac:dyDescent="0.2">
      <c r="A170" s="5">
        <v>109</v>
      </c>
      <c r="B170" s="138">
        <f>'Assets-Liab 5-6'!F39</f>
        <v>278245</v>
      </c>
      <c r="D170" s="2" t="str">
        <f t="shared" si="1"/>
        <v>Error?</v>
      </c>
    </row>
    <row r="171" spans="1:4" x14ac:dyDescent="0.2">
      <c r="A171" s="5">
        <v>110</v>
      </c>
      <c r="B171" s="138">
        <f>'Assets-Liab 5-6'!F41</f>
        <v>750698</v>
      </c>
      <c r="C171" s="2" t="s">
        <v>594</v>
      </c>
      <c r="D171" s="2" t="str">
        <f t="shared" si="1"/>
        <v>Error?</v>
      </c>
    </row>
    <row r="172" spans="1:4" x14ac:dyDescent="0.2">
      <c r="A172" s="10">
        <v>111</v>
      </c>
      <c r="D172" s="2" t="str">
        <f t="shared" si="1"/>
        <v>OK</v>
      </c>
    </row>
    <row r="173" spans="1:4" x14ac:dyDescent="0.2">
      <c r="A173" s="5">
        <v>112</v>
      </c>
      <c r="B173" s="138">
        <f>'Assets-Liab 5-6'!G6</f>
        <v>878503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1402925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878503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878503</v>
      </c>
      <c r="C188" s="2" t="s">
        <v>594</v>
      </c>
      <c r="D188" s="2" t="str">
        <f t="shared" si="1"/>
        <v>Error?</v>
      </c>
    </row>
    <row r="189" spans="1:4" x14ac:dyDescent="0.2">
      <c r="A189" s="5">
        <v>128</v>
      </c>
      <c r="B189" s="138">
        <f>'Assets-Liab 5-6'!G39</f>
        <v>524422</v>
      </c>
      <c r="D189" s="2" t="str">
        <f t="shared" si="1"/>
        <v>Error?</v>
      </c>
    </row>
    <row r="190" spans="1:4" x14ac:dyDescent="0.2">
      <c r="A190" s="5">
        <v>129</v>
      </c>
      <c r="B190" s="138">
        <f>'Assets-Liab 5-6'!G41</f>
        <v>1402925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861427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108853</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129184</v>
      </c>
      <c r="C211" s="2" t="s">
        <v>594</v>
      </c>
      <c r="D211" s="2" t="str">
        <f t="shared" si="2"/>
        <v>Error?</v>
      </c>
    </row>
    <row r="212" spans="1:4" x14ac:dyDescent="0.2">
      <c r="A212" s="5">
        <v>151</v>
      </c>
      <c r="B212" s="138">
        <f>'Assets-Liab 5-6'!H39</f>
        <v>732243</v>
      </c>
      <c r="D212" s="2" t="str">
        <f t="shared" si="2"/>
        <v>Error?</v>
      </c>
    </row>
    <row r="213" spans="1:4" x14ac:dyDescent="0.2">
      <c r="A213" s="12">
        <v>152</v>
      </c>
      <c r="B213" s="138">
        <f>'Assets-Liab 5-6'!H41</f>
        <v>861427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509730</v>
      </c>
      <c r="D273" s="2" t="str">
        <f t="shared" si="3"/>
        <v>Error?</v>
      </c>
    </row>
    <row r="274" spans="1:4" x14ac:dyDescent="0.2">
      <c r="A274" s="5">
        <v>213</v>
      </c>
      <c r="B274" s="138">
        <f>'Assets-Liab 5-6'!M17</f>
        <v>9810994</v>
      </c>
      <c r="D274" s="2" t="str">
        <f t="shared" si="3"/>
        <v>Error?</v>
      </c>
    </row>
    <row r="275" spans="1:4" x14ac:dyDescent="0.2">
      <c r="A275" s="5">
        <v>214</v>
      </c>
      <c r="B275" s="138">
        <f>'Assets-Liab 5-6'!M18</f>
        <v>1483328</v>
      </c>
      <c r="D275" s="2" t="str">
        <f t="shared" si="3"/>
        <v>Error?</v>
      </c>
    </row>
    <row r="276" spans="1:4" x14ac:dyDescent="0.2">
      <c r="A276" s="5">
        <v>215</v>
      </c>
      <c r="B276" s="138">
        <f>'Assets-Liab 5-6'!M19</f>
        <v>631739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12435791</v>
      </c>
      <c r="C279" s="2" t="s">
        <v>594</v>
      </c>
      <c r="D279" s="2" t="str">
        <f t="shared" si="3"/>
        <v>Error?</v>
      </c>
    </row>
    <row r="280" spans="1:4" x14ac:dyDescent="0.2">
      <c r="A280" s="5">
        <v>219</v>
      </c>
      <c r="B280" s="138">
        <f>'Assets-Liab 5-6'!M40</f>
        <v>12435791</v>
      </c>
      <c r="D280" s="2" t="str">
        <f t="shared" si="3"/>
        <v>Error?</v>
      </c>
    </row>
    <row r="281" spans="1:4" x14ac:dyDescent="0.2">
      <c r="A281" s="5">
        <v>220</v>
      </c>
      <c r="B281" s="138">
        <f>'Assets-Liab 5-6'!M41</f>
        <v>12435791</v>
      </c>
      <c r="C281" s="2" t="s">
        <v>594</v>
      </c>
      <c r="D281" s="2" t="str">
        <f t="shared" si="3"/>
        <v>Error?</v>
      </c>
    </row>
    <row r="282" spans="1:4" x14ac:dyDescent="0.2">
      <c r="A282" s="5">
        <v>221</v>
      </c>
      <c r="B282" s="138">
        <f>'Assets-Liab 5-6'!N21</f>
        <v>89560</v>
      </c>
      <c r="D282" s="2" t="str">
        <f t="shared" si="3"/>
        <v>Error?</v>
      </c>
    </row>
    <row r="283" spans="1:4" x14ac:dyDescent="0.2">
      <c r="A283" s="5">
        <v>222</v>
      </c>
      <c r="B283" s="138">
        <f>'Assets-Liab 5-6'!N22</f>
        <v>6527440</v>
      </c>
      <c r="D283" s="2" t="str">
        <f t="shared" si="3"/>
        <v>Error?</v>
      </c>
    </row>
    <row r="284" spans="1:4" x14ac:dyDescent="0.2">
      <c r="A284" s="5">
        <v>223</v>
      </c>
      <c r="B284" s="138">
        <f>'Assets-Liab 5-6'!N23</f>
        <v>6617000</v>
      </c>
      <c r="C284" s="2" t="s">
        <v>594</v>
      </c>
      <c r="D284" s="2" t="str">
        <f t="shared" si="3"/>
        <v>Error?</v>
      </c>
    </row>
    <row r="285" spans="1:4" x14ac:dyDescent="0.2">
      <c r="A285" s="5">
        <v>224</v>
      </c>
      <c r="B285" s="138">
        <f>'Assets-Liab 5-6'!N36</f>
        <v>6617000</v>
      </c>
      <c r="D285" s="2" t="str">
        <f t="shared" si="3"/>
        <v>Error?</v>
      </c>
    </row>
    <row r="286" spans="1:4" x14ac:dyDescent="0.2">
      <c r="A286" s="10">
        <v>225</v>
      </c>
      <c r="D286" s="2" t="str">
        <f t="shared" si="3"/>
        <v>OK</v>
      </c>
    </row>
    <row r="287" spans="1:4" x14ac:dyDescent="0.2">
      <c r="A287" s="5">
        <v>226</v>
      </c>
      <c r="B287" s="138">
        <f>'Assets-Liab 5-6'!N37</f>
        <v>6617000</v>
      </c>
      <c r="C287" s="2" t="s">
        <v>594</v>
      </c>
      <c r="D287" s="2" t="str">
        <f t="shared" si="3"/>
        <v>Error?</v>
      </c>
    </row>
    <row r="288" spans="1:4" x14ac:dyDescent="0.2">
      <c r="A288" s="5">
        <v>227</v>
      </c>
      <c r="B288" s="138">
        <f>'Assets-Liab 5-6'!N41</f>
        <v>6617000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4869728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258821</v>
      </c>
      <c r="D717" s="2" t="str">
        <f t="shared" si="10"/>
        <v>Error?</v>
      </c>
    </row>
    <row r="718" spans="1:4" x14ac:dyDescent="0.2">
      <c r="A718" s="5">
        <v>657</v>
      </c>
      <c r="B718" s="138">
        <f>'Expenditures 15-22'!C14</f>
        <v>146196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6004655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204775</v>
      </c>
      <c r="D722" s="2" t="str">
        <f t="shared" si="10"/>
        <v>Error?</v>
      </c>
    </row>
    <row r="723" spans="1:4" x14ac:dyDescent="0.2">
      <c r="A723" s="5">
        <v>662</v>
      </c>
      <c r="B723" s="138">
        <f>'Expenditures 15-22'!C38</f>
        <v>67736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94181</v>
      </c>
      <c r="D726" s="2" t="str">
        <f t="shared" si="10"/>
        <v>Error?</v>
      </c>
    </row>
    <row r="727" spans="1:4" x14ac:dyDescent="0.2">
      <c r="A727" s="5">
        <v>666</v>
      </c>
      <c r="B727" s="138">
        <f>'Expenditures 15-22'!C42</f>
        <v>366692</v>
      </c>
      <c r="C727" s="2" t="s">
        <v>594</v>
      </c>
      <c r="D727" s="2" t="str">
        <f t="shared" si="10"/>
        <v>Error?</v>
      </c>
    </row>
    <row r="728" spans="1:4" x14ac:dyDescent="0.2">
      <c r="A728" s="5">
        <v>667</v>
      </c>
      <c r="B728" s="138">
        <f>'Expenditures 15-22'!C44</f>
        <v>5065</v>
      </c>
      <c r="D728" s="2" t="str">
        <f t="shared" si="10"/>
        <v>Error?</v>
      </c>
    </row>
    <row r="729" spans="1:4" x14ac:dyDescent="0.2">
      <c r="A729" s="5">
        <v>668</v>
      </c>
      <c r="B729" s="138">
        <f>'Expenditures 15-22'!C45</f>
        <v>69365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74430</v>
      </c>
      <c r="C731" s="2" t="s">
        <v>594</v>
      </c>
      <c r="D731" s="2" t="str">
        <f t="shared" si="10"/>
        <v>Error?</v>
      </c>
    </row>
    <row r="732" spans="1:4" x14ac:dyDescent="0.2">
      <c r="A732" s="5">
        <v>671</v>
      </c>
      <c r="B732" s="138">
        <f>'Expenditures 15-22'!C49</f>
        <v>18859</v>
      </c>
      <c r="D732" s="2" t="str">
        <f t="shared" si="10"/>
        <v>Error?</v>
      </c>
    </row>
    <row r="733" spans="1:4" x14ac:dyDescent="0.2">
      <c r="A733" s="5">
        <v>672</v>
      </c>
      <c r="B733" s="138">
        <f>'Expenditures 15-22'!C50</f>
        <v>193179</v>
      </c>
      <c r="D733" s="2" t="str">
        <f t="shared" si="10"/>
        <v>Error?</v>
      </c>
    </row>
    <row r="734" spans="1:4" x14ac:dyDescent="0.2">
      <c r="A734" s="5">
        <v>673</v>
      </c>
      <c r="B734" s="138">
        <f>'Expenditures 15-22'!C53</f>
        <v>245614</v>
      </c>
      <c r="C734" s="2" t="s">
        <v>594</v>
      </c>
      <c r="D734" s="2" t="str">
        <f t="shared" si="10"/>
        <v>Error?</v>
      </c>
    </row>
    <row r="735" spans="1:4" x14ac:dyDescent="0.2">
      <c r="A735" s="5">
        <v>674</v>
      </c>
      <c r="B735" s="138">
        <f>'Expenditures 15-22'!C55</f>
        <v>596191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596191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101344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64622</v>
      </c>
      <c r="D741" s="2" t="str">
        <f t="shared" si="10"/>
        <v>Error?</v>
      </c>
    </row>
    <row r="742" spans="1:4" x14ac:dyDescent="0.2">
      <c r="A742" s="5">
        <v>681</v>
      </c>
      <c r="B742" s="138">
        <f>'Expenditures 15-22'!C63</f>
        <v>374213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540179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1823106</v>
      </c>
      <c r="C755" s="2" t="s">
        <v>594</v>
      </c>
      <c r="D755" s="2" t="str">
        <f t="shared" si="10"/>
        <v>Error?</v>
      </c>
    </row>
    <row r="756" spans="1:4" x14ac:dyDescent="0.2">
      <c r="A756" s="5">
        <v>695</v>
      </c>
      <c r="B756" s="138">
        <f>'Expenditures 15-22'!C75</f>
        <v>476995</v>
      </c>
      <c r="D756" s="2" t="str">
        <f t="shared" si="10"/>
        <v>Error?</v>
      </c>
    </row>
    <row r="757" spans="1:4" x14ac:dyDescent="0.2">
      <c r="A757" s="5">
        <v>696</v>
      </c>
      <c r="B757" s="138">
        <f>'Expenditures 15-22'!C114</f>
        <v>8304756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1246493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47002</v>
      </c>
      <c r="D775" s="2" t="str">
        <f t="shared" si="11"/>
        <v>Error?</v>
      </c>
    </row>
    <row r="776" spans="1:4" x14ac:dyDescent="0.2">
      <c r="A776" s="5">
        <v>715</v>
      </c>
      <c r="B776" s="138">
        <f>'Expenditures 15-22'!D14</f>
        <v>10187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1426279</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49756</v>
      </c>
      <c r="D780" s="2" t="str">
        <f t="shared" si="11"/>
        <v>Error?</v>
      </c>
    </row>
    <row r="781" spans="1:4" x14ac:dyDescent="0.2">
      <c r="A781" s="5">
        <v>720</v>
      </c>
      <c r="B781" s="138">
        <f>'Expenditures 15-22'!D38</f>
        <v>15277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10966</v>
      </c>
      <c r="D784" s="2" t="str">
        <f t="shared" si="11"/>
        <v>Error?</v>
      </c>
    </row>
    <row r="785" spans="1:4" x14ac:dyDescent="0.2">
      <c r="A785" s="5">
        <v>724</v>
      </c>
      <c r="B785" s="138">
        <f>'Expenditures 15-22'!D42</f>
        <v>75999</v>
      </c>
      <c r="C785" s="2" t="s">
        <v>594</v>
      </c>
      <c r="D785" s="2" t="str">
        <f t="shared" si="11"/>
        <v>Error?</v>
      </c>
    </row>
    <row r="786" spans="1:4" x14ac:dyDescent="0.2">
      <c r="A786" s="5">
        <v>725</v>
      </c>
      <c r="B786" s="138">
        <f>'Expenditures 15-22'!D44</f>
        <v>23667</v>
      </c>
      <c r="D786" s="2" t="str">
        <f t="shared" si="11"/>
        <v>Error?</v>
      </c>
    </row>
    <row r="787" spans="1:4" x14ac:dyDescent="0.2">
      <c r="A787" s="5">
        <v>726</v>
      </c>
      <c r="B787" s="138">
        <f>'Expenditures 15-22'!D45</f>
        <v>15985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39652</v>
      </c>
      <c r="C789" s="2" t="s">
        <v>594</v>
      </c>
      <c r="D789" s="2" t="str">
        <f t="shared" si="11"/>
        <v>Error?</v>
      </c>
    </row>
    <row r="790" spans="1:4" x14ac:dyDescent="0.2">
      <c r="A790" s="5">
        <v>729</v>
      </c>
      <c r="B790" s="138">
        <f>'Expenditures 15-22'!D49</f>
        <v>1284</v>
      </c>
      <c r="D790" s="2" t="str">
        <f t="shared" si="11"/>
        <v>Error?</v>
      </c>
    </row>
    <row r="791" spans="1:4" x14ac:dyDescent="0.2">
      <c r="A791" s="5">
        <v>730</v>
      </c>
      <c r="B791" s="138">
        <f>'Expenditures 15-22'!D50</f>
        <v>33746</v>
      </c>
      <c r="D791" s="2" t="str">
        <f t="shared" si="11"/>
        <v>Error?</v>
      </c>
    </row>
    <row r="792" spans="1:4" x14ac:dyDescent="0.2">
      <c r="A792" s="5">
        <v>731</v>
      </c>
      <c r="B792" s="138">
        <f>'Expenditures 15-22'!D53</f>
        <v>39009</v>
      </c>
      <c r="C792" s="2" t="s">
        <v>594</v>
      </c>
      <c r="D792" s="2" t="str">
        <f t="shared" si="11"/>
        <v>Error?</v>
      </c>
    </row>
    <row r="793" spans="1:4" x14ac:dyDescent="0.2">
      <c r="A793" s="5">
        <v>732</v>
      </c>
      <c r="B793" s="138">
        <f>'Expenditures 15-22'!D55</f>
        <v>114638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114638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21150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5205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26355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295653</v>
      </c>
      <c r="C813" s="2" t="s">
        <v>594</v>
      </c>
      <c r="D813" s="2" t="str">
        <f t="shared" si="11"/>
        <v>Error?</v>
      </c>
    </row>
    <row r="814" spans="1:4" x14ac:dyDescent="0.2">
      <c r="A814" s="5">
        <v>753</v>
      </c>
      <c r="B814" s="138">
        <f>'Expenditures 15-22'!D75</f>
        <v>35538</v>
      </c>
      <c r="D814" s="2" t="str">
        <f t="shared" si="11"/>
        <v>Error?</v>
      </c>
    </row>
    <row r="815" spans="1:4" x14ac:dyDescent="0.2">
      <c r="A815" s="5">
        <v>754</v>
      </c>
      <c r="B815" s="138">
        <f>'Expenditures 15-22'!D114</f>
        <v>1757470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98520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8789</v>
      </c>
      <c r="D833" s="2" t="str">
        <f t="shared" si="12"/>
        <v>Error?</v>
      </c>
    </row>
    <row r="834" spans="1:4" x14ac:dyDescent="0.2">
      <c r="A834" s="5">
        <v>773</v>
      </c>
      <c r="B834" s="138">
        <f>'Expenditures 15-22'!E14</f>
        <v>30629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139574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5033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9419</v>
      </c>
      <c r="D842" s="2" t="str">
        <f t="shared" si="12"/>
        <v>Error?</v>
      </c>
    </row>
    <row r="843" spans="1:4" x14ac:dyDescent="0.2">
      <c r="A843" s="5">
        <v>782</v>
      </c>
      <c r="B843" s="138">
        <f>'Expenditures 15-22'!E42</f>
        <v>14452</v>
      </c>
      <c r="C843" s="2" t="s">
        <v>594</v>
      </c>
      <c r="D843" s="2" t="str">
        <f t="shared" si="12"/>
        <v>Error?</v>
      </c>
    </row>
    <row r="844" spans="1:4" x14ac:dyDescent="0.2">
      <c r="A844" s="5">
        <v>783</v>
      </c>
      <c r="B844" s="138">
        <f>'Expenditures 15-22'!E44</f>
        <v>13801</v>
      </c>
      <c r="D844" s="2" t="str">
        <f t="shared" si="12"/>
        <v>Error?</v>
      </c>
    </row>
    <row r="845" spans="1:4" x14ac:dyDescent="0.2">
      <c r="A845" s="5">
        <v>784</v>
      </c>
      <c r="B845" s="138">
        <f>'Expenditures 15-22'!E45</f>
        <v>4758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18559</v>
      </c>
      <c r="C847" s="2" t="s">
        <v>594</v>
      </c>
      <c r="D847" s="2" t="str">
        <f t="shared" si="12"/>
        <v>Error?</v>
      </c>
    </row>
    <row r="848" spans="1:4" x14ac:dyDescent="0.2">
      <c r="A848" s="5">
        <v>787</v>
      </c>
      <c r="B848" s="138">
        <f>'Expenditures 15-22'!E49</f>
        <v>75387</v>
      </c>
      <c r="D848" s="2" t="str">
        <f t="shared" si="12"/>
        <v>Error?</v>
      </c>
    </row>
    <row r="849" spans="1:4" x14ac:dyDescent="0.2">
      <c r="A849" s="5">
        <v>788</v>
      </c>
      <c r="B849" s="138">
        <f>'Expenditures 15-22'!E50</f>
        <v>4906</v>
      </c>
      <c r="D849" s="2" t="str">
        <f t="shared" si="12"/>
        <v>Error?</v>
      </c>
    </row>
    <row r="850" spans="1:4" x14ac:dyDescent="0.2">
      <c r="A850" s="5">
        <v>789</v>
      </c>
      <c r="B850" s="138">
        <f>'Expenditures 15-22'!E53</f>
        <v>80293</v>
      </c>
      <c r="C850" s="2" t="s">
        <v>594</v>
      </c>
      <c r="D850" s="2" t="str">
        <f t="shared" si="12"/>
        <v>Error?</v>
      </c>
    </row>
    <row r="851" spans="1:4" x14ac:dyDescent="0.2">
      <c r="A851" s="5">
        <v>790</v>
      </c>
      <c r="B851" s="138">
        <f>'Expenditures 15-22'!E55</f>
        <v>89124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89124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10269</v>
      </c>
      <c r="D855" s="2" t="str">
        <f t="shared" si="12"/>
        <v>Error?</v>
      </c>
    </row>
    <row r="856" spans="1:4" x14ac:dyDescent="0.2">
      <c r="A856" s="5">
        <v>795</v>
      </c>
      <c r="B856" s="138">
        <f>'Expenditures 15-22'!E61</f>
        <v>113560</v>
      </c>
      <c r="D856" s="2" t="str">
        <f t="shared" si="12"/>
        <v>Error?</v>
      </c>
    </row>
    <row r="857" spans="1:4" x14ac:dyDescent="0.2">
      <c r="A857" s="5">
        <v>796</v>
      </c>
      <c r="B857" s="138">
        <f>'Expenditures 15-22'!E62</f>
        <v>25428</v>
      </c>
      <c r="D857" s="2" t="str">
        <f t="shared" si="12"/>
        <v>Error?</v>
      </c>
    </row>
    <row r="858" spans="1:4" x14ac:dyDescent="0.2">
      <c r="A858" s="5">
        <v>797</v>
      </c>
      <c r="B858" s="138">
        <f>'Expenditures 15-22'!E63</f>
        <v>8930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158187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360615</v>
      </c>
      <c r="C871" s="2" t="s">
        <v>594</v>
      </c>
      <c r="D871" s="2" t="str">
        <f t="shared" si="12"/>
        <v>Error?</v>
      </c>
    </row>
    <row r="872" spans="1:4" x14ac:dyDescent="0.2">
      <c r="A872" s="5">
        <v>811</v>
      </c>
      <c r="B872" s="138">
        <f>'Expenditures 15-22'!E75</f>
        <v>35438</v>
      </c>
      <c r="D872" s="2" t="str">
        <f t="shared" si="12"/>
        <v>Error?</v>
      </c>
    </row>
    <row r="873" spans="1:4" x14ac:dyDescent="0.2">
      <c r="A873" s="5">
        <v>812</v>
      </c>
      <c r="B873" s="138">
        <f>'Expenditures 15-22'!E114</f>
        <v>535627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270712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8588</v>
      </c>
      <c r="D891" s="2" t="str">
        <f t="shared" si="12"/>
        <v>Error?</v>
      </c>
    </row>
    <row r="892" spans="1:4" x14ac:dyDescent="0.2">
      <c r="A892" s="5">
        <v>831</v>
      </c>
      <c r="B892" s="138">
        <f>'Expenditures 15-22'!F14</f>
        <v>9635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330362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563</v>
      </c>
      <c r="D896" s="2" t="str">
        <f t="shared" si="13"/>
        <v>Error?</v>
      </c>
    </row>
    <row r="897" spans="1:4" x14ac:dyDescent="0.2">
      <c r="A897" s="5">
        <v>836</v>
      </c>
      <c r="B897" s="138">
        <f>'Expenditures 15-22'!F38</f>
        <v>4314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28438</v>
      </c>
      <c r="D900" s="2" t="str">
        <f t="shared" si="13"/>
        <v>Error?</v>
      </c>
    </row>
    <row r="901" spans="1:4" x14ac:dyDescent="0.2">
      <c r="A901" s="5">
        <v>840</v>
      </c>
      <c r="B901" s="138">
        <f>'Expenditures 15-22'!F42</f>
        <v>33315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9289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9289</v>
      </c>
      <c r="C905" s="2" t="s">
        <v>594</v>
      </c>
      <c r="D905" s="2" t="str">
        <f t="shared" si="13"/>
        <v>Error?</v>
      </c>
    </row>
    <row r="906" spans="1:4" x14ac:dyDescent="0.2">
      <c r="A906" s="5">
        <v>845</v>
      </c>
      <c r="B906" s="138">
        <f>'Expenditures 15-22'!F49</f>
        <v>5449</v>
      </c>
      <c r="D906" s="2" t="str">
        <f t="shared" si="13"/>
        <v>Error?</v>
      </c>
    </row>
    <row r="907" spans="1:4" x14ac:dyDescent="0.2">
      <c r="A907" s="5">
        <v>846</v>
      </c>
      <c r="B907" s="138">
        <f>'Expenditures 15-22'!F50</f>
        <v>1342</v>
      </c>
      <c r="D907" s="2" t="str">
        <f t="shared" si="13"/>
        <v>Error?</v>
      </c>
    </row>
    <row r="908" spans="1:4" x14ac:dyDescent="0.2">
      <c r="A908" s="5">
        <v>847</v>
      </c>
      <c r="B908" s="138">
        <f>'Expenditures 15-22'!F53</f>
        <v>6791</v>
      </c>
      <c r="C908" s="2" t="s">
        <v>594</v>
      </c>
      <c r="D908" s="2" t="str">
        <f t="shared" si="13"/>
        <v>Error?</v>
      </c>
    </row>
    <row r="909" spans="1:4" x14ac:dyDescent="0.2">
      <c r="A909" s="5">
        <v>848</v>
      </c>
      <c r="B909" s="138">
        <f>'Expenditures 15-22'!F55</f>
        <v>2761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2761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1376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339014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340390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392546</v>
      </c>
      <c r="C929" s="2" t="s">
        <v>594</v>
      </c>
      <c r="D929" s="2" t="str">
        <f t="shared" si="13"/>
        <v>Error?</v>
      </c>
    </row>
    <row r="930" spans="1:4" x14ac:dyDescent="0.2">
      <c r="A930" s="5">
        <v>869</v>
      </c>
      <c r="B930" s="138">
        <f>'Expenditures 15-22'!F75</f>
        <v>52997</v>
      </c>
      <c r="D930" s="2" t="str">
        <f t="shared" si="13"/>
        <v>Error?</v>
      </c>
    </row>
    <row r="931" spans="1:4" x14ac:dyDescent="0.2">
      <c r="A931" s="5">
        <v>870</v>
      </c>
      <c r="B931" s="138">
        <f>'Expenditures 15-22'!F114</f>
        <v>775905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24125</v>
      </c>
      <c r="D958" s="2" t="str">
        <f t="shared" si="13"/>
        <v>Error?</v>
      </c>
    </row>
    <row r="959" spans="1:4" x14ac:dyDescent="0.2">
      <c r="A959" s="5">
        <v>898</v>
      </c>
      <c r="B959" s="138">
        <f>'Expenditures 15-22'!G42</f>
        <v>24125</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24125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24125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4006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105</v>
      </c>
      <c r="D1007" s="2" t="str">
        <f t="shared" si="14"/>
        <v>Error?</v>
      </c>
    </row>
    <row r="1008" spans="1:4" x14ac:dyDescent="0.2">
      <c r="A1008" s="5">
        <v>947</v>
      </c>
      <c r="B1008" s="138">
        <f>'Expenditures 15-22'!H14</f>
        <v>7727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141493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13688</v>
      </c>
      <c r="D1022" s="2" t="str">
        <f t="shared" si="14"/>
        <v>Error?</v>
      </c>
    </row>
    <row r="1023" spans="1:4" x14ac:dyDescent="0.2">
      <c r="A1023" s="5">
        <v>962</v>
      </c>
      <c r="B1023" s="138">
        <f>'Expenditures 15-22'!H50</f>
        <v>1653</v>
      </c>
      <c r="D1023" s="2" t="str">
        <f t="shared" ref="D1023:D1086" si="15">IF(ISBLANK(B1023),"OK",IF(A1023-B1023=0,"OK","Error?"))</f>
        <v>Error?</v>
      </c>
    </row>
    <row r="1024" spans="1:4" x14ac:dyDescent="0.2">
      <c r="A1024" s="5">
        <v>963</v>
      </c>
      <c r="B1024" s="138">
        <f>'Expenditures 15-22'!H53</f>
        <v>15341</v>
      </c>
      <c r="C1024" s="2" t="s">
        <v>594</v>
      </c>
      <c r="D1024" s="2" t="str">
        <f t="shared" si="15"/>
        <v>Error?</v>
      </c>
    </row>
    <row r="1025" spans="1:4" x14ac:dyDescent="0.2">
      <c r="A1025" s="5">
        <v>964</v>
      </c>
      <c r="B1025" s="138">
        <f>'Expenditures 15-22'!H55</f>
        <v>1542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1542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476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17359</v>
      </c>
      <c r="C1045" s="2" t="s">
        <v>594</v>
      </c>
      <c r="D1045" s="2" t="str">
        <f t="shared" si="15"/>
        <v>Error?</v>
      </c>
    </row>
    <row r="1046" spans="1:4" x14ac:dyDescent="0.2">
      <c r="A1046" s="5">
        <v>985</v>
      </c>
      <c r="B1046" s="138">
        <f>'Expenditures 15-22'!H75</f>
        <v>40</v>
      </c>
      <c r="D1046" s="2" t="str">
        <f t="shared" si="15"/>
        <v>Error?</v>
      </c>
    </row>
    <row r="1047" spans="1:4" x14ac:dyDescent="0.2">
      <c r="A1047" s="5">
        <v>986</v>
      </c>
      <c r="B1047" s="138">
        <f>'Expenditures 15-22'!H102</f>
        <v>1680087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1838979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6500231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338349</v>
      </c>
      <c r="C1105" s="2" t="s">
        <v>594</v>
      </c>
      <c r="D1105" s="2" t="str">
        <f t="shared" si="16"/>
        <v>Error?</v>
      </c>
    </row>
    <row r="1106" spans="1:4" x14ac:dyDescent="0.2">
      <c r="A1106" s="5">
        <v>1045</v>
      </c>
      <c r="B1106" s="138">
        <f>'Expenditures 15-22'!K14</f>
        <v>204374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8071175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255094</v>
      </c>
      <c r="C1110" s="2" t="s">
        <v>594</v>
      </c>
      <c r="D1110" s="2" t="str">
        <f t="shared" si="16"/>
        <v>Error?</v>
      </c>
    </row>
    <row r="1111" spans="1:4" x14ac:dyDescent="0.2">
      <c r="A1111" s="5">
        <v>1050</v>
      </c>
      <c r="B1111" s="138">
        <f>'Expenditures 15-22'!K38</f>
        <v>92360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173736</v>
      </c>
      <c r="C1114" s="2" t="s">
        <v>594</v>
      </c>
      <c r="D1114" s="2" t="str">
        <f t="shared" si="16"/>
        <v>Error?</v>
      </c>
    </row>
    <row r="1115" spans="1:4" x14ac:dyDescent="0.2">
      <c r="A1115" s="5">
        <v>1054</v>
      </c>
      <c r="B1115" s="138">
        <f>'Expenditures 15-22'!K42</f>
        <v>521190</v>
      </c>
      <c r="C1115" s="2" t="s">
        <v>594</v>
      </c>
      <c r="D1115" s="2" t="str">
        <f t="shared" si="16"/>
        <v>Error?</v>
      </c>
    </row>
    <row r="1116" spans="1:4" x14ac:dyDescent="0.2">
      <c r="A1116" s="5">
        <v>1055</v>
      </c>
      <c r="B1116" s="138">
        <f>'Expenditures 15-22'!K44</f>
        <v>42533</v>
      </c>
      <c r="C1116" s="2" t="s">
        <v>594</v>
      </c>
      <c r="D1116" s="2" t="str">
        <f t="shared" si="16"/>
        <v>Error?</v>
      </c>
    </row>
    <row r="1117" spans="1:4" x14ac:dyDescent="0.2">
      <c r="A1117" s="5">
        <v>1056</v>
      </c>
      <c r="B1117" s="138">
        <f>'Expenditures 15-22'!K45</f>
        <v>99397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141930</v>
      </c>
      <c r="C1119" s="2" t="s">
        <v>594</v>
      </c>
      <c r="D1119" s="2" t="str">
        <f t="shared" si="16"/>
        <v>Error?</v>
      </c>
    </row>
    <row r="1120" spans="1:4" x14ac:dyDescent="0.2">
      <c r="A1120" s="5">
        <v>1059</v>
      </c>
      <c r="B1120" s="138">
        <f>'Expenditures 15-22'!K49</f>
        <v>114667</v>
      </c>
      <c r="C1120" s="2" t="s">
        <v>594</v>
      </c>
      <c r="D1120" s="2" t="str">
        <f t="shared" si="16"/>
        <v>Error?</v>
      </c>
    </row>
    <row r="1121" spans="1:4" x14ac:dyDescent="0.2">
      <c r="A1121" s="5">
        <v>1060</v>
      </c>
      <c r="B1121" s="138">
        <f>'Expenditures 15-22'!K50</f>
        <v>234826</v>
      </c>
      <c r="C1121" s="2" t="s">
        <v>594</v>
      </c>
      <c r="D1121" s="2" t="str">
        <f t="shared" si="16"/>
        <v>Error?</v>
      </c>
    </row>
    <row r="1122" spans="1:4" x14ac:dyDescent="0.2">
      <c r="A1122" s="5">
        <v>1061</v>
      </c>
      <c r="B1122" s="138">
        <f>'Expenditures 15-22'!K53</f>
        <v>387048</v>
      </c>
      <c r="C1122" s="2" t="s">
        <v>594</v>
      </c>
      <c r="D1122" s="2" t="str">
        <f t="shared" si="16"/>
        <v>Error?</v>
      </c>
    </row>
    <row r="1123" spans="1:4" x14ac:dyDescent="0.2">
      <c r="A1123" s="5">
        <v>1062</v>
      </c>
      <c r="B1123" s="138">
        <f>'Expenditures 15-22'!K55</f>
        <v>804256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804256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134479</v>
      </c>
      <c r="C1127" s="2" t="s">
        <v>594</v>
      </c>
      <c r="D1127" s="2" t="str">
        <f t="shared" si="16"/>
        <v>Error?</v>
      </c>
    </row>
    <row r="1128" spans="1:4" x14ac:dyDescent="0.2">
      <c r="A1128" s="5">
        <v>1067</v>
      </c>
      <c r="B1128" s="138">
        <f>'Expenditures 15-22'!K61</f>
        <v>113560</v>
      </c>
      <c r="C1128" s="2" t="s">
        <v>594</v>
      </c>
      <c r="D1128" s="2" t="str">
        <f t="shared" si="16"/>
        <v>Error?</v>
      </c>
    </row>
    <row r="1129" spans="1:4" x14ac:dyDescent="0.2">
      <c r="A1129" s="5">
        <v>1068</v>
      </c>
      <c r="B1129" s="138">
        <f>'Expenditures 15-22'!K62</f>
        <v>90050</v>
      </c>
      <c r="C1129" s="2" t="s">
        <v>594</v>
      </c>
      <c r="D1129" s="2" t="str">
        <f t="shared" si="16"/>
        <v>Error?</v>
      </c>
    </row>
    <row r="1130" spans="1:4" x14ac:dyDescent="0.2">
      <c r="A1130" s="5">
        <v>1069</v>
      </c>
      <c r="B1130" s="138">
        <f>'Expenditures 15-22'!K63</f>
        <v>730269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1068358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2922782</v>
      </c>
      <c r="C1143" s="2" t="s">
        <v>594</v>
      </c>
      <c r="D1143" s="2" t="str">
        <f t="shared" si="16"/>
        <v>Error?</v>
      </c>
    </row>
    <row r="1144" spans="1:4" x14ac:dyDescent="0.2">
      <c r="A1144" s="5">
        <v>1083</v>
      </c>
      <c r="B1144" s="138">
        <f>'Expenditures 15-22'!K75</f>
        <v>601008</v>
      </c>
      <c r="C1144" s="2" t="s">
        <v>594</v>
      </c>
      <c r="D1144" s="2" t="str">
        <f t="shared" si="16"/>
        <v>Error?</v>
      </c>
    </row>
    <row r="1145" spans="1:4" x14ac:dyDescent="0.2">
      <c r="A1145" s="5">
        <v>1084</v>
      </c>
      <c r="B1145" s="138">
        <f>'Expenditures 15-22'!K102</f>
        <v>1680087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13275052</v>
      </c>
      <c r="C1152" s="2" t="s">
        <v>594</v>
      </c>
      <c r="D1152" s="2" t="str">
        <f t="shared" si="17"/>
        <v>Error?</v>
      </c>
    </row>
    <row r="1153" spans="1:4" x14ac:dyDescent="0.2">
      <c r="A1153" s="5">
        <v>1092</v>
      </c>
      <c r="B1153" s="138">
        <f>'Expenditures 15-22'!K115</f>
        <v>287756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653490</v>
      </c>
      <c r="D1221" s="2" t="str">
        <f t="shared" si="18"/>
        <v>Error?</v>
      </c>
    </row>
    <row r="1222" spans="1:4" x14ac:dyDescent="0.2">
      <c r="A1222" s="10">
        <v>1161</v>
      </c>
      <c r="D1222" s="2" t="str">
        <f t="shared" si="18"/>
        <v>OK</v>
      </c>
    </row>
    <row r="1223" spans="1:4" x14ac:dyDescent="0.2">
      <c r="A1223" s="5">
        <v>1162</v>
      </c>
      <c r="B1223" s="138">
        <f>'Expenditures 15-22'!C127</f>
        <v>653490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653490</v>
      </c>
      <c r="C1225" s="2" t="s">
        <v>594</v>
      </c>
      <c r="D1225" s="2" t="str">
        <f t="shared" si="18"/>
        <v>Error?</v>
      </c>
    </row>
    <row r="1226" spans="1:4" x14ac:dyDescent="0.2">
      <c r="A1226" s="5">
        <v>1165</v>
      </c>
      <c r="B1226" s="138">
        <f>'Expenditures 15-22'!C151</f>
        <v>653490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112870</v>
      </c>
      <c r="D1229" s="2" t="str">
        <f t="shared" si="18"/>
        <v>Error?</v>
      </c>
    </row>
    <row r="1230" spans="1:4" x14ac:dyDescent="0.2">
      <c r="A1230" s="10">
        <v>1169</v>
      </c>
      <c r="D1230" s="2" t="str">
        <f t="shared" si="18"/>
        <v>OK</v>
      </c>
    </row>
    <row r="1231" spans="1:4" x14ac:dyDescent="0.2">
      <c r="A1231" s="5">
        <v>1170</v>
      </c>
      <c r="B1231" s="138">
        <f>'Expenditures 15-22'!D127</f>
        <v>112870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112870</v>
      </c>
      <c r="C1233" s="2" t="s">
        <v>594</v>
      </c>
      <c r="D1233" s="2" t="str">
        <f t="shared" si="18"/>
        <v>Error?</v>
      </c>
    </row>
    <row r="1234" spans="1:4" x14ac:dyDescent="0.2">
      <c r="A1234" s="5">
        <v>1173</v>
      </c>
      <c r="B1234" s="138">
        <f>'Expenditures 15-22'!D151</f>
        <v>112870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62513</v>
      </c>
      <c r="D1237" s="2" t="str">
        <f t="shared" si="18"/>
        <v>Error?</v>
      </c>
    </row>
    <row r="1238" spans="1:4" x14ac:dyDescent="0.2">
      <c r="A1238" s="10">
        <v>1177</v>
      </c>
      <c r="D1238" s="2" t="str">
        <f t="shared" si="18"/>
        <v>OK</v>
      </c>
    </row>
    <row r="1239" spans="1:4" x14ac:dyDescent="0.2">
      <c r="A1239" s="5">
        <v>1178</v>
      </c>
      <c r="B1239" s="138">
        <f>'Expenditures 15-22'!E127</f>
        <v>62513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62513</v>
      </c>
      <c r="C1241" s="2" t="s">
        <v>594</v>
      </c>
      <c r="D1241" s="2" t="str">
        <f t="shared" si="18"/>
        <v>Error?</v>
      </c>
    </row>
    <row r="1242" spans="1:4" x14ac:dyDescent="0.2">
      <c r="A1242" s="5">
        <v>1181</v>
      </c>
      <c r="B1242" s="138">
        <f>'Expenditures 15-22'!E151</f>
        <v>62513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414525</v>
      </c>
      <c r="D1245" s="2" t="str">
        <f t="shared" si="18"/>
        <v>Error?</v>
      </c>
    </row>
    <row r="1246" spans="1:4" x14ac:dyDescent="0.2">
      <c r="A1246" s="10">
        <v>1185</v>
      </c>
      <c r="D1246" s="2" t="str">
        <f t="shared" si="18"/>
        <v>OK</v>
      </c>
    </row>
    <row r="1247" spans="1:4" x14ac:dyDescent="0.2">
      <c r="A1247" s="5">
        <v>1186</v>
      </c>
      <c r="B1247" s="138">
        <f>'Expenditures 15-22'!F127</f>
        <v>414525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414525</v>
      </c>
      <c r="C1249" s="2" t="s">
        <v>594</v>
      </c>
      <c r="D1249" s="2" t="str">
        <f t="shared" si="18"/>
        <v>Error?</v>
      </c>
    </row>
    <row r="1250" spans="1:4" x14ac:dyDescent="0.2">
      <c r="A1250" s="5">
        <v>1189</v>
      </c>
      <c r="B1250" s="138">
        <f>'Expenditures 15-22'!F151</f>
        <v>414525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13439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13439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13439</v>
      </c>
      <c r="C1258" s="2" t="s">
        <v>594</v>
      </c>
      <c r="D1258" s="2" t="str">
        <f t="shared" si="18"/>
        <v>Error?</v>
      </c>
    </row>
    <row r="1259" spans="1:4" x14ac:dyDescent="0.2">
      <c r="A1259" s="5">
        <v>1198</v>
      </c>
      <c r="B1259" s="138">
        <f>'Expenditures 15-22'!G151</f>
        <v>13439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1265719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1265719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1265719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1265719</v>
      </c>
      <c r="C1288" s="2" t="s">
        <v>594</v>
      </c>
      <c r="D1288" s="2" t="str">
        <f t="shared" si="19"/>
        <v>Error?</v>
      </c>
    </row>
    <row r="1289" spans="1:4" x14ac:dyDescent="0.2">
      <c r="A1289" s="5">
        <v>1228</v>
      </c>
      <c r="B1289" s="138">
        <f>'Expenditures 15-22'!K152</f>
        <v>-147781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306503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1374000</v>
      </c>
      <c r="D1315" s="2" t="str">
        <f t="shared" si="19"/>
        <v>Error?</v>
      </c>
    </row>
    <row r="1316" spans="1:4" x14ac:dyDescent="0.2">
      <c r="A1316" s="5">
        <v>1255</v>
      </c>
      <c r="B1316" s="138">
        <f>'Expenditures 15-22'!H171</f>
        <v>52256</v>
      </c>
      <c r="D1316" s="2" t="str">
        <f t="shared" si="19"/>
        <v>Error?</v>
      </c>
    </row>
    <row r="1317" spans="1:4" x14ac:dyDescent="0.2">
      <c r="A1317" s="5">
        <v>1256</v>
      </c>
      <c r="B1317" s="138">
        <f>'Expenditures 15-22'!H172</f>
        <v>1732759</v>
      </c>
      <c r="C1317" s="2" t="s">
        <v>594</v>
      </c>
      <c r="D1317" s="2" t="str">
        <f t="shared" si="19"/>
        <v>Error?</v>
      </c>
    </row>
    <row r="1318" spans="1:4" x14ac:dyDescent="0.2">
      <c r="A1318" s="5">
        <v>1257</v>
      </c>
      <c r="B1318" s="138">
        <f>'Expenditures 15-22'!H174</f>
        <v>1732759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306503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1374000</v>
      </c>
      <c r="C1329" s="2" t="s">
        <v>594</v>
      </c>
      <c r="D1329" s="2" t="str">
        <f t="shared" si="19"/>
        <v>Error?</v>
      </c>
    </row>
    <row r="1330" spans="1:4" x14ac:dyDescent="0.2">
      <c r="A1330" s="5">
        <v>1269</v>
      </c>
      <c r="B1330" s="138">
        <f>'Expenditures 15-22'!K171</f>
        <v>52256</v>
      </c>
      <c r="C1330" s="2" t="s">
        <v>594</v>
      </c>
      <c r="D1330" s="2" t="str">
        <f t="shared" si="19"/>
        <v>Error?</v>
      </c>
    </row>
    <row r="1331" spans="1:4" x14ac:dyDescent="0.2">
      <c r="A1331" s="5">
        <v>1270</v>
      </c>
      <c r="B1331" s="138">
        <f>'Expenditures 15-22'!K172</f>
        <v>1732759</v>
      </c>
      <c r="C1331" s="2" t="s">
        <v>594</v>
      </c>
      <c r="D1331" s="2" t="str">
        <f t="shared" si="19"/>
        <v>Error?</v>
      </c>
    </row>
    <row r="1332" spans="1:4" x14ac:dyDescent="0.2">
      <c r="A1332" s="5">
        <v>1271</v>
      </c>
      <c r="B1332" s="138">
        <f>'Expenditures 15-22'!K174</f>
        <v>1732759</v>
      </c>
      <c r="C1332" s="2" t="s">
        <v>594</v>
      </c>
      <c r="D1332" s="2" t="str">
        <f t="shared" si="19"/>
        <v>Error?</v>
      </c>
    </row>
    <row r="1333" spans="1:4" x14ac:dyDescent="0.2">
      <c r="A1333" s="5">
        <v>1272</v>
      </c>
      <c r="B1333" s="138">
        <f>'Expenditures 15-22'!K175</f>
        <v>-45360</v>
      </c>
      <c r="C1333" s="2" t="s">
        <v>594</v>
      </c>
      <c r="D1333" s="2" t="str">
        <f t="shared" si="19"/>
        <v>Error?</v>
      </c>
    </row>
    <row r="1334" spans="1:4" x14ac:dyDescent="0.2">
      <c r="A1334" s="10">
        <v>1273</v>
      </c>
      <c r="D1334" s="2" t="str">
        <f t="shared" si="19"/>
        <v>OK</v>
      </c>
    </row>
    <row r="1335" spans="1:4" x14ac:dyDescent="0.2">
      <c r="A1335" s="5">
        <v>1274</v>
      </c>
      <c r="B1335" s="138">
        <f>'Expenditures 15-22'!C182</f>
        <v>581800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581800</v>
      </c>
      <c r="C1339" s="2" t="s">
        <v>594</v>
      </c>
      <c r="D1339" s="2" t="str">
        <f t="shared" si="19"/>
        <v>Error?</v>
      </c>
    </row>
    <row r="1340" spans="1:4" x14ac:dyDescent="0.2">
      <c r="A1340" s="5">
        <v>1279</v>
      </c>
      <c r="B1340" s="138">
        <f>'Expenditures 15-22'!C210</f>
        <v>581800</v>
      </c>
      <c r="C1340" s="2" t="s">
        <v>594</v>
      </c>
      <c r="D1340" s="2" t="str">
        <f t="shared" si="19"/>
        <v>Error?</v>
      </c>
    </row>
    <row r="1341" spans="1:4" x14ac:dyDescent="0.2">
      <c r="A1341" s="5">
        <v>1280</v>
      </c>
      <c r="B1341" s="138">
        <f>'Expenditures 15-22'!D182</f>
        <v>12831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12831</v>
      </c>
      <c r="C1345" s="2" t="s">
        <v>594</v>
      </c>
      <c r="D1345" s="2" t="str">
        <f t="shared" si="20"/>
        <v>Error?</v>
      </c>
    </row>
    <row r="1346" spans="1:4" x14ac:dyDescent="0.2">
      <c r="A1346" s="5">
        <v>1285</v>
      </c>
      <c r="B1346" s="138">
        <f>'Expenditures 15-22'!D210</f>
        <v>12831</v>
      </c>
      <c r="C1346" s="2" t="s">
        <v>594</v>
      </c>
      <c r="D1346" s="2" t="str">
        <f t="shared" si="20"/>
        <v>Error?</v>
      </c>
    </row>
    <row r="1347" spans="1:4" x14ac:dyDescent="0.2">
      <c r="A1347" s="5">
        <v>1286</v>
      </c>
      <c r="B1347" s="138">
        <f>'Expenditures 15-22'!E182</f>
        <v>37461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37461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37461</v>
      </c>
      <c r="C1353" s="2" t="s">
        <v>594</v>
      </c>
      <c r="D1353" s="2" t="str">
        <f t="shared" si="20"/>
        <v>Error?</v>
      </c>
    </row>
    <row r="1354" spans="1:4" x14ac:dyDescent="0.2">
      <c r="A1354" s="5">
        <v>1293</v>
      </c>
      <c r="B1354" s="138">
        <f>'Expenditures 15-22'!F182</f>
        <v>183735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183735</v>
      </c>
      <c r="C1358" s="2" t="s">
        <v>594</v>
      </c>
      <c r="D1358" s="2" t="str">
        <f t="shared" si="20"/>
        <v>Error?</v>
      </c>
    </row>
    <row r="1359" spans="1:4" x14ac:dyDescent="0.2">
      <c r="A1359" s="5">
        <v>1298</v>
      </c>
      <c r="B1359" s="138">
        <f>'Expenditures 15-22'!F210</f>
        <v>183735</v>
      </c>
      <c r="C1359" s="2" t="s">
        <v>594</v>
      </c>
      <c r="D1359" s="2" t="str">
        <f t="shared" si="20"/>
        <v>Error?</v>
      </c>
    </row>
    <row r="1360" spans="1:4" x14ac:dyDescent="0.2">
      <c r="A1360" s="5">
        <v>1299</v>
      </c>
      <c r="B1360" s="138">
        <f>'Expenditures 15-22'!G182</f>
        <v>355899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355899</v>
      </c>
      <c r="C1364" s="2" t="s">
        <v>594</v>
      </c>
      <c r="D1364" s="2" t="str">
        <f t="shared" si="20"/>
        <v>Error?</v>
      </c>
    </row>
    <row r="1365" spans="1:4" x14ac:dyDescent="0.2">
      <c r="A1365" s="5">
        <v>1304</v>
      </c>
      <c r="B1365" s="138">
        <f>'Expenditures 15-22'!G210</f>
        <v>355899</v>
      </c>
      <c r="C1365" s="2" t="s">
        <v>594</v>
      </c>
      <c r="D1365" s="2" t="str">
        <f t="shared" si="20"/>
        <v>Error?</v>
      </c>
    </row>
    <row r="1366" spans="1:4" x14ac:dyDescent="0.2">
      <c r="A1366" s="5">
        <v>1305</v>
      </c>
      <c r="B1366" s="138">
        <f>'Expenditures 15-22'!H182</f>
        <v>2438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2438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147865</v>
      </c>
      <c r="C1375" s="2" t="s">
        <v>594</v>
      </c>
      <c r="D1375" s="2" t="str">
        <f t="shared" si="20"/>
        <v>Error?</v>
      </c>
    </row>
    <row r="1376" spans="1:4" x14ac:dyDescent="0.2">
      <c r="A1376" s="5">
        <v>1315</v>
      </c>
      <c r="B1376" s="138">
        <f>'Expenditures 15-22'!H210</f>
        <v>150303</v>
      </c>
      <c r="C1376" s="2" t="s">
        <v>594</v>
      </c>
      <c r="D1376" s="2" t="str">
        <f t="shared" si="20"/>
        <v>Error?</v>
      </c>
    </row>
    <row r="1377" spans="1:4" x14ac:dyDescent="0.2">
      <c r="A1377" s="5">
        <v>1316</v>
      </c>
      <c r="B1377" s="138">
        <f>'Expenditures 15-22'!K182</f>
        <v>1176141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1176141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147865</v>
      </c>
      <c r="C1387" s="2" t="s">
        <v>594</v>
      </c>
      <c r="D1387" s="2" t="str">
        <f t="shared" si="20"/>
        <v>Error?</v>
      </c>
    </row>
    <row r="1388" spans="1:4" x14ac:dyDescent="0.2">
      <c r="A1388" s="5">
        <v>1327</v>
      </c>
      <c r="B1388" s="138">
        <f>'Expenditures 15-22'!K210</f>
        <v>1324006</v>
      </c>
      <c r="C1388" s="2" t="s">
        <v>594</v>
      </c>
      <c r="D1388" s="2" t="str">
        <f t="shared" si="20"/>
        <v>Error?</v>
      </c>
    </row>
    <row r="1389" spans="1:4" x14ac:dyDescent="0.2">
      <c r="A1389" s="5">
        <v>1328</v>
      </c>
      <c r="B1389" s="138">
        <f>'Expenditures 15-22'!K211</f>
        <v>-327361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9691</v>
      </c>
      <c r="D1407" s="2" t="str">
        <f t="shared" ref="D1407:D1470" si="21">IF(ISBLANK(B1407),"OK",IF(A1407-B1407=0,"OK","Error?"))</f>
        <v>Error?</v>
      </c>
    </row>
    <row r="1408" spans="1:4" x14ac:dyDescent="0.2">
      <c r="A1408" s="5">
        <v>1347</v>
      </c>
      <c r="B1408" s="138">
        <f>'Expenditures 15-22'!D223</f>
        <v>5691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197022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19399</v>
      </c>
      <c r="D1412" s="2" t="str">
        <f t="shared" si="21"/>
        <v>Error?</v>
      </c>
    </row>
    <row r="1413" spans="1:4" x14ac:dyDescent="0.2">
      <c r="A1413" s="5">
        <v>1352</v>
      </c>
      <c r="B1413" s="138">
        <f>'Expenditures 15-22'!D234</f>
        <v>8958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17641</v>
      </c>
      <c r="D1416" s="2" t="str">
        <f t="shared" si="21"/>
        <v>Error?</v>
      </c>
    </row>
    <row r="1417" spans="1:4" x14ac:dyDescent="0.2">
      <c r="A1417" s="5">
        <v>1356</v>
      </c>
      <c r="B1417" s="138">
        <f>'Expenditures 15-22'!D238</f>
        <v>45998</v>
      </c>
      <c r="C1417" s="2" t="s">
        <v>594</v>
      </c>
      <c r="D1417" s="2" t="str">
        <f t="shared" si="21"/>
        <v>Error?</v>
      </c>
    </row>
    <row r="1418" spans="1:4" x14ac:dyDescent="0.2">
      <c r="A1418" s="5">
        <v>1357</v>
      </c>
      <c r="B1418" s="138">
        <f>'Expenditures 15-22'!D240</f>
        <v>75</v>
      </c>
      <c r="D1418" s="2" t="str">
        <f t="shared" si="21"/>
        <v>Error?</v>
      </c>
    </row>
    <row r="1419" spans="1:4" x14ac:dyDescent="0.2">
      <c r="A1419" s="5">
        <v>1358</v>
      </c>
      <c r="B1419" s="138">
        <f>'Expenditures 15-22'!D241</f>
        <v>1002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1077</v>
      </c>
      <c r="C1421" s="2" t="s">
        <v>594</v>
      </c>
      <c r="D1421" s="2" t="str">
        <f t="shared" si="21"/>
        <v>Error?</v>
      </c>
    </row>
    <row r="1422" spans="1:4" x14ac:dyDescent="0.2">
      <c r="A1422" s="5">
        <v>1361</v>
      </c>
      <c r="B1422" s="138">
        <f>'Expenditures 15-22'!D245</f>
        <v>3989</v>
      </c>
      <c r="D1422" s="2" t="str">
        <f t="shared" si="21"/>
        <v>Error?</v>
      </c>
    </row>
    <row r="1423" spans="1:4" x14ac:dyDescent="0.2">
      <c r="A1423" s="5">
        <v>1362</v>
      </c>
      <c r="B1423" s="138">
        <f>'Expenditures 15-22'!D246</f>
        <v>6084</v>
      </c>
      <c r="D1423" s="2" t="str">
        <f t="shared" si="21"/>
        <v>Error?</v>
      </c>
    </row>
    <row r="1424" spans="1:4" x14ac:dyDescent="0.2">
      <c r="A1424" s="5">
        <v>1363</v>
      </c>
      <c r="B1424" s="138">
        <f>'Expenditures 15-22'!D257</f>
        <v>76384</v>
      </c>
      <c r="C1424" s="2" t="s">
        <v>594</v>
      </c>
      <c r="D1424" s="2" t="str">
        <f t="shared" si="21"/>
        <v>Error?</v>
      </c>
    </row>
    <row r="1425" spans="1:4" x14ac:dyDescent="0.2">
      <c r="A1425" s="5">
        <v>1364</v>
      </c>
      <c r="B1425" s="138">
        <f>'Expenditures 15-22'!D259</f>
        <v>45405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45405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22614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129965</v>
      </c>
      <c r="D1431" s="2" t="str">
        <f t="shared" si="21"/>
        <v>Error?</v>
      </c>
    </row>
    <row r="1432" spans="1:4" x14ac:dyDescent="0.2">
      <c r="A1432" s="5">
        <v>1371</v>
      </c>
      <c r="B1432" s="138">
        <f>'Expenditures 15-22'!D267</f>
        <v>124583</v>
      </c>
      <c r="D1432" s="2" t="str">
        <f t="shared" si="21"/>
        <v>Error?</v>
      </c>
    </row>
    <row r="1433" spans="1:4" x14ac:dyDescent="0.2">
      <c r="A1433" s="5">
        <v>1372</v>
      </c>
      <c r="B1433" s="138">
        <f>'Expenditures 15-22'!D268</f>
        <v>68920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346082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514946</v>
      </c>
      <c r="C1446" s="2" t="s">
        <v>594</v>
      </c>
      <c r="D1446" s="2" t="str">
        <f t="shared" si="21"/>
        <v>Error?</v>
      </c>
    </row>
    <row r="1447" spans="1:4" x14ac:dyDescent="0.2">
      <c r="A1447" s="5">
        <v>1386</v>
      </c>
      <c r="B1447" s="138">
        <f>'Expenditures 15-22'!D280</f>
        <v>89424</v>
      </c>
      <c r="D1447" s="2" t="str">
        <f t="shared" si="21"/>
        <v>Error?</v>
      </c>
    </row>
    <row r="1448" spans="1:4" x14ac:dyDescent="0.2">
      <c r="A1448" s="5">
        <v>1387</v>
      </c>
      <c r="B1448" s="138">
        <f>'Expenditures 15-22'!D295</f>
        <v>877913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9691</v>
      </c>
      <c r="C1471" s="2" t="s">
        <v>594</v>
      </c>
      <c r="D1471" s="2" t="str">
        <f t="shared" ref="D1471:D1534" si="22">IF(ISBLANK(B1471),"OK",IF(A1471-B1471=0,"OK","Error?"))</f>
        <v>Error?</v>
      </c>
    </row>
    <row r="1472" spans="1:4" x14ac:dyDescent="0.2">
      <c r="A1472" s="5">
        <v>1411</v>
      </c>
      <c r="B1472" s="138">
        <f>'Expenditures 15-22'!K223</f>
        <v>5691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197022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19399</v>
      </c>
      <c r="C1476" s="2" t="s">
        <v>594</v>
      </c>
      <c r="D1476" s="2" t="str">
        <f t="shared" si="22"/>
        <v>Error?</v>
      </c>
    </row>
    <row r="1477" spans="1:4" x14ac:dyDescent="0.2">
      <c r="A1477" s="5">
        <v>1416</v>
      </c>
      <c r="B1477" s="138">
        <f>'Expenditures 15-22'!K234</f>
        <v>8958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17641</v>
      </c>
      <c r="C1480" s="2" t="s">
        <v>594</v>
      </c>
      <c r="D1480" s="2" t="str">
        <f t="shared" si="22"/>
        <v>Error?</v>
      </c>
    </row>
    <row r="1481" spans="1:4" x14ac:dyDescent="0.2">
      <c r="A1481" s="5">
        <v>1420</v>
      </c>
      <c r="B1481" s="138">
        <f>'Expenditures 15-22'!K238</f>
        <v>45998</v>
      </c>
      <c r="C1481" s="2" t="s">
        <v>594</v>
      </c>
      <c r="D1481" s="2" t="str">
        <f t="shared" si="22"/>
        <v>Error?</v>
      </c>
    </row>
    <row r="1482" spans="1:4" x14ac:dyDescent="0.2">
      <c r="A1482" s="5">
        <v>1421</v>
      </c>
      <c r="B1482" s="138">
        <f>'Expenditures 15-22'!K240</f>
        <v>75</v>
      </c>
      <c r="C1482" s="2" t="s">
        <v>594</v>
      </c>
      <c r="D1482" s="2" t="str">
        <f t="shared" si="22"/>
        <v>Error?</v>
      </c>
    </row>
    <row r="1483" spans="1:4" x14ac:dyDescent="0.2">
      <c r="A1483" s="5">
        <v>1422</v>
      </c>
      <c r="B1483" s="138">
        <f>'Expenditures 15-22'!K241</f>
        <v>1002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1077</v>
      </c>
      <c r="C1485" s="2" t="s">
        <v>594</v>
      </c>
      <c r="D1485" s="2" t="str">
        <f t="shared" si="22"/>
        <v>Error?</v>
      </c>
    </row>
    <row r="1486" spans="1:4" x14ac:dyDescent="0.2">
      <c r="A1486" s="5">
        <v>1425</v>
      </c>
      <c r="B1486" s="138">
        <f>'Expenditures 15-22'!K245</f>
        <v>3989</v>
      </c>
      <c r="C1486" s="2" t="s">
        <v>594</v>
      </c>
      <c r="D1486" s="2" t="str">
        <f t="shared" si="22"/>
        <v>Error?</v>
      </c>
    </row>
    <row r="1487" spans="1:4" x14ac:dyDescent="0.2">
      <c r="A1487" s="5">
        <v>1426</v>
      </c>
      <c r="B1487" s="138">
        <f>'Expenditures 15-22'!K246</f>
        <v>6084</v>
      </c>
      <c r="C1487" s="2" t="s">
        <v>594</v>
      </c>
      <c r="D1487" s="2" t="str">
        <f t="shared" si="22"/>
        <v>Error?</v>
      </c>
    </row>
    <row r="1488" spans="1:4" x14ac:dyDescent="0.2">
      <c r="A1488" s="5">
        <v>1427</v>
      </c>
      <c r="B1488" s="138">
        <f>'Expenditures 15-22'!K257</f>
        <v>76384</v>
      </c>
      <c r="C1488" s="2" t="s">
        <v>594</v>
      </c>
      <c r="D1488" s="2" t="str">
        <f t="shared" si="22"/>
        <v>Error?</v>
      </c>
    </row>
    <row r="1489" spans="1:4" x14ac:dyDescent="0.2">
      <c r="A1489" s="5">
        <v>1428</v>
      </c>
      <c r="B1489" s="138">
        <f>'Expenditures 15-22'!K259</f>
        <v>45405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45405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22614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129965</v>
      </c>
      <c r="C1495" s="2" t="s">
        <v>594</v>
      </c>
      <c r="D1495" s="2" t="str">
        <f t="shared" si="22"/>
        <v>Error?</v>
      </c>
    </row>
    <row r="1496" spans="1:4" x14ac:dyDescent="0.2">
      <c r="A1496" s="5">
        <v>1435</v>
      </c>
      <c r="B1496" s="138">
        <f>'Expenditures 15-22'!K267</f>
        <v>124583</v>
      </c>
      <c r="C1496" s="2" t="s">
        <v>594</v>
      </c>
      <c r="D1496" s="2" t="str">
        <f t="shared" si="22"/>
        <v>Error?</v>
      </c>
    </row>
    <row r="1497" spans="1:4" x14ac:dyDescent="0.2">
      <c r="A1497" s="5">
        <v>1436</v>
      </c>
      <c r="B1497" s="138">
        <f>'Expenditures 15-22'!K268</f>
        <v>68920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346082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514946</v>
      </c>
      <c r="C1510" s="2" t="s">
        <v>594</v>
      </c>
      <c r="D1510" s="2" t="str">
        <f t="shared" si="22"/>
        <v>Error?</v>
      </c>
    </row>
    <row r="1511" spans="1:4" x14ac:dyDescent="0.2">
      <c r="A1511" s="5">
        <v>1450</v>
      </c>
      <c r="B1511" s="138">
        <f>'Expenditures 15-22'!K280</f>
        <v>89424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877913</v>
      </c>
      <c r="C1517" s="2" t="s">
        <v>594</v>
      </c>
      <c r="D1517" s="2" t="str">
        <f t="shared" si="22"/>
        <v>Error?</v>
      </c>
    </row>
    <row r="1518" spans="1:4" x14ac:dyDescent="0.2">
      <c r="A1518" s="5">
        <v>1457</v>
      </c>
      <c r="B1518" s="138">
        <f>'Expenditures 15-22'!K296</f>
        <v>-30519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147154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147154</v>
      </c>
      <c r="C1535" s="2" t="s">
        <v>594</v>
      </c>
      <c r="D1535" s="2" t="str">
        <f t="shared" ref="D1535:D1598" si="23">IF(ISBLANK(B1535),"OK",IF(A1535-B1535=0,"OK","Error?"))</f>
        <v>Error?</v>
      </c>
    </row>
    <row r="1536" spans="1:4" x14ac:dyDescent="0.2">
      <c r="A1536" s="5">
        <v>1475</v>
      </c>
      <c r="B1536" s="138">
        <f>'Expenditures 15-22'!E312</f>
        <v>147154</v>
      </c>
      <c r="C1536" s="2" t="s">
        <v>594</v>
      </c>
      <c r="D1536" s="2" t="str">
        <f t="shared" si="23"/>
        <v>Error?</v>
      </c>
    </row>
    <row r="1537" spans="1:4" x14ac:dyDescent="0.2">
      <c r="A1537" s="5">
        <v>1476</v>
      </c>
      <c r="B1537" s="138">
        <f>'Expenditures 15-22'!F301</f>
        <v>1075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1075</v>
      </c>
      <c r="C1541" s="2" t="s">
        <v>594</v>
      </c>
      <c r="D1541" s="2" t="str">
        <f t="shared" si="23"/>
        <v>Error?</v>
      </c>
    </row>
    <row r="1542" spans="1:4" x14ac:dyDescent="0.2">
      <c r="A1542" s="5">
        <v>1481</v>
      </c>
      <c r="B1542" s="138">
        <f>'Expenditures 15-22'!F312</f>
        <v>1075</v>
      </c>
      <c r="C1542" s="2" t="s">
        <v>594</v>
      </c>
      <c r="D1542" s="2" t="str">
        <f t="shared" si="23"/>
        <v>Error?</v>
      </c>
    </row>
    <row r="1543" spans="1:4" x14ac:dyDescent="0.2">
      <c r="A1543" s="5">
        <v>1482</v>
      </c>
      <c r="B1543" s="138">
        <f>'Expenditures 15-22'!G301</f>
        <v>65690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65690</v>
      </c>
      <c r="C1547" s="2" t="s">
        <v>594</v>
      </c>
      <c r="D1547" s="2" t="str">
        <f t="shared" si="23"/>
        <v>Error?</v>
      </c>
    </row>
    <row r="1548" spans="1:4" x14ac:dyDescent="0.2">
      <c r="A1548" s="5">
        <v>1487</v>
      </c>
      <c r="B1548" s="138">
        <f>'Expenditures 15-22'!G312</f>
        <v>65690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275067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275067</v>
      </c>
      <c r="C1559" s="2" t="s">
        <v>594</v>
      </c>
      <c r="D1559" s="2" t="str">
        <f t="shared" si="23"/>
        <v>Error?</v>
      </c>
    </row>
    <row r="1560" spans="1:4" x14ac:dyDescent="0.2">
      <c r="A1560" s="5">
        <v>1499</v>
      </c>
      <c r="B1560" s="138">
        <f>'Expenditures 15-22'!K312</f>
        <v>275067</v>
      </c>
      <c r="C1560" s="2" t="s">
        <v>594</v>
      </c>
      <c r="D1560" s="2" t="str">
        <f t="shared" si="23"/>
        <v>Error?</v>
      </c>
    </row>
    <row r="1561" spans="1:4" x14ac:dyDescent="0.2">
      <c r="A1561" s="5">
        <v>1500</v>
      </c>
      <c r="B1561" s="138">
        <f>'Expenditures 15-22'!K313</f>
        <v>719606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1059093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1698231</v>
      </c>
      <c r="C1630" s="2" t="s">
        <v>594</v>
      </c>
      <c r="D1630" s="2" t="str">
        <f t="shared" si="24"/>
        <v>Error?</v>
      </c>
    </row>
    <row r="1631" spans="1:4" x14ac:dyDescent="0.2">
      <c r="A1631" s="5">
        <v>1570</v>
      </c>
      <c r="B1631" s="138">
        <f>'Acct Summary 7-8'!D79</f>
        <v>135722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-12059</v>
      </c>
      <c r="C1644" s="2" t="s">
        <v>594</v>
      </c>
      <c r="D1644" s="2" t="str">
        <f t="shared" si="24"/>
        <v>Error?</v>
      </c>
    </row>
    <row r="1645" spans="1:4" x14ac:dyDescent="0.2">
      <c r="A1645" s="5">
        <v>1584</v>
      </c>
      <c r="B1645" s="138">
        <f>'Acct Summary 7-8'!E79</f>
        <v>90133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89560</v>
      </c>
      <c r="C1658" s="2" t="s">
        <v>594</v>
      </c>
      <c r="D1658" s="2" t="str">
        <f t="shared" si="24"/>
        <v>Error?</v>
      </c>
    </row>
    <row r="1659" spans="1:4" x14ac:dyDescent="0.2">
      <c r="A1659" s="5">
        <v>1598</v>
      </c>
      <c r="B1659" s="138">
        <f>'Acct Summary 7-8'!F79</f>
        <v>255346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278245</v>
      </c>
      <c r="C1672" s="2" t="s">
        <v>594</v>
      </c>
      <c r="D1672" s="2" t="str">
        <f t="shared" si="25"/>
        <v>Error?</v>
      </c>
    </row>
    <row r="1673" spans="1:4" x14ac:dyDescent="0.2">
      <c r="A1673" s="5">
        <v>1612</v>
      </c>
      <c r="B1673" s="138">
        <f>'Acct Summary 7-8'!G79</f>
        <v>554941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524422</v>
      </c>
      <c r="C1686" s="2" t="s">
        <v>594</v>
      </c>
      <c r="D1686" s="2" t="str">
        <f t="shared" si="25"/>
        <v>Error?</v>
      </c>
    </row>
    <row r="1687" spans="1:4" x14ac:dyDescent="0.2">
      <c r="A1687" s="5">
        <v>1626</v>
      </c>
      <c r="B1687" s="138">
        <f>'Acct Summary 7-8'!H79</f>
        <v>12637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732243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4364182</v>
      </c>
      <c r="C1744" s="2" t="s">
        <v>594</v>
      </c>
      <c r="D1744" s="2" t="str">
        <f t="shared" si="26"/>
        <v>Error?</v>
      </c>
    </row>
    <row r="1745" spans="1:5" x14ac:dyDescent="0.2">
      <c r="A1745" s="5">
        <v>1684</v>
      </c>
      <c r="B1745" s="138">
        <f>'Tax Sched 23'!B5</f>
        <v>908931</v>
      </c>
      <c r="C1745" s="2" t="s">
        <v>594</v>
      </c>
      <c r="D1745" s="2" t="str">
        <f t="shared" si="26"/>
        <v>Error?</v>
      </c>
    </row>
    <row r="1746" spans="1:5" x14ac:dyDescent="0.2">
      <c r="A1746" s="5">
        <v>1685</v>
      </c>
      <c r="B1746" s="138">
        <f>'Tax Sched 23'!B6</f>
        <v>1685170</v>
      </c>
      <c r="C1746" s="2" t="s">
        <v>594</v>
      </c>
      <c r="D1746" s="2" t="str">
        <f t="shared" si="26"/>
        <v>Error?</v>
      </c>
    </row>
    <row r="1747" spans="1:5" x14ac:dyDescent="0.2">
      <c r="A1747" s="5">
        <v>1686</v>
      </c>
      <c r="B1747" s="138">
        <f>'Tax Sched 23'!B7</f>
        <v>363567</v>
      </c>
      <c r="C1747" s="2" t="s">
        <v>594</v>
      </c>
      <c r="D1747" s="2" t="str">
        <f t="shared" si="26"/>
        <v>Error?</v>
      </c>
    </row>
    <row r="1748" spans="1:5" x14ac:dyDescent="0.2">
      <c r="A1748" s="5">
        <v>1687</v>
      </c>
      <c r="B1748" s="138">
        <f>'Tax Sched 23'!B8</f>
        <v>430211</v>
      </c>
      <c r="C1748" s="2" t="s">
        <v>594</v>
      </c>
      <c r="D1748" s="2" t="str">
        <f t="shared" si="26"/>
        <v>Error?</v>
      </c>
    </row>
    <row r="1749" spans="1:5" x14ac:dyDescent="0.2">
      <c r="A1749" s="5">
        <v>1688</v>
      </c>
      <c r="B1749" s="138">
        <f>'Tax Sched 23'!B10</f>
        <v>90894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850434</v>
      </c>
      <c r="C1752" s="2" t="s">
        <v>594</v>
      </c>
      <c r="D1752" s="2" t="str">
        <f t="shared" si="26"/>
        <v>Error?</v>
      </c>
    </row>
    <row r="1753" spans="1:5" x14ac:dyDescent="0.2">
      <c r="A1753" s="5">
        <v>1692</v>
      </c>
      <c r="B1753" s="138">
        <f>'Tax Sched 23'!B12</f>
        <v>90894</v>
      </c>
      <c r="C1753" s="2" t="s">
        <v>594</v>
      </c>
      <c r="D1753" s="2" t="str">
        <f t="shared" si="26"/>
        <v>Error?</v>
      </c>
    </row>
    <row r="1754" spans="1:5" x14ac:dyDescent="0.2">
      <c r="A1754" s="5">
        <v>1693</v>
      </c>
      <c r="B1754" s="138">
        <f>'Tax Sched 23'!B14</f>
        <v>72717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9318086</v>
      </c>
      <c r="C1759" s="2" t="s">
        <v>594</v>
      </c>
      <c r="D1759" s="2" t="str">
        <f t="shared" si="26"/>
        <v>Error?</v>
      </c>
    </row>
    <row r="1760" spans="1:5" x14ac:dyDescent="0.2">
      <c r="A1760" s="5">
        <v>1699</v>
      </c>
      <c r="B1760" s="138">
        <f>'Tax Sched 23'!D4</f>
        <v>4364182</v>
      </c>
      <c r="C1760" s="2" t="s">
        <v>594</v>
      </c>
      <c r="D1760" s="2" t="str">
        <f t="shared" si="26"/>
        <v>Error?</v>
      </c>
    </row>
    <row r="1761" spans="1:5" x14ac:dyDescent="0.2">
      <c r="A1761" s="5">
        <v>1700</v>
      </c>
      <c r="B1761" s="138">
        <f>'Tax Sched 23'!D5</f>
        <v>908931</v>
      </c>
      <c r="C1761" s="2" t="s">
        <v>594</v>
      </c>
      <c r="D1761" s="2" t="str">
        <f t="shared" si="26"/>
        <v>Error?</v>
      </c>
    </row>
    <row r="1762" spans="1:5" s="8" customFormat="1" x14ac:dyDescent="0.2">
      <c r="A1762" s="5">
        <v>1701</v>
      </c>
      <c r="B1762" s="138">
        <f>'Tax Sched 23'!D6</f>
        <v>1685170</v>
      </c>
      <c r="C1762" s="2" t="s">
        <v>594</v>
      </c>
      <c r="D1762" s="2" t="str">
        <f t="shared" si="26"/>
        <v>Error?</v>
      </c>
      <c r="E1762" s="9"/>
    </row>
    <row r="1763" spans="1:5" x14ac:dyDescent="0.2">
      <c r="A1763" s="5">
        <v>1702</v>
      </c>
      <c r="B1763" s="138">
        <f>'Tax Sched 23'!D7</f>
        <v>363567</v>
      </c>
      <c r="C1763" s="2" t="s">
        <v>594</v>
      </c>
      <c r="D1763" s="2" t="str">
        <f t="shared" si="26"/>
        <v>Error?</v>
      </c>
    </row>
    <row r="1764" spans="1:5" x14ac:dyDescent="0.2">
      <c r="A1764" s="5">
        <v>1703</v>
      </c>
      <c r="B1764" s="138">
        <f>'Tax Sched 23'!D8</f>
        <v>430211</v>
      </c>
      <c r="C1764" s="2" t="s">
        <v>594</v>
      </c>
      <c r="D1764" s="2" t="str">
        <f t="shared" si="26"/>
        <v>Error?</v>
      </c>
    </row>
    <row r="1765" spans="1:5" x14ac:dyDescent="0.2">
      <c r="A1765" s="5">
        <v>1704</v>
      </c>
      <c r="B1765" s="138">
        <f>'Tax Sched 23'!D10</f>
        <v>90894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850434</v>
      </c>
      <c r="C1768" s="2" t="s">
        <v>594</v>
      </c>
      <c r="D1768" s="2" t="str">
        <f t="shared" si="26"/>
        <v>Error?</v>
      </c>
    </row>
    <row r="1769" spans="1:5" x14ac:dyDescent="0.2">
      <c r="A1769" s="5">
        <v>1708</v>
      </c>
      <c r="B1769" s="138">
        <f>'Tax Sched 23'!D12</f>
        <v>90894</v>
      </c>
      <c r="C1769" s="2" t="s">
        <v>594</v>
      </c>
      <c r="D1769" s="2" t="str">
        <f t="shared" si="26"/>
        <v>Error?</v>
      </c>
    </row>
    <row r="1770" spans="1:5" x14ac:dyDescent="0.2">
      <c r="A1770" s="5">
        <v>1709</v>
      </c>
      <c r="B1770" s="138">
        <f>'Tax Sched 23'!D14</f>
        <v>72717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9318086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3820934</v>
      </c>
      <c r="C1792" s="2" t="s">
        <v>594</v>
      </c>
      <c r="D1792" s="2" t="str">
        <f t="shared" si="27"/>
        <v>Error?</v>
      </c>
    </row>
    <row r="1793" spans="1:4" x14ac:dyDescent="0.2">
      <c r="A1793" s="5">
        <v>1732</v>
      </c>
      <c r="B1793" s="138">
        <f>'Tax Sched 23'!F5</f>
        <v>795932</v>
      </c>
      <c r="C1793" s="2" t="s">
        <v>594</v>
      </c>
      <c r="D1793" s="2" t="str">
        <f t="shared" si="27"/>
        <v>Error?</v>
      </c>
    </row>
    <row r="1794" spans="1:4" x14ac:dyDescent="0.2">
      <c r="A1794" s="5">
        <v>1733</v>
      </c>
      <c r="B1794" s="138">
        <f>'Tax Sched 23'!F6</f>
        <v>1479949</v>
      </c>
      <c r="C1794" s="2" t="s">
        <v>594</v>
      </c>
      <c r="D1794" s="2" t="str">
        <f t="shared" si="27"/>
        <v>Error?</v>
      </c>
    </row>
    <row r="1795" spans="1:4" x14ac:dyDescent="0.2">
      <c r="A1795" s="5">
        <v>1734</v>
      </c>
      <c r="B1795" s="138">
        <f>'Tax Sched 23'!F7</f>
        <v>318373</v>
      </c>
      <c r="C1795" s="2" t="s">
        <v>594</v>
      </c>
      <c r="D1795" s="2" t="str">
        <f t="shared" si="27"/>
        <v>Error?</v>
      </c>
    </row>
    <row r="1796" spans="1:4" x14ac:dyDescent="0.2">
      <c r="A1796" s="5">
        <v>1735</v>
      </c>
      <c r="B1796" s="138">
        <f>'Tax Sched 23'!F8</f>
        <v>468134</v>
      </c>
      <c r="C1796" s="2" t="s">
        <v>594</v>
      </c>
      <c r="D1796" s="2" t="str">
        <f t="shared" si="27"/>
        <v>Error?</v>
      </c>
    </row>
    <row r="1797" spans="1:4" x14ac:dyDescent="0.2">
      <c r="A1797" s="5">
        <v>1736</v>
      </c>
      <c r="B1797" s="138">
        <f>'Tax Sched 23'!F10</f>
        <v>79594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872523</v>
      </c>
      <c r="C1800" s="2" t="s">
        <v>594</v>
      </c>
      <c r="D1800" s="2" t="str">
        <f t="shared" si="27"/>
        <v>Error?</v>
      </c>
    </row>
    <row r="1801" spans="1:4" x14ac:dyDescent="0.2">
      <c r="A1801" s="5">
        <v>1740</v>
      </c>
      <c r="B1801" s="138">
        <f>'Tax Sched 23'!F12</f>
        <v>79594</v>
      </c>
      <c r="C1801" s="2" t="s">
        <v>594</v>
      </c>
      <c r="D1801" s="2" t="str">
        <f t="shared" si="27"/>
        <v>Error?</v>
      </c>
    </row>
    <row r="1802" spans="1:4" x14ac:dyDescent="0.2">
      <c r="A1802" s="5">
        <v>1741</v>
      </c>
      <c r="B1802" s="138">
        <f>'Tax Sched 23'!F14</f>
        <v>63674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8468670</v>
      </c>
      <c r="C1807" s="2" t="s">
        <v>594</v>
      </c>
      <c r="D1807" s="2" t="str">
        <f t="shared" si="27"/>
        <v>Error?</v>
      </c>
    </row>
    <row r="1808" spans="1:4" x14ac:dyDescent="0.2">
      <c r="A1808" s="5">
        <v>1747</v>
      </c>
      <c r="B1808" s="138">
        <f>'Tax Sched 23'!E4</f>
        <v>3820934</v>
      </c>
      <c r="D1808" s="2" t="str">
        <f t="shared" si="27"/>
        <v>Error?</v>
      </c>
    </row>
    <row r="1809" spans="1:4" x14ac:dyDescent="0.2">
      <c r="A1809" s="5">
        <v>1748</v>
      </c>
      <c r="B1809" s="138">
        <f>'Tax Sched 23'!E5</f>
        <v>795932</v>
      </c>
      <c r="D1809" s="2" t="str">
        <f t="shared" si="27"/>
        <v>Error?</v>
      </c>
    </row>
    <row r="1810" spans="1:4" x14ac:dyDescent="0.2">
      <c r="A1810" s="5">
        <v>1749</v>
      </c>
      <c r="B1810" s="138">
        <f>'Tax Sched 23'!E6</f>
        <v>1479949</v>
      </c>
      <c r="D1810" s="2" t="str">
        <f t="shared" si="27"/>
        <v>Error?</v>
      </c>
    </row>
    <row r="1811" spans="1:4" x14ac:dyDescent="0.2">
      <c r="A1811" s="5">
        <v>1750</v>
      </c>
      <c r="B1811" s="138">
        <f>'Tax Sched 23'!E7</f>
        <v>318373</v>
      </c>
      <c r="D1811" s="2" t="str">
        <f t="shared" si="27"/>
        <v>Error?</v>
      </c>
    </row>
    <row r="1812" spans="1:4" x14ac:dyDescent="0.2">
      <c r="A1812" s="5">
        <v>1751</v>
      </c>
      <c r="B1812" s="138">
        <f>'Tax Sched 23'!E8</f>
        <v>468134</v>
      </c>
      <c r="D1812" s="2" t="str">
        <f t="shared" si="27"/>
        <v>Error?</v>
      </c>
    </row>
    <row r="1813" spans="1:4" x14ac:dyDescent="0.2">
      <c r="A1813" s="5">
        <v>1752</v>
      </c>
      <c r="B1813" s="138">
        <f>'Tax Sched 23'!E10</f>
        <v>79594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872523</v>
      </c>
      <c r="D1816" s="2" t="str">
        <f t="shared" si="27"/>
        <v>Error?</v>
      </c>
    </row>
    <row r="1817" spans="1:4" x14ac:dyDescent="0.2">
      <c r="A1817" s="5">
        <v>1756</v>
      </c>
      <c r="B1817" s="138">
        <f>'Tax Sched 23'!E12</f>
        <v>79594</v>
      </c>
      <c r="D1817" s="2" t="str">
        <f t="shared" si="27"/>
        <v>Error?</v>
      </c>
    </row>
    <row r="1818" spans="1:4" x14ac:dyDescent="0.2">
      <c r="A1818" s="5">
        <v>1757</v>
      </c>
      <c r="B1818" s="138">
        <f>'Tax Sched 23'!E14</f>
        <v>63674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8468670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7805000</v>
      </c>
      <c r="C1939" s="2" t="s">
        <v>594</v>
      </c>
      <c r="D1939" s="2" t="str">
        <f t="shared" si="29"/>
        <v>Error?</v>
      </c>
    </row>
    <row r="1940" spans="1:5" x14ac:dyDescent="0.2">
      <c r="A1940" s="5">
        <v>1879</v>
      </c>
      <c r="B1940" s="138">
        <f>'Short-Term Long-Term Debt 24'!F49</f>
        <v>1836000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72717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72717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72717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509730</v>
      </c>
      <c r="D2008" s="2" t="str">
        <f t="shared" si="30"/>
        <v>Error?</v>
      </c>
    </row>
    <row r="2009" spans="1:4" x14ac:dyDescent="0.2">
      <c r="A2009" s="5">
        <v>1948</v>
      </c>
      <c r="B2009" s="138">
        <f>'Cap Outlay Deprec 26'!C8</f>
        <v>16485550</v>
      </c>
      <c r="D2009" s="2" t="str">
        <f t="shared" si="30"/>
        <v>Error?</v>
      </c>
    </row>
    <row r="2010" spans="1:4" x14ac:dyDescent="0.2">
      <c r="A2010" s="5">
        <v>1949</v>
      </c>
      <c r="B2010" s="138">
        <f>'Cap Outlay Deprec 26'!C10</f>
        <v>3885830</v>
      </c>
      <c r="D2010" s="2" t="str">
        <f t="shared" si="30"/>
        <v>Error?</v>
      </c>
    </row>
    <row r="2011" spans="1:4" x14ac:dyDescent="0.2">
      <c r="A2011" s="5">
        <v>1950</v>
      </c>
      <c r="B2011" s="138">
        <f>'Cap Outlay Deprec 26'!C12</f>
        <v>607737</v>
      </c>
      <c r="D2011" s="2" t="str">
        <f t="shared" si="30"/>
        <v>Error?</v>
      </c>
    </row>
    <row r="2012" spans="1:4" x14ac:dyDescent="0.2">
      <c r="A2012" s="5">
        <v>1951</v>
      </c>
      <c r="B2012" s="138">
        <f>'Cap Outlay Deprec 26'!C13</f>
        <v>2722496</v>
      </c>
      <c r="D2012" s="2" t="str">
        <f t="shared" si="30"/>
        <v>Error?</v>
      </c>
    </row>
    <row r="2013" spans="1:4" x14ac:dyDescent="0.2">
      <c r="A2013" s="5">
        <v>1952</v>
      </c>
      <c r="B2013" s="138">
        <f>'Cap Outlay Deprec 26'!C16</f>
        <v>24211343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70337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37564</v>
      </c>
      <c r="D2017" s="2" t="str">
        <f t="shared" si="30"/>
        <v>Error?</v>
      </c>
    </row>
    <row r="2018" spans="1:4" x14ac:dyDescent="0.2">
      <c r="A2018" s="5">
        <v>1957</v>
      </c>
      <c r="B2018" s="138">
        <f>'Cap Outlay Deprec 26'!D13</f>
        <v>375839</v>
      </c>
      <c r="D2018" s="2" t="str">
        <f t="shared" si="30"/>
        <v>Error?</v>
      </c>
    </row>
    <row r="2019" spans="1:4" x14ac:dyDescent="0.2">
      <c r="A2019" s="5">
        <v>1958</v>
      </c>
      <c r="B2019" s="138">
        <f>'Cap Outlay Deprec 26'!D16</f>
        <v>483740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6799</v>
      </c>
      <c r="D2023" s="2" t="str">
        <f t="shared" si="30"/>
        <v>Error?</v>
      </c>
    </row>
    <row r="2024" spans="1:4" x14ac:dyDescent="0.2">
      <c r="A2024" s="5">
        <v>1963</v>
      </c>
      <c r="B2024" s="138">
        <f>'Cap Outlay Deprec 26'!E13</f>
        <v>57843</v>
      </c>
      <c r="D2024" s="2" t="str">
        <f t="shared" si="30"/>
        <v>Error?</v>
      </c>
    </row>
    <row r="2025" spans="1:4" x14ac:dyDescent="0.2">
      <c r="A2025" s="5">
        <v>1964</v>
      </c>
      <c r="B2025" s="138">
        <f>'Cap Outlay Deprec 26'!E16</f>
        <v>64642</v>
      </c>
      <c r="C2025" s="2" t="s">
        <v>594</v>
      </c>
      <c r="D2025" s="2" t="str">
        <f t="shared" si="30"/>
        <v>Error?</v>
      </c>
    </row>
    <row r="2026" spans="1:4" x14ac:dyDescent="0.2">
      <c r="A2026" s="5">
        <v>1965</v>
      </c>
      <c r="B2026" s="138">
        <f>'Cap Outlay Deprec 26'!F5</f>
        <v>509730</v>
      </c>
      <c r="C2026" s="2" t="s">
        <v>594</v>
      </c>
      <c r="D2026" s="2" t="str">
        <f t="shared" si="30"/>
        <v>Error?</v>
      </c>
    </row>
    <row r="2027" spans="1:4" x14ac:dyDescent="0.2">
      <c r="A2027" s="5">
        <v>1966</v>
      </c>
      <c r="B2027" s="138">
        <f>'Cap Outlay Deprec 26'!F8</f>
        <v>16555887</v>
      </c>
      <c r="C2027" s="2" t="s">
        <v>594</v>
      </c>
      <c r="D2027" s="2" t="str">
        <f t="shared" si="30"/>
        <v>Error?</v>
      </c>
    </row>
    <row r="2028" spans="1:4" x14ac:dyDescent="0.2">
      <c r="A2028" s="5">
        <v>1967</v>
      </c>
      <c r="B2028" s="138">
        <f>'Cap Outlay Deprec 26'!F10</f>
        <v>3885830</v>
      </c>
      <c r="C2028" s="2" t="s">
        <v>594</v>
      </c>
      <c r="D2028" s="2" t="str">
        <f t="shared" si="30"/>
        <v>Error?</v>
      </c>
    </row>
    <row r="2029" spans="1:4" x14ac:dyDescent="0.2">
      <c r="A2029" s="5">
        <v>1968</v>
      </c>
      <c r="B2029" s="138">
        <f>'Cap Outlay Deprec 26'!F12</f>
        <v>638502</v>
      </c>
      <c r="C2029" s="2" t="s">
        <v>594</v>
      </c>
      <c r="D2029" s="2" t="str">
        <f t="shared" si="30"/>
        <v>Error?</v>
      </c>
    </row>
    <row r="2030" spans="1:4" x14ac:dyDescent="0.2">
      <c r="A2030" s="5">
        <v>1969</v>
      </c>
      <c r="B2030" s="138">
        <f>'Cap Outlay Deprec 26'!F13</f>
        <v>3040492</v>
      </c>
      <c r="C2030" s="2" t="s">
        <v>594</v>
      </c>
      <c r="D2030" s="2" t="str">
        <f t="shared" si="30"/>
        <v>Error?</v>
      </c>
    </row>
    <row r="2031" spans="1:4" x14ac:dyDescent="0.2">
      <c r="A2031" s="5">
        <v>1970</v>
      </c>
      <c r="B2031" s="138">
        <f>'Cap Outlay Deprec 26'!F16</f>
        <v>24630441</v>
      </c>
      <c r="C2031" s="2" t="s">
        <v>594</v>
      </c>
      <c r="D2031" s="2" t="str">
        <f t="shared" si="30"/>
        <v>Error?</v>
      </c>
    </row>
    <row r="2032" spans="1:4" x14ac:dyDescent="0.2">
      <c r="A2032" s="10">
        <v>1971</v>
      </c>
      <c r="D2032" s="2" t="str">
        <f t="shared" si="30"/>
        <v>OK</v>
      </c>
    </row>
    <row r="2033" spans="1:4" x14ac:dyDescent="0.2">
      <c r="A2033" s="5">
        <v>1972</v>
      </c>
      <c r="B2033" s="138">
        <f>'Cap Outlay Deprec 26'!H8</f>
        <v>6422898</v>
      </c>
      <c r="D2033" s="2" t="str">
        <f t="shared" si="30"/>
        <v>Error?</v>
      </c>
    </row>
    <row r="2034" spans="1:4" x14ac:dyDescent="0.2">
      <c r="A2034" s="5">
        <v>1973</v>
      </c>
      <c r="B2034" s="138">
        <f>'Cap Outlay Deprec 26'!H10</f>
        <v>2229694</v>
      </c>
      <c r="D2034" s="2" t="str">
        <f t="shared" si="30"/>
        <v>Error?</v>
      </c>
    </row>
    <row r="2035" spans="1:4" x14ac:dyDescent="0.2">
      <c r="A2035" s="5">
        <v>1974</v>
      </c>
      <c r="B2035" s="138">
        <f>'Cap Outlay Deprec 26'!H12</f>
        <v>504059</v>
      </c>
      <c r="D2035" s="2" t="str">
        <f t="shared" si="30"/>
        <v>Error?</v>
      </c>
    </row>
    <row r="2036" spans="1:4" x14ac:dyDescent="0.2">
      <c r="A2036" s="5">
        <v>1975</v>
      </c>
      <c r="B2036" s="138">
        <f>'Cap Outlay Deprec 26'!H13</f>
        <v>2407941</v>
      </c>
      <c r="D2036" s="2" t="str">
        <f t="shared" si="30"/>
        <v>Error?</v>
      </c>
    </row>
    <row r="2037" spans="1:4" x14ac:dyDescent="0.2">
      <c r="A2037" s="5">
        <v>1976</v>
      </c>
      <c r="B2037" s="138">
        <f>'Cap Outlay Deprec 26'!H16</f>
        <v>11564592</v>
      </c>
      <c r="C2037" s="2" t="s">
        <v>594</v>
      </c>
      <c r="D2037" s="2" t="str">
        <f t="shared" si="30"/>
        <v>Error?</v>
      </c>
    </row>
    <row r="2038" spans="1:4" x14ac:dyDescent="0.2">
      <c r="A2038" s="10">
        <v>1977</v>
      </c>
      <c r="D2038" s="2" t="str">
        <f t="shared" si="30"/>
        <v>OK</v>
      </c>
    </row>
    <row r="2039" spans="1:4" x14ac:dyDescent="0.2">
      <c r="A2039" s="5">
        <v>1978</v>
      </c>
      <c r="B2039" s="138">
        <f>'Cap Outlay Deprec 26'!I8</f>
        <v>321995</v>
      </c>
      <c r="D2039" s="2" t="str">
        <f t="shared" si="30"/>
        <v>Error?</v>
      </c>
    </row>
    <row r="2040" spans="1:4" x14ac:dyDescent="0.2">
      <c r="A2040" s="5">
        <v>1979</v>
      </c>
      <c r="B2040" s="138">
        <f>'Cap Outlay Deprec 26'!I10</f>
        <v>172808</v>
      </c>
      <c r="D2040" s="2" t="str">
        <f t="shared" si="30"/>
        <v>Error?</v>
      </c>
    </row>
    <row r="2041" spans="1:4" x14ac:dyDescent="0.2">
      <c r="A2041" s="5">
        <v>1980</v>
      </c>
      <c r="B2041" s="138">
        <f>'Cap Outlay Deprec 26'!I12</f>
        <v>38180</v>
      </c>
      <c r="D2041" s="2" t="str">
        <f t="shared" si="30"/>
        <v>Error?</v>
      </c>
    </row>
    <row r="2042" spans="1:4" x14ac:dyDescent="0.2">
      <c r="A2042" s="5">
        <v>1981</v>
      </c>
      <c r="B2042" s="138">
        <f>'Cap Outlay Deprec 26'!I13</f>
        <v>161717</v>
      </c>
      <c r="D2042" s="2" t="str">
        <f t="shared" si="30"/>
        <v>Error?</v>
      </c>
    </row>
    <row r="2043" spans="1:4" x14ac:dyDescent="0.2">
      <c r="A2043" s="5">
        <v>1982</v>
      </c>
      <c r="B2043" s="138">
        <f>'Cap Outlay Deprec 26'!I16</f>
        <v>694700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6799</v>
      </c>
      <c r="D2047" s="2" t="str">
        <f t="shared" ref="D2047:D2110" si="31">IF(ISBLANK(B2047),"OK",IF(A2047-B2047=0,"OK","Error?"))</f>
        <v>Error?</v>
      </c>
    </row>
    <row r="2048" spans="1:4" x14ac:dyDescent="0.2">
      <c r="A2048" s="5">
        <v>1987</v>
      </c>
      <c r="B2048" s="138">
        <f>'Cap Outlay Deprec 26'!J13</f>
        <v>57843</v>
      </c>
      <c r="D2048" s="2" t="str">
        <f t="shared" si="31"/>
        <v>Error?</v>
      </c>
    </row>
    <row r="2049" spans="1:4" x14ac:dyDescent="0.2">
      <c r="A2049" s="5">
        <v>1988</v>
      </c>
      <c r="B2049" s="138">
        <f>'Cap Outlay Deprec 26'!J16</f>
        <v>64642</v>
      </c>
      <c r="C2049" s="2" t="s">
        <v>594</v>
      </c>
      <c r="D2049" s="2" t="str">
        <f t="shared" si="31"/>
        <v>Error?</v>
      </c>
    </row>
    <row r="2050" spans="1:4" x14ac:dyDescent="0.2">
      <c r="A2050" s="10">
        <v>1989</v>
      </c>
      <c r="D2050" s="2" t="str">
        <f t="shared" si="31"/>
        <v>OK</v>
      </c>
    </row>
    <row r="2051" spans="1:4" x14ac:dyDescent="0.2">
      <c r="A2051" s="5">
        <v>1990</v>
      </c>
      <c r="B2051" s="138">
        <f>'Cap Outlay Deprec 26'!K8</f>
        <v>6744893</v>
      </c>
      <c r="C2051" s="2" t="s">
        <v>594</v>
      </c>
      <c r="D2051" s="2" t="str">
        <f t="shared" si="31"/>
        <v>Error?</v>
      </c>
    </row>
    <row r="2052" spans="1:4" x14ac:dyDescent="0.2">
      <c r="A2052" s="5">
        <v>1991</v>
      </c>
      <c r="B2052" s="138">
        <f>'Cap Outlay Deprec 26'!K10</f>
        <v>2402502</v>
      </c>
      <c r="C2052" s="2" t="s">
        <v>594</v>
      </c>
      <c r="D2052" s="2" t="str">
        <f t="shared" si="31"/>
        <v>Error?</v>
      </c>
    </row>
    <row r="2053" spans="1:4" x14ac:dyDescent="0.2">
      <c r="A2053" s="5">
        <v>1992</v>
      </c>
      <c r="B2053" s="138">
        <f>'Cap Outlay Deprec 26'!K12</f>
        <v>535440</v>
      </c>
      <c r="C2053" s="2" t="s">
        <v>594</v>
      </c>
      <c r="D2053" s="2" t="str">
        <f t="shared" si="31"/>
        <v>Error?</v>
      </c>
    </row>
    <row r="2054" spans="1:4" x14ac:dyDescent="0.2">
      <c r="A2054" s="5">
        <v>1993</v>
      </c>
      <c r="B2054" s="138">
        <f>'Cap Outlay Deprec 26'!K13</f>
        <v>2511815</v>
      </c>
      <c r="C2054" s="2" t="s">
        <v>594</v>
      </c>
      <c r="D2054" s="2" t="str">
        <f t="shared" si="31"/>
        <v>Error?</v>
      </c>
    </row>
    <row r="2055" spans="1:4" x14ac:dyDescent="0.2">
      <c r="A2055" s="5">
        <v>1994</v>
      </c>
      <c r="B2055" s="138">
        <f>'Cap Outlay Deprec 26'!K16</f>
        <v>12194650</v>
      </c>
      <c r="C2055" s="2" t="s">
        <v>594</v>
      </c>
      <c r="D2055" s="2" t="str">
        <f t="shared" si="31"/>
        <v>Error?</v>
      </c>
    </row>
    <row r="2056" spans="1:4" x14ac:dyDescent="0.2">
      <c r="A2056" s="5">
        <v>1995</v>
      </c>
      <c r="B2056" s="138">
        <f>'Cap Outlay Deprec 26'!L5</f>
        <v>509730</v>
      </c>
      <c r="C2056" s="2" t="s">
        <v>594</v>
      </c>
      <c r="D2056" s="2" t="str">
        <f t="shared" si="31"/>
        <v>Error?</v>
      </c>
    </row>
    <row r="2057" spans="1:4" x14ac:dyDescent="0.2">
      <c r="A2057" s="5">
        <v>1996</v>
      </c>
      <c r="B2057" s="138">
        <f>'Cap Outlay Deprec 26'!L8</f>
        <v>9810994</v>
      </c>
      <c r="C2057" s="2" t="s">
        <v>594</v>
      </c>
      <c r="D2057" s="2" t="str">
        <f t="shared" si="31"/>
        <v>Error?</v>
      </c>
    </row>
    <row r="2058" spans="1:4" x14ac:dyDescent="0.2">
      <c r="A2058" s="5">
        <v>1997</v>
      </c>
      <c r="B2058" s="138">
        <f>'Cap Outlay Deprec 26'!L10</f>
        <v>1483328</v>
      </c>
      <c r="C2058" s="2" t="s">
        <v>594</v>
      </c>
      <c r="D2058" s="2" t="str">
        <f t="shared" si="31"/>
        <v>Error?</v>
      </c>
    </row>
    <row r="2059" spans="1:4" x14ac:dyDescent="0.2">
      <c r="A2059" s="5">
        <v>1998</v>
      </c>
      <c r="B2059" s="138">
        <f>'Cap Outlay Deprec 26'!L12</f>
        <v>103062</v>
      </c>
      <c r="C2059" s="2" t="s">
        <v>594</v>
      </c>
      <c r="D2059" s="2" t="str">
        <f t="shared" si="31"/>
        <v>Error?</v>
      </c>
    </row>
    <row r="2060" spans="1:4" x14ac:dyDescent="0.2">
      <c r="A2060" s="5">
        <v>1999</v>
      </c>
      <c r="B2060" s="138">
        <f>'Cap Outlay Deprec 26'!L13</f>
        <v>528677</v>
      </c>
      <c r="C2060" s="2" t="s">
        <v>594</v>
      </c>
      <c r="D2060" s="2" t="str">
        <f t="shared" si="31"/>
        <v>Error?</v>
      </c>
    </row>
    <row r="2061" spans="1:4" x14ac:dyDescent="0.2">
      <c r="A2061" s="5">
        <v>2000</v>
      </c>
      <c r="B2061" s="138">
        <f>'Cap Outlay Deprec 26'!L16</f>
        <v>12435791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1680087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1680087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6663730</v>
      </c>
      <c r="C2551" s="2" t="s">
        <v>594</v>
      </c>
      <c r="D2551" s="2" t="str">
        <f t="shared" si="38"/>
        <v>Error?</v>
      </c>
    </row>
    <row r="2552" spans="1:4" x14ac:dyDescent="0.2">
      <c r="A2552" s="10">
        <v>2491</v>
      </c>
      <c r="D2552" s="2" t="str">
        <f t="shared" si="38"/>
        <v>OK</v>
      </c>
    </row>
    <row r="2553" spans="1:4" x14ac:dyDescent="0.2">
      <c r="A2553" s="5">
        <v>2492</v>
      </c>
      <c r="B2553" s="138">
        <f>'Acct Summary 7-8'!C6</f>
        <v>5698102</v>
      </c>
      <c r="C2553" s="2" t="s">
        <v>594</v>
      </c>
      <c r="D2553" s="2" t="str">
        <f t="shared" si="38"/>
        <v>Error?</v>
      </c>
    </row>
    <row r="2554" spans="1:4" x14ac:dyDescent="0.2">
      <c r="A2554" s="5">
        <v>2493</v>
      </c>
      <c r="B2554" s="138">
        <f>'Acct Summary 7-8'!C7</f>
        <v>929807</v>
      </c>
      <c r="C2554" s="2" t="s">
        <v>594</v>
      </c>
      <c r="D2554" s="2" t="str">
        <f t="shared" si="38"/>
        <v>Error?</v>
      </c>
    </row>
    <row r="2555" spans="1:4" x14ac:dyDescent="0.2">
      <c r="A2555" s="5">
        <v>2494</v>
      </c>
      <c r="B2555" s="138">
        <f>'Acct Summary 7-8'!C8</f>
        <v>13562808</v>
      </c>
      <c r="C2555" s="2" t="s">
        <v>594</v>
      </c>
      <c r="D2555" s="2" t="str">
        <f t="shared" si="38"/>
        <v>Error?</v>
      </c>
    </row>
    <row r="2556" spans="1:4" x14ac:dyDescent="0.2">
      <c r="A2556" s="5">
        <v>2495</v>
      </c>
      <c r="B2556" s="138">
        <f>'Acct Summary 7-8'!C12</f>
        <v>8071175</v>
      </c>
      <c r="C2556" s="2" t="s">
        <v>594</v>
      </c>
      <c r="D2556" s="2" t="str">
        <f t="shared" si="38"/>
        <v>Error?</v>
      </c>
    </row>
    <row r="2557" spans="1:4" x14ac:dyDescent="0.2">
      <c r="A2557" s="5">
        <v>2496</v>
      </c>
      <c r="B2557" s="138">
        <f>'Acct Summary 7-8'!C13</f>
        <v>2922782</v>
      </c>
      <c r="C2557" s="2" t="s">
        <v>594</v>
      </c>
      <c r="D2557" s="2" t="str">
        <f t="shared" si="38"/>
        <v>Error?</v>
      </c>
    </row>
    <row r="2558" spans="1:4" x14ac:dyDescent="0.2">
      <c r="A2558" s="5">
        <v>2497</v>
      </c>
      <c r="B2558" s="138">
        <f>'Acct Summary 7-8'!C14</f>
        <v>601008</v>
      </c>
      <c r="C2558" s="2" t="s">
        <v>594</v>
      </c>
      <c r="D2558" s="2" t="str">
        <f t="shared" si="38"/>
        <v>Error?</v>
      </c>
    </row>
    <row r="2559" spans="1:4" x14ac:dyDescent="0.2">
      <c r="A2559" s="5">
        <v>2498</v>
      </c>
      <c r="B2559" s="138">
        <f>'Acct Summary 7-8'!C15</f>
        <v>1680087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13275052</v>
      </c>
      <c r="C2561" s="2" t="s">
        <v>594</v>
      </c>
      <c r="D2561" s="2" t="str">
        <f t="shared" si="39"/>
        <v>Error?</v>
      </c>
    </row>
    <row r="2562" spans="1:4" x14ac:dyDescent="0.2">
      <c r="A2562" s="5">
        <v>2501</v>
      </c>
      <c r="B2562" s="138">
        <f>'Acct Summary 7-8'!C20</f>
        <v>287756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1117938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1117938</v>
      </c>
      <c r="C2568" s="2" t="s">
        <v>594</v>
      </c>
      <c r="D2568" s="2" t="str">
        <f t="shared" si="39"/>
        <v>Error?</v>
      </c>
    </row>
    <row r="2569" spans="1:4" x14ac:dyDescent="0.2">
      <c r="A2569" s="5">
        <v>2508</v>
      </c>
      <c r="B2569" s="138">
        <f>'Acct Summary 7-8'!D13</f>
        <v>1265719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1265719</v>
      </c>
      <c r="C2573" s="2" t="s">
        <v>594</v>
      </c>
      <c r="D2573" s="2" t="str">
        <f t="shared" si="39"/>
        <v>Error?</v>
      </c>
    </row>
    <row r="2574" spans="1:4" x14ac:dyDescent="0.2">
      <c r="A2574" s="5">
        <v>2513</v>
      </c>
      <c r="B2574" s="138">
        <f>'Acct Summary 7-8'!D20</f>
        <v>-147781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443118</v>
      </c>
      <c r="C2591" s="2" t="s">
        <v>594</v>
      </c>
      <c r="D2591" s="2" t="str">
        <f t="shared" si="39"/>
        <v>Error?</v>
      </c>
    </row>
    <row r="2592" spans="1:4" x14ac:dyDescent="0.2">
      <c r="A2592" s="10">
        <v>2531</v>
      </c>
      <c r="D2592" s="2" t="str">
        <f t="shared" si="39"/>
        <v>OK</v>
      </c>
    </row>
    <row r="2593" spans="1:4" x14ac:dyDescent="0.2">
      <c r="A2593" s="5">
        <v>2532</v>
      </c>
      <c r="B2593" s="138">
        <f>'Acct Summary 7-8'!F6</f>
        <v>553527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996645</v>
      </c>
      <c r="C2595" s="2" t="s">
        <v>594</v>
      </c>
      <c r="D2595" s="2" t="str">
        <f t="shared" si="39"/>
        <v>Error?</v>
      </c>
    </row>
    <row r="2596" spans="1:4" x14ac:dyDescent="0.2">
      <c r="A2596" s="5">
        <v>2535</v>
      </c>
      <c r="B2596" s="138">
        <f>'Acct Summary 7-8'!F13</f>
        <v>1176141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147865</v>
      </c>
      <c r="C2599" s="2" t="s">
        <v>594</v>
      </c>
      <c r="D2599" s="2" t="str">
        <f t="shared" si="39"/>
        <v>Error?</v>
      </c>
    </row>
    <row r="2600" spans="1:4" x14ac:dyDescent="0.2">
      <c r="A2600" s="5">
        <v>2539</v>
      </c>
      <c r="B2600" s="138">
        <f>'Acct Summary 7-8'!F17</f>
        <v>1324006</v>
      </c>
      <c r="C2600" s="2" t="s">
        <v>594</v>
      </c>
      <c r="D2600" s="2" t="str">
        <f t="shared" si="39"/>
        <v>Error?</v>
      </c>
    </row>
    <row r="2601" spans="1:4" x14ac:dyDescent="0.2">
      <c r="A2601" s="5">
        <v>2540</v>
      </c>
      <c r="B2601" s="138">
        <f>'Acct Summary 7-8'!F20</f>
        <v>-327361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847394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847394</v>
      </c>
      <c r="C2606" s="2" t="s">
        <v>594</v>
      </c>
      <c r="D2606" s="2" t="str">
        <f t="shared" si="39"/>
        <v>Error?</v>
      </c>
    </row>
    <row r="2607" spans="1:4" x14ac:dyDescent="0.2">
      <c r="A2607" s="5">
        <v>2546</v>
      </c>
      <c r="B2607" s="138">
        <f>'Acct Summary 7-8'!G12</f>
        <v>197022</v>
      </c>
      <c r="C2607" s="2" t="s">
        <v>594</v>
      </c>
      <c r="D2607" s="2" t="str">
        <f t="shared" si="39"/>
        <v>Error?</v>
      </c>
    </row>
    <row r="2608" spans="1:4" x14ac:dyDescent="0.2">
      <c r="A2608" s="5">
        <v>2547</v>
      </c>
      <c r="B2608" s="138">
        <f>'Acct Summary 7-8'!G13</f>
        <v>514946</v>
      </c>
      <c r="C2608" s="2" t="s">
        <v>594</v>
      </c>
      <c r="D2608" s="2" t="str">
        <f t="shared" si="39"/>
        <v>Error?</v>
      </c>
    </row>
    <row r="2609" spans="1:4" x14ac:dyDescent="0.2">
      <c r="A2609" s="5">
        <v>2548</v>
      </c>
      <c r="B2609" s="138">
        <f>'Acct Summary 7-8'!G14</f>
        <v>89424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877913</v>
      </c>
      <c r="C2612" s="2" t="s">
        <v>594</v>
      </c>
      <c r="D2612" s="2" t="str">
        <f t="shared" si="39"/>
        <v>Error?</v>
      </c>
    </row>
    <row r="2613" spans="1:4" x14ac:dyDescent="0.2">
      <c r="A2613" s="5">
        <v>2552</v>
      </c>
      <c r="B2613" s="138">
        <f>'Acct Summary 7-8'!G20</f>
        <v>-30519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1687399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1687399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1732759</v>
      </c>
      <c r="C2634" s="2" t="s">
        <v>594</v>
      </c>
      <c r="D2634" s="2" t="str">
        <f t="shared" si="40"/>
        <v>Error?</v>
      </c>
    </row>
    <row r="2635" spans="1:4" x14ac:dyDescent="0.2">
      <c r="A2635" s="5">
        <v>2574</v>
      </c>
      <c r="B2635" s="138">
        <f>'Acct Summary 7-8'!E17</f>
        <v>1732759</v>
      </c>
      <c r="C2635" s="2" t="s">
        <v>594</v>
      </c>
      <c r="D2635" s="2" t="str">
        <f t="shared" si="40"/>
        <v>Error?</v>
      </c>
    </row>
    <row r="2636" spans="1:4" x14ac:dyDescent="0.2">
      <c r="A2636" s="5">
        <v>2575</v>
      </c>
      <c r="B2636" s="138">
        <f>'Acct Summary 7-8'!E20</f>
        <v>-45360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994673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994673</v>
      </c>
      <c r="C2658" s="2" t="s">
        <v>594</v>
      </c>
      <c r="D2658" s="2" t="str">
        <f t="shared" si="40"/>
        <v>Error?</v>
      </c>
    </row>
    <row r="2659" spans="1:4" x14ac:dyDescent="0.2">
      <c r="A2659" s="5">
        <v>2598</v>
      </c>
      <c r="B2659" s="138">
        <f>'Acct Summary 7-8'!H13</f>
        <v>275067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275067</v>
      </c>
      <c r="C2661" s="2" t="s">
        <v>594</v>
      </c>
      <c r="D2661" s="2" t="str">
        <f t="shared" si="40"/>
        <v>Error?</v>
      </c>
    </row>
    <row r="2662" spans="1:4" x14ac:dyDescent="0.2">
      <c r="A2662" s="5">
        <v>2601</v>
      </c>
      <c r="B2662" s="138">
        <f>'Acct Summary 7-8'!H20</f>
        <v>719606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33576</v>
      </c>
      <c r="D2718" s="2" t="str">
        <f t="shared" si="41"/>
        <v>Error?</v>
      </c>
    </row>
    <row r="2719" spans="1:4" x14ac:dyDescent="0.2">
      <c r="A2719" s="5">
        <v>2658</v>
      </c>
      <c r="B2719" s="138">
        <f>'Expenditures 15-22'!D51</f>
        <v>3979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37555</v>
      </c>
      <c r="C2724" s="2" t="s">
        <v>594</v>
      </c>
      <c r="D2724" s="2" t="str">
        <f t="shared" si="41"/>
        <v>Error?</v>
      </c>
    </row>
    <row r="2725" spans="1:4" x14ac:dyDescent="0.2">
      <c r="A2725" s="5">
        <v>2664</v>
      </c>
      <c r="B2725" s="138">
        <f>'Expenditures 15-22'!D247</f>
        <v>3432</v>
      </c>
      <c r="D2725" s="2" t="str">
        <f t="shared" si="41"/>
        <v>Error?</v>
      </c>
    </row>
    <row r="2726" spans="1:4" x14ac:dyDescent="0.2">
      <c r="A2726" s="5">
        <v>2665</v>
      </c>
      <c r="B2726" s="138">
        <f>'Expenditures 15-22'!K247</f>
        <v>3432</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79594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1752564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245523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79594</v>
      </c>
      <c r="D2908" s="2" t="str">
        <f t="shared" si="44"/>
        <v>Error?</v>
      </c>
    </row>
    <row r="2909" spans="1:4" x14ac:dyDescent="0.2">
      <c r="A2909" s="10">
        <v>2848</v>
      </c>
      <c r="D2909" s="2" t="str">
        <f t="shared" si="44"/>
        <v>OK</v>
      </c>
    </row>
    <row r="2910" spans="1:4" x14ac:dyDescent="0.2">
      <c r="A2910" s="5">
        <v>2849</v>
      </c>
      <c r="B2910" s="138">
        <f>'Assets-Liab 5-6'!I34</f>
        <v>79594</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1672970</v>
      </c>
      <c r="D2912" s="2" t="str">
        <f t="shared" si="44"/>
        <v>Error?</v>
      </c>
    </row>
    <row r="2913" spans="1:4" x14ac:dyDescent="0.2">
      <c r="A2913" s="5">
        <v>2852</v>
      </c>
      <c r="B2913" s="138">
        <f>'Assets-Liab 5-6'!I41</f>
        <v>1752564</v>
      </c>
      <c r="C2913" s="2" t="s">
        <v>594</v>
      </c>
      <c r="D2913" s="2" t="str">
        <f t="shared" si="44"/>
        <v>Error?</v>
      </c>
    </row>
    <row r="2914" spans="1:4" x14ac:dyDescent="0.2">
      <c r="A2914" s="5">
        <v>2853</v>
      </c>
      <c r="B2914" s="138">
        <f>'Assets-Liab 5-6'!L33</f>
        <v>245523</v>
      </c>
      <c r="D2914" s="2" t="str">
        <f t="shared" si="44"/>
        <v>Error?</v>
      </c>
    </row>
    <row r="2915" spans="1:4" x14ac:dyDescent="0.2">
      <c r="A2915" s="10">
        <v>2854</v>
      </c>
      <c r="D2915" s="2" t="str">
        <f t="shared" si="44"/>
        <v>OK</v>
      </c>
    </row>
    <row r="2916" spans="1:4" x14ac:dyDescent="0.2">
      <c r="A2916" s="5">
        <v>2855</v>
      </c>
      <c r="B2916" s="138">
        <f>'Assets-Liab 5-6'!L34</f>
        <v>245523</v>
      </c>
      <c r="C2916" s="2" t="s">
        <v>594</v>
      </c>
      <c r="D2916" s="2" t="str">
        <f t="shared" si="44"/>
        <v>Error?</v>
      </c>
    </row>
    <row r="2917" spans="1:4" x14ac:dyDescent="0.2">
      <c r="A2917" s="5">
        <v>2856</v>
      </c>
      <c r="B2917" s="138">
        <f>'Assets-Liab 5-6'!L41</f>
        <v>245523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114513</v>
      </c>
      <c r="D2955" s="2" t="str">
        <f t="shared" si="45"/>
        <v>Error?</v>
      </c>
    </row>
    <row r="2956" spans="1:4" x14ac:dyDescent="0.2">
      <c r="A2956" s="5">
        <v>2895</v>
      </c>
      <c r="B2956" s="138">
        <f>'Expenditures 15-22'!H79</f>
        <v>1565574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114513</v>
      </c>
      <c r="C2973" s="2" t="s">
        <v>594</v>
      </c>
      <c r="D2973" s="2" t="str">
        <f t="shared" si="45"/>
        <v>Error?</v>
      </c>
    </row>
    <row r="2974" spans="1:4" x14ac:dyDescent="0.2">
      <c r="A2974" s="5">
        <v>2913</v>
      </c>
      <c r="B2974" s="138">
        <f>'Expenditures 15-22'!K79</f>
        <v>1565574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246735</v>
      </c>
      <c r="D3055" s="2" t="str">
        <f t="shared" si="46"/>
        <v>Error?</v>
      </c>
    </row>
    <row r="3056" spans="1:4" x14ac:dyDescent="0.2">
      <c r="A3056" s="5">
        <v>2995</v>
      </c>
      <c r="B3056" s="138">
        <f>'Expenditures 15-22'!D10</f>
        <v>47125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34793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331649</v>
      </c>
      <c r="C3062" s="2" t="s">
        <v>594</v>
      </c>
      <c r="D3062" s="2" t="str">
        <f t="shared" si="46"/>
        <v>Error?</v>
      </c>
    </row>
    <row r="3063" spans="1:4" x14ac:dyDescent="0.2">
      <c r="A3063" s="10">
        <v>3002</v>
      </c>
      <c r="D3063" s="2" t="str">
        <f t="shared" si="46"/>
        <v>OK</v>
      </c>
    </row>
    <row r="3064" spans="1:4" x14ac:dyDescent="0.2">
      <c r="A3064" s="5">
        <v>3003</v>
      </c>
      <c r="B3064" s="138">
        <f>'Expenditures 15-22'!D219</f>
        <v>21513</v>
      </c>
      <c r="D3064" s="2" t="str">
        <f t="shared" si="46"/>
        <v>Error?</v>
      </c>
    </row>
    <row r="3065" spans="1:4" x14ac:dyDescent="0.2">
      <c r="A3065" s="5">
        <v>3004</v>
      </c>
      <c r="B3065" s="138">
        <f>'Expenditures 15-22'!K219</f>
        <v>21513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1836000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100809</v>
      </c>
      <c r="C3225" s="2" t="s">
        <v>594</v>
      </c>
      <c r="D3225" s="2" t="str">
        <f t="shared" si="49"/>
        <v>Error?</v>
      </c>
    </row>
    <row r="3226" spans="1:4" x14ac:dyDescent="0.2">
      <c r="A3226" s="5">
        <v>3165</v>
      </c>
      <c r="B3226" s="138">
        <f>'Acct Summary 7-8'!I8</f>
        <v>100809</v>
      </c>
      <c r="C3226" s="2" t="s">
        <v>594</v>
      </c>
      <c r="D3226" s="2" t="str">
        <f t="shared" si="49"/>
        <v>Error?</v>
      </c>
    </row>
    <row r="3227" spans="1:4" x14ac:dyDescent="0.2">
      <c r="A3227" s="5">
        <v>3166</v>
      </c>
      <c r="B3227" s="138">
        <f>'Acct Summary 7-8'!I20</f>
        <v>100809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48618</v>
      </c>
      <c r="C3231" s="2" t="s">
        <v>594</v>
      </c>
      <c r="D3231" s="2" t="str">
        <f t="shared" si="49"/>
        <v>Error?</v>
      </c>
    </row>
    <row r="3232" spans="1:4" x14ac:dyDescent="0.2">
      <c r="A3232" s="5">
        <v>3171</v>
      </c>
      <c r="B3232" s="138">
        <f>'Acct Summary 7-8'!C77</f>
        <v>351382</v>
      </c>
      <c r="C3232" s="2" t="s">
        <v>594</v>
      </c>
      <c r="D3232" s="2" t="str">
        <f t="shared" si="49"/>
        <v>Error?</v>
      </c>
    </row>
    <row r="3233" spans="1:4" x14ac:dyDescent="0.2">
      <c r="A3233" s="5">
        <v>3172</v>
      </c>
      <c r="B3233" s="138">
        <f>'Acct Summary 7-8'!C78</f>
        <v>639138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-147781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350260</v>
      </c>
      <c r="D3251" s="2" t="str">
        <f t="shared" si="49"/>
        <v>Error?</v>
      </c>
    </row>
    <row r="3252" spans="1:4" x14ac:dyDescent="0.2">
      <c r="A3252" s="5">
        <v>3191</v>
      </c>
      <c r="B3252" s="138">
        <f>'Acct Summary 7-8'!F44</f>
        <v>350260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350260</v>
      </c>
      <c r="C3255" s="2" t="s">
        <v>594</v>
      </c>
      <c r="D3255" s="2" t="str">
        <f t="shared" si="49"/>
        <v>Error?</v>
      </c>
    </row>
    <row r="3256" spans="1:4" x14ac:dyDescent="0.2">
      <c r="A3256" s="5">
        <v>3195</v>
      </c>
      <c r="B3256" s="138">
        <f>'Acct Summary 7-8'!F78</f>
        <v>22899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-30519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1884618</v>
      </c>
      <c r="C3274" s="2" t="s">
        <v>594</v>
      </c>
      <c r="D3274" s="2" t="str">
        <f t="shared" si="50"/>
        <v>Error?</v>
      </c>
    </row>
    <row r="3275" spans="1:4" x14ac:dyDescent="0.2">
      <c r="A3275" s="5">
        <v>3214</v>
      </c>
      <c r="B3275" s="138">
        <f>'Acct Summary 7-8'!E75</f>
        <v>1839831</v>
      </c>
      <c r="D3275" s="2" t="str">
        <f t="shared" si="50"/>
        <v>Error?</v>
      </c>
    </row>
    <row r="3276" spans="1:4" x14ac:dyDescent="0.2">
      <c r="A3276" s="5">
        <v>3215</v>
      </c>
      <c r="B3276" s="138">
        <f>'Acct Summary 7-8'!E76</f>
        <v>1839831</v>
      </c>
      <c r="C3276" s="2" t="s">
        <v>594</v>
      </c>
      <c r="D3276" s="2" t="str">
        <f t="shared" si="50"/>
        <v>Error?</v>
      </c>
    </row>
    <row r="3277" spans="1:4" x14ac:dyDescent="0.2">
      <c r="A3277" s="5">
        <v>3216</v>
      </c>
      <c r="B3277" s="138">
        <f>'Acct Summary 7-8'!E77</f>
        <v>44787</v>
      </c>
      <c r="C3277" s="2" t="s">
        <v>594</v>
      </c>
      <c r="D3277" s="2" t="str">
        <f t="shared" si="50"/>
        <v>Error?</v>
      </c>
    </row>
    <row r="3278" spans="1:4" x14ac:dyDescent="0.2">
      <c r="A3278" s="5">
        <v>3217</v>
      </c>
      <c r="B3278" s="138">
        <f>'Acct Summary 7-8'!E78</f>
        <v>-573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719606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400000</v>
      </c>
      <c r="C3318" s="2" t="s">
        <v>594</v>
      </c>
      <c r="D3318" s="2" t="str">
        <f t="shared" si="50"/>
        <v>Error?</v>
      </c>
    </row>
    <row r="3319" spans="1:4" x14ac:dyDescent="0.2">
      <c r="A3319" s="5">
        <v>3258</v>
      </c>
      <c r="B3319" s="138">
        <f>'Acct Summary 7-8'!I77</f>
        <v>-400000</v>
      </c>
      <c r="C3319" s="2" t="s">
        <v>594</v>
      </c>
      <c r="D3319" s="2" t="str">
        <f t="shared" si="50"/>
        <v>Error?</v>
      </c>
    </row>
    <row r="3320" spans="1:4" x14ac:dyDescent="0.2">
      <c r="A3320" s="5">
        <v>3259</v>
      </c>
      <c r="B3320" s="138">
        <f>'Acct Summary 7-8'!I78</f>
        <v>-299191</v>
      </c>
      <c r="C3320" s="2" t="s">
        <v>594</v>
      </c>
      <c r="D3320" s="2" t="str">
        <f t="shared" si="50"/>
        <v>Error?</v>
      </c>
    </row>
    <row r="3321" spans="1:4" x14ac:dyDescent="0.2">
      <c r="A3321" s="5">
        <v>3260</v>
      </c>
      <c r="B3321" s="138">
        <f>'Acct Summary 7-8'!I79</f>
        <v>1972161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1672970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34804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35026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130866</v>
      </c>
      <c r="D3387" s="2" t="str">
        <f t="shared" si="51"/>
        <v>Error?</v>
      </c>
    </row>
    <row r="3388" spans="1:4" x14ac:dyDescent="0.2">
      <c r="A3388" s="5">
        <v>3327</v>
      </c>
      <c r="B3388" s="138">
        <f>'Expenditures 15-22'!D217</f>
        <v>1265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130866</v>
      </c>
      <c r="C3390" s="2" t="s">
        <v>594</v>
      </c>
      <c r="D3390" s="2" t="str">
        <f t="shared" si="51"/>
        <v>Error?</v>
      </c>
    </row>
    <row r="3391" spans="1:4" x14ac:dyDescent="0.2">
      <c r="A3391" s="5">
        <v>3330</v>
      </c>
      <c r="B3391" s="138">
        <f>'Expenditures 15-22'!K217</f>
        <v>1265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271169</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1974272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32987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89560</v>
      </c>
      <c r="D3417" s="2" t="str">
        <f t="shared" si="52"/>
        <v>Error?</v>
      </c>
    </row>
    <row r="3418" spans="1:4" x14ac:dyDescent="0.2">
      <c r="A3418" s="10">
        <v>3357</v>
      </c>
      <c r="D3418" s="2" t="str">
        <f t="shared" si="52"/>
        <v>OK</v>
      </c>
    </row>
    <row r="3419" spans="1:4" x14ac:dyDescent="0.2">
      <c r="A3419" s="5">
        <v>3358</v>
      </c>
      <c r="B3419" s="138">
        <f>'Assets-Liab 5-6'!F4</f>
        <v>288666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524422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558652</v>
      </c>
      <c r="D3425" s="2" t="str">
        <f t="shared" si="52"/>
        <v>Error?</v>
      </c>
    </row>
    <row r="3426" spans="1:4" x14ac:dyDescent="0.2">
      <c r="A3426" s="10">
        <v>3365</v>
      </c>
      <c r="D3426" s="2" t="str">
        <f t="shared" si="52"/>
        <v>OK</v>
      </c>
    </row>
    <row r="3427" spans="1:4" x14ac:dyDescent="0.2">
      <c r="A3427" s="5">
        <v>3366</v>
      </c>
      <c r="B3427" s="138">
        <f>'Assets-Liab 5-6'!I4</f>
        <v>1672970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245523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370192</v>
      </c>
      <c r="C3446" s="2" t="s">
        <v>594</v>
      </c>
      <c r="D3446" s="2" t="str">
        <f t="shared" si="52"/>
        <v>Error?</v>
      </c>
    </row>
    <row r="3447" spans="1:4" x14ac:dyDescent="0.2">
      <c r="A3447" s="5">
        <v>3386</v>
      </c>
      <c r="B3447" s="138">
        <f>'Tax Sched 23'!D16</f>
        <v>370192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410369</v>
      </c>
      <c r="C3449" s="2" t="s">
        <v>594</v>
      </c>
      <c r="D3449" s="2" t="str">
        <f t="shared" si="52"/>
        <v>Error?</v>
      </c>
    </row>
    <row r="3450" spans="1:4" x14ac:dyDescent="0.2">
      <c r="A3450" s="5">
        <v>3389</v>
      </c>
      <c r="B3450" s="138">
        <f>'Tax Sched 23'!E16</f>
        <v>410369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108078</v>
      </c>
      <c r="D3546" s="2" t="str">
        <f t="shared" si="54"/>
        <v>Error?</v>
      </c>
    </row>
    <row r="3547" spans="1:4" x14ac:dyDescent="0.2">
      <c r="A3547" s="10">
        <v>3486</v>
      </c>
      <c r="D3547" s="2" t="str">
        <f t="shared" si="54"/>
        <v>OK</v>
      </c>
    </row>
    <row r="3548" spans="1:4" x14ac:dyDescent="0.2">
      <c r="A3548" s="5">
        <v>3487</v>
      </c>
      <c r="B3548" s="138">
        <f>'Assets-Liab 5-6'!K6</f>
        <v>79594</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187672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79594</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97083</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90589</v>
      </c>
      <c r="D3567" s="2" t="str">
        <f t="shared" si="54"/>
        <v>Error?</v>
      </c>
    </row>
    <row r="3568" spans="1:4" x14ac:dyDescent="0.2">
      <c r="A3568" s="5">
        <v>3507</v>
      </c>
      <c r="B3568" s="138">
        <f>'Assets-Liab 5-6'!K41</f>
        <v>187672</v>
      </c>
      <c r="C3568" s="2" t="s">
        <v>594</v>
      </c>
      <c r="D3568" s="2" t="str">
        <f t="shared" si="54"/>
        <v>Error?</v>
      </c>
    </row>
    <row r="3569" spans="1:4" x14ac:dyDescent="0.2">
      <c r="A3569" s="5">
        <v>3508</v>
      </c>
      <c r="B3569" s="138">
        <f>'Acct Summary 7-8'!K4</f>
        <v>91284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91284</v>
      </c>
      <c r="C3571" s="2" t="s">
        <v>594</v>
      </c>
      <c r="D3571" s="2" t="str">
        <f t="shared" si="54"/>
        <v>Error?</v>
      </c>
    </row>
    <row r="3572" spans="1:4" x14ac:dyDescent="0.2">
      <c r="A3572" s="5">
        <v>3511</v>
      </c>
      <c r="B3572" s="138">
        <f>'Acct Summary 7-8'!K13</f>
        <v>52811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52811</v>
      </c>
      <c r="C3575" s="2" t="s">
        <v>594</v>
      </c>
      <c r="D3575" s="2" t="str">
        <f t="shared" si="54"/>
        <v>Error?</v>
      </c>
    </row>
    <row r="3576" spans="1:4" x14ac:dyDescent="0.2">
      <c r="A3576" s="5">
        <v>3515</v>
      </c>
      <c r="B3576" s="138">
        <f>'Acct Summary 7-8'!K20</f>
        <v>38473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38473</v>
      </c>
      <c r="C3588" s="2" t="s">
        <v>594</v>
      </c>
      <c r="D3588" s="2" t="str">
        <f t="shared" si="55"/>
        <v>Error?</v>
      </c>
    </row>
    <row r="3589" spans="1:4" x14ac:dyDescent="0.2">
      <c r="A3589" s="5">
        <v>3528</v>
      </c>
      <c r="B3589" s="138">
        <f>'Acct Summary 7-8'!K79</f>
        <v>52116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90589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1200</v>
      </c>
      <c r="D3631" s="2" t="str">
        <f t="shared" si="55"/>
        <v>Error?</v>
      </c>
    </row>
    <row r="3632" spans="1:4" x14ac:dyDescent="0.2">
      <c r="A3632" s="5">
        <v>3571</v>
      </c>
      <c r="B3632" s="138">
        <f>'Expenditures 15-22'!E349</f>
        <v>27024</v>
      </c>
      <c r="D3632" s="2" t="str">
        <f t="shared" si="55"/>
        <v>Error?</v>
      </c>
    </row>
    <row r="3633" spans="1:4" x14ac:dyDescent="0.2">
      <c r="A3633" s="5">
        <v>3572</v>
      </c>
      <c r="B3633" s="138">
        <f>'Expenditures 15-22'!E350</f>
        <v>28224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28224</v>
      </c>
      <c r="C3635" s="2" t="s">
        <v>594</v>
      </c>
      <c r="D3635" s="2" t="str">
        <f t="shared" si="55"/>
        <v>Error?</v>
      </c>
    </row>
    <row r="3636" spans="1:4" x14ac:dyDescent="0.2">
      <c r="A3636" s="5">
        <v>3575</v>
      </c>
      <c r="B3636" s="138">
        <f>'Expenditures 15-22'!E367</f>
        <v>28224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24587</v>
      </c>
      <c r="D3646" s="2" t="str">
        <f t="shared" si="55"/>
        <v>Error?</v>
      </c>
    </row>
    <row r="3647" spans="1:4" x14ac:dyDescent="0.2">
      <c r="A3647" s="5">
        <v>3586</v>
      </c>
      <c r="B3647" s="138">
        <f>'Expenditures 15-22'!G350</f>
        <v>24587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24587</v>
      </c>
      <c r="C3649" s="2" t="s">
        <v>594</v>
      </c>
      <c r="D3649" s="2" t="str">
        <f t="shared" si="56"/>
        <v>Error?</v>
      </c>
    </row>
    <row r="3650" spans="1:4" x14ac:dyDescent="0.2">
      <c r="A3650" s="5">
        <v>3589</v>
      </c>
      <c r="B3650" s="138">
        <f>'Expenditures 15-22'!G367</f>
        <v>24587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1200</v>
      </c>
      <c r="C3668" s="2" t="s">
        <v>594</v>
      </c>
      <c r="D3668" s="2" t="str">
        <f t="shared" si="56"/>
        <v>Error?</v>
      </c>
    </row>
    <row r="3669" spans="1:4" x14ac:dyDescent="0.2">
      <c r="A3669" s="5">
        <v>3608</v>
      </c>
      <c r="B3669" s="138">
        <f>'Expenditures 15-22'!K349</f>
        <v>51611</v>
      </c>
      <c r="C3669" s="2" t="s">
        <v>594</v>
      </c>
      <c r="D3669" s="2" t="str">
        <f t="shared" si="56"/>
        <v>Error?</v>
      </c>
    </row>
    <row r="3670" spans="1:4" x14ac:dyDescent="0.2">
      <c r="A3670" s="5">
        <v>3609</v>
      </c>
      <c r="B3670" s="138">
        <f>'Expenditures 15-22'!K350</f>
        <v>52811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52811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52811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38473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76521</v>
      </c>
      <c r="D3721" s="2" t="str">
        <f t="shared" si="57"/>
        <v>Error?</v>
      </c>
    </row>
    <row r="3722" spans="1:4" x14ac:dyDescent="0.2">
      <c r="A3722" s="5">
        <v>3661</v>
      </c>
      <c r="B3722" s="138">
        <f>'Expenditures 15-22'!D285</f>
        <v>76521</v>
      </c>
      <c r="C3722" s="2" t="s">
        <v>594</v>
      </c>
      <c r="D3722" s="2" t="str">
        <f t="shared" si="57"/>
        <v>Error?</v>
      </c>
    </row>
    <row r="3723" spans="1:4" x14ac:dyDescent="0.2">
      <c r="A3723" s="5">
        <v>3662</v>
      </c>
      <c r="B3723" s="138">
        <f>'Expenditures 15-22'!K283</f>
        <v>76521</v>
      </c>
      <c r="C3723" s="2" t="s">
        <v>594</v>
      </c>
      <c r="D3723" s="2" t="str">
        <f t="shared" si="57"/>
        <v>Error?</v>
      </c>
    </row>
    <row r="3724" spans="1:4" x14ac:dyDescent="0.2">
      <c r="A3724" s="5">
        <v>3663</v>
      </c>
      <c r="B3724" s="138">
        <f>'Expenditures 15-22'!K285</f>
        <v>76521</v>
      </c>
      <c r="C3724" s="2" t="s">
        <v>594</v>
      </c>
      <c r="D3724" s="2" t="str">
        <f t="shared" si="57"/>
        <v>Error?</v>
      </c>
    </row>
    <row r="3725" spans="1:4" x14ac:dyDescent="0.2">
      <c r="A3725" s="5">
        <v>3664</v>
      </c>
      <c r="B3725" s="138">
        <f>'Tax Sched 23'!B13</f>
        <v>90894</v>
      </c>
      <c r="C3725" s="2" t="s">
        <v>594</v>
      </c>
      <c r="D3725" s="2" t="str">
        <f t="shared" si="57"/>
        <v>Error?</v>
      </c>
    </row>
    <row r="3726" spans="1:4" x14ac:dyDescent="0.2">
      <c r="A3726" s="5">
        <v>3665</v>
      </c>
      <c r="B3726" s="138">
        <f>'Tax Sched 23'!D13</f>
        <v>90894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79594</v>
      </c>
      <c r="C3728" s="2" t="s">
        <v>594</v>
      </c>
      <c r="D3728" s="2" t="str">
        <f t="shared" si="57"/>
        <v>Error?</v>
      </c>
    </row>
    <row r="3729" spans="1:4" x14ac:dyDescent="0.2">
      <c r="A3729" s="5">
        <v>3668</v>
      </c>
      <c r="B3729" s="138">
        <f>'Tax Sched 23'!E13</f>
        <v>79594</v>
      </c>
      <c r="D3729" s="2" t="str">
        <f t="shared" si="57"/>
        <v>Error?</v>
      </c>
    </row>
    <row r="3730" spans="1:4" x14ac:dyDescent="0.2">
      <c r="A3730" s="5">
        <v>3669</v>
      </c>
      <c r="B3730" s="138">
        <f>'ICR Computation 30'!E10</f>
        <v>347944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5441928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19004736</v>
      </c>
      <c r="C4122" s="2" t="s">
        <v>594</v>
      </c>
      <c r="D4122" s="2" t="str">
        <f t="shared" si="63"/>
        <v>Error?</v>
      </c>
    </row>
    <row r="4123" spans="1:4" x14ac:dyDescent="0.2">
      <c r="A4123" s="5">
        <v>4062</v>
      </c>
      <c r="B4123" s="138">
        <f>'Acct Summary 7-8'!D10</f>
        <v>1117938</v>
      </c>
      <c r="C4123" s="2" t="s">
        <v>594</v>
      </c>
      <c r="D4123" s="2" t="str">
        <f t="shared" si="63"/>
        <v>Error?</v>
      </c>
    </row>
    <row r="4124" spans="1:4" x14ac:dyDescent="0.2">
      <c r="A4124" s="5">
        <v>4063</v>
      </c>
      <c r="B4124" s="138">
        <f>'Acct Summary 7-8'!E10</f>
        <v>1687399</v>
      </c>
      <c r="C4124" s="2" t="s">
        <v>594</v>
      </c>
      <c r="D4124" s="2" t="str">
        <f t="shared" si="63"/>
        <v>Error?</v>
      </c>
    </row>
    <row r="4125" spans="1:4" x14ac:dyDescent="0.2">
      <c r="A4125" s="5">
        <v>4064</v>
      </c>
      <c r="B4125" s="138">
        <f>'Acct Summary 7-8'!F10</f>
        <v>996645</v>
      </c>
      <c r="C4125" s="2" t="s">
        <v>594</v>
      </c>
      <c r="D4125" s="2" t="str">
        <f t="shared" si="63"/>
        <v>Error?</v>
      </c>
    </row>
    <row r="4126" spans="1:4" x14ac:dyDescent="0.2">
      <c r="A4126" s="5">
        <v>4065</v>
      </c>
      <c r="B4126" s="138">
        <f>'Acct Summary 7-8'!G10</f>
        <v>847394</v>
      </c>
      <c r="C4126" s="2" t="s">
        <v>594</v>
      </c>
      <c r="D4126" s="2" t="str">
        <f t="shared" si="63"/>
        <v>Error?</v>
      </c>
    </row>
    <row r="4127" spans="1:4" x14ac:dyDescent="0.2">
      <c r="A4127" s="5">
        <v>4066</v>
      </c>
      <c r="B4127" s="138">
        <f>'Acct Summary 7-8'!H10</f>
        <v>994673</v>
      </c>
      <c r="C4127" s="2" t="s">
        <v>594</v>
      </c>
      <c r="D4127" s="2" t="str">
        <f t="shared" si="63"/>
        <v>Error?</v>
      </c>
    </row>
    <row r="4128" spans="1:4" x14ac:dyDescent="0.2">
      <c r="A4128" s="5">
        <v>4067</v>
      </c>
      <c r="B4128" s="138">
        <f>'Acct Summary 7-8'!I10</f>
        <v>100809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91284</v>
      </c>
      <c r="C4130" s="2" t="s">
        <v>594</v>
      </c>
      <c r="D4130" s="2" t="str">
        <f t="shared" si="63"/>
        <v>Error?</v>
      </c>
    </row>
    <row r="4131" spans="1:4" x14ac:dyDescent="0.2">
      <c r="A4131" s="5">
        <v>4070</v>
      </c>
      <c r="B4131" s="138">
        <f>'Acct Summary 7-8'!C18</f>
        <v>5441928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18716980</v>
      </c>
      <c r="C4136" s="2" t="s">
        <v>594</v>
      </c>
      <c r="D4136" s="2" t="str">
        <f t="shared" si="63"/>
        <v>Error?</v>
      </c>
    </row>
    <row r="4137" spans="1:4" x14ac:dyDescent="0.2">
      <c r="A4137" s="5">
        <v>4076</v>
      </c>
      <c r="B4137" s="138">
        <f>'Acct Summary 7-8'!D19</f>
        <v>1265719</v>
      </c>
      <c r="C4137" s="2" t="s">
        <v>594</v>
      </c>
      <c r="D4137" s="2" t="str">
        <f t="shared" si="63"/>
        <v>Error?</v>
      </c>
    </row>
    <row r="4138" spans="1:4" x14ac:dyDescent="0.2">
      <c r="A4138" s="5">
        <v>4077</v>
      </c>
      <c r="B4138" s="138">
        <f>'Acct Summary 7-8'!E19</f>
        <v>1732759</v>
      </c>
      <c r="C4138" s="2" t="s">
        <v>594</v>
      </c>
      <c r="D4138" s="2" t="str">
        <f t="shared" si="63"/>
        <v>Error?</v>
      </c>
    </row>
    <row r="4139" spans="1:4" x14ac:dyDescent="0.2">
      <c r="A4139" s="5">
        <v>4078</v>
      </c>
      <c r="B4139" s="138">
        <f>'Acct Summary 7-8'!F19</f>
        <v>1324006</v>
      </c>
      <c r="C4139" s="2" t="s">
        <v>594</v>
      </c>
      <c r="D4139" s="2" t="str">
        <f t="shared" si="63"/>
        <v>Error?</v>
      </c>
    </row>
    <row r="4140" spans="1:4" x14ac:dyDescent="0.2">
      <c r="A4140" s="5">
        <v>4079</v>
      </c>
      <c r="B4140" s="138">
        <f>'Acct Summary 7-8'!G19</f>
        <v>877913</v>
      </c>
      <c r="C4140" s="2" t="s">
        <v>594</v>
      </c>
      <c r="D4140" s="2" t="str">
        <f t="shared" si="63"/>
        <v>Error?</v>
      </c>
    </row>
    <row r="4141" spans="1:4" x14ac:dyDescent="0.2">
      <c r="A4141" s="5">
        <v>4080</v>
      </c>
      <c r="B4141" s="138">
        <f>'Acct Summary 7-8'!H19</f>
        <v>275067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52811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6617000</v>
      </c>
      <c r="C4171" s="2" t="s">
        <v>594</v>
      </c>
      <c r="D4171" s="2" t="str">
        <f t="shared" si="64"/>
        <v>Error?</v>
      </c>
    </row>
    <row r="4172" spans="1:4" x14ac:dyDescent="0.2">
      <c r="A4172" s="5">
        <v>4111</v>
      </c>
      <c r="B4172" s="138">
        <f>'Short-Term Long-Term Debt 24'!J49</f>
        <v>6527440</v>
      </c>
      <c r="C4172" s="2" t="s">
        <v>594</v>
      </c>
      <c r="D4172" s="2" t="str">
        <f t="shared" si="64"/>
        <v>Error?</v>
      </c>
    </row>
    <row r="4173" spans="1:4" x14ac:dyDescent="0.2">
      <c r="A4173" s="5">
        <v>4112</v>
      </c>
      <c r="B4173" s="138">
        <f>'Short-Term Long-Term Debt 24'!H49</f>
        <v>1374000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-1650000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142378</v>
      </c>
      <c r="D4210" s="2" t="str">
        <f t="shared" si="64"/>
        <v>Error?</v>
      </c>
    </row>
    <row r="4211" spans="1:4" x14ac:dyDescent="0.2">
      <c r="A4211" s="5">
        <v>4150</v>
      </c>
      <c r="B4211" s="138">
        <f>'Expenditures 15-22'!K206</f>
        <v>142378</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50</v>
      </c>
      <c r="C4267" s="2" t="s">
        <v>594</v>
      </c>
      <c r="D4267" s="2" t="str">
        <f t="shared" si="65"/>
        <v>Error?</v>
      </c>
      <c r="E4267" s="128"/>
    </row>
    <row r="4268" spans="1:5" x14ac:dyDescent="0.2">
      <c r="A4268" s="12">
        <v>4207</v>
      </c>
      <c r="B4268" s="138">
        <f>('FP Info 3'!J10)*100000</f>
        <v>2950</v>
      </c>
      <c r="C4268" s="2" t="s">
        <v>594</v>
      </c>
      <c r="D4268" s="2" t="str">
        <f t="shared" si="65"/>
        <v>Error?</v>
      </c>
    </row>
    <row r="4269" spans="1:5" x14ac:dyDescent="0.2">
      <c r="A4269" s="12">
        <v>4208</v>
      </c>
      <c r="B4269" s="138">
        <f>'FP Info 3'!J16</f>
        <v>3637387</v>
      </c>
      <c r="C4269" s="2" t="s">
        <v>594</v>
      </c>
      <c r="D4269" s="2" t="str">
        <f t="shared" si="65"/>
        <v>Error?</v>
      </c>
    </row>
    <row r="4270" spans="1:5" x14ac:dyDescent="0.2">
      <c r="A4270" s="12">
        <v>4209</v>
      </c>
      <c r="B4270" s="138">
        <f>'FP Info 3'!D24</f>
        <v>518822</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20011</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16986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47041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76037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2233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176922294</v>
      </c>
      <c r="D4995" s="2" t="str">
        <f t="shared" si="77"/>
        <v>Error?</v>
      </c>
    </row>
    <row r="4996" spans="1:4" x14ac:dyDescent="0.2">
      <c r="A4996" s="12">
        <v>4935</v>
      </c>
      <c r="B4996" s="138">
        <f>'FP Info 3'!H31</f>
        <v>24415276.572000001</v>
      </c>
      <c r="D4996" s="2" t="str">
        <f t="shared" si="77"/>
        <v>Error?</v>
      </c>
    </row>
    <row r="4997" spans="1:4" x14ac:dyDescent="0.2">
      <c r="A4997" s="12">
        <v>4936</v>
      </c>
      <c r="B4997" s="138">
        <f>'FP Info 3'!H37</f>
        <v>6617000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90894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4364182</v>
      </c>
      <c r="D5061" s="2" t="str">
        <f t="shared" si="78"/>
        <v>Error?</v>
      </c>
    </row>
    <row r="5062" spans="1:4" x14ac:dyDescent="0.2">
      <c r="A5062" s="10">
        <v>5001</v>
      </c>
      <c r="D5062" s="2" t="str">
        <f t="shared" si="78"/>
        <v>OK</v>
      </c>
    </row>
    <row r="5063" spans="1:4" x14ac:dyDescent="0.2">
      <c r="A5063" s="5">
        <v>5002</v>
      </c>
      <c r="B5063" s="138">
        <f>'Revenues 9-14'!C7</f>
        <v>72717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4527793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890600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890600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103918</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103918</v>
      </c>
      <c r="C5087" s="2" t="s">
        <v>594</v>
      </c>
      <c r="D5087" s="2" t="str">
        <f t="shared" si="78"/>
        <v>Error?</v>
      </c>
    </row>
    <row r="5088" spans="1:4" x14ac:dyDescent="0.2">
      <c r="A5088" s="5">
        <v>5027</v>
      </c>
      <c r="B5088" s="138">
        <f>'Revenues 9-14'!C65</f>
        <v>9132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9132</v>
      </c>
      <c r="C5090" s="2" t="s">
        <v>594</v>
      </c>
      <c r="D5090" s="2" t="str">
        <f t="shared" si="78"/>
        <v>Error?</v>
      </c>
    </row>
    <row r="5091" spans="1:4" x14ac:dyDescent="0.2">
      <c r="A5091" s="5">
        <v>5030</v>
      </c>
      <c r="B5091" s="138">
        <f>'Revenues 9-14'!C70</f>
        <v>6679</v>
      </c>
      <c r="D5091" s="2" t="str">
        <f t="shared" si="78"/>
        <v>Error?</v>
      </c>
    </row>
    <row r="5092" spans="1:4" x14ac:dyDescent="0.2">
      <c r="A5092" s="5">
        <v>5031</v>
      </c>
      <c r="B5092" s="138">
        <f>'Revenues 9-14'!C71</f>
        <v>140577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2934</v>
      </c>
      <c r="D5094" s="2" t="str">
        <f t="shared" si="78"/>
        <v>Error?</v>
      </c>
    </row>
    <row r="5095" spans="1:4" x14ac:dyDescent="0.2">
      <c r="A5095" s="5">
        <v>5034</v>
      </c>
      <c r="B5095" s="138">
        <f>'Revenues 9-14'!C74</f>
        <v>29530</v>
      </c>
      <c r="D5095" s="2" t="str">
        <f t="shared" si="78"/>
        <v>Error?</v>
      </c>
    </row>
    <row r="5096" spans="1:4" x14ac:dyDescent="0.2">
      <c r="A5096" s="5">
        <v>5035</v>
      </c>
      <c r="B5096" s="138">
        <f>'Revenues 9-14'!C75</f>
        <v>303381</v>
      </c>
      <c r="C5096" s="2" t="s">
        <v>594</v>
      </c>
      <c r="D5096" s="2" t="str">
        <f t="shared" si="78"/>
        <v>Error?</v>
      </c>
    </row>
    <row r="5097" spans="1:4" x14ac:dyDescent="0.2">
      <c r="A5097" s="5">
        <v>5036</v>
      </c>
      <c r="B5097" s="138">
        <f>'Revenues 9-14'!C77</f>
        <v>22897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23785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8566</v>
      </c>
      <c r="D5101" s="2" t="str">
        <f t="shared" si="78"/>
        <v>Error?</v>
      </c>
    </row>
    <row r="5102" spans="1:4" x14ac:dyDescent="0.2">
      <c r="A5102" s="5">
        <v>5041</v>
      </c>
      <c r="B5102" s="138">
        <f>'Revenues 9-14'!C82</f>
        <v>55248</v>
      </c>
      <c r="C5102" s="2" t="s">
        <v>594</v>
      </c>
      <c r="D5102" s="2" t="str">
        <f t="shared" si="78"/>
        <v>Error?</v>
      </c>
    </row>
    <row r="5103" spans="1:4" x14ac:dyDescent="0.2">
      <c r="A5103" s="5">
        <v>5042</v>
      </c>
      <c r="B5103" s="138">
        <f>'Revenues 9-14'!C84</f>
        <v>84332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84332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680494</v>
      </c>
      <c r="D5119" s="2" t="str">
        <f t="shared" ref="D5119:D5182" si="79">IF(ISBLANK(B5119),"OK",IF(A5119-B5119=0,"OK","Error?"))</f>
        <v>Error?</v>
      </c>
    </row>
    <row r="5120" spans="1:4" x14ac:dyDescent="0.2">
      <c r="A5120" s="5">
        <v>5059</v>
      </c>
      <c r="B5120" s="138">
        <f>'Revenues 9-14'!C108</f>
        <v>689326</v>
      </c>
      <c r="C5120" s="2" t="s">
        <v>594</v>
      </c>
      <c r="D5120" s="2" t="str">
        <f t="shared" si="79"/>
        <v>Error?</v>
      </c>
    </row>
    <row r="5121" spans="1:4" x14ac:dyDescent="0.2">
      <c r="A5121" s="5">
        <v>5060</v>
      </c>
      <c r="B5121" s="138">
        <f>'Revenues 9-14'!C109</f>
        <v>6663730</v>
      </c>
      <c r="C5121" s="2" t="s">
        <v>594</v>
      </c>
      <c r="D5121" s="2" t="str">
        <f t="shared" si="79"/>
        <v>Error?</v>
      </c>
    </row>
    <row r="5122" spans="1:4" x14ac:dyDescent="0.2">
      <c r="A5122" s="5">
        <v>5061</v>
      </c>
      <c r="B5122" s="138">
        <f>'Revenues 9-14'!C111</f>
        <v>271169</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271169</v>
      </c>
      <c r="C5125" s="2" t="s">
        <v>594</v>
      </c>
      <c r="D5125" s="2" t="str">
        <f t="shared" si="79"/>
        <v>Error?</v>
      </c>
    </row>
    <row r="5126" spans="1:4" x14ac:dyDescent="0.2">
      <c r="A5126" s="5">
        <v>5065</v>
      </c>
      <c r="B5126" s="138">
        <f>'Revenues 9-14'!C117</f>
        <v>4453993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4453993</v>
      </c>
      <c r="C5132" s="2" t="s">
        <v>594</v>
      </c>
      <c r="D5132" s="2" t="str">
        <f t="shared" si="79"/>
        <v>Error?</v>
      </c>
    </row>
    <row r="5133" spans="1:4" x14ac:dyDescent="0.2">
      <c r="A5133" s="5">
        <v>5072</v>
      </c>
      <c r="B5133" s="138">
        <f>'Revenues 9-14'!C124</f>
        <v>78527</v>
      </c>
      <c r="D5133" s="2" t="str">
        <f t="shared" si="79"/>
        <v>Error?</v>
      </c>
    </row>
    <row r="5134" spans="1:4" x14ac:dyDescent="0.2">
      <c r="A5134" s="5">
        <v>5073</v>
      </c>
      <c r="B5134" s="138">
        <f>'Revenues 9-14'!C125</f>
        <v>56309</v>
      </c>
      <c r="D5134" s="2" t="str">
        <f t="shared" si="79"/>
        <v>Error?</v>
      </c>
    </row>
    <row r="5135" spans="1:4" x14ac:dyDescent="0.2">
      <c r="A5135" s="5">
        <v>5074</v>
      </c>
      <c r="B5135" s="138">
        <f>'Revenues 9-14'!C126</f>
        <v>139118</v>
      </c>
      <c r="D5135" s="2" t="str">
        <f t="shared" si="79"/>
        <v>Error?</v>
      </c>
    </row>
    <row r="5136" spans="1:4" x14ac:dyDescent="0.2">
      <c r="A5136" s="10">
        <v>5075</v>
      </c>
      <c r="D5136" s="2" t="str">
        <f t="shared" si="79"/>
        <v>OK</v>
      </c>
    </row>
    <row r="5137" spans="1:4" x14ac:dyDescent="0.2">
      <c r="A5137" s="5">
        <v>5076</v>
      </c>
      <c r="B5137" s="138">
        <f>'Revenues 9-14'!C127</f>
        <v>67284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1420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342658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38312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43223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5592</v>
      </c>
      <c r="D5167" s="2" t="str">
        <f t="shared" si="79"/>
        <v>Error?</v>
      </c>
    </row>
    <row r="5168" spans="1:4" x14ac:dyDescent="0.2">
      <c r="A5168" s="5">
        <v>5107</v>
      </c>
      <c r="B5168" s="138">
        <f>'Revenues 9-14'!C147</f>
        <v>22768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827635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1244109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5698102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309951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83104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24366</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417421</v>
      </c>
      <c r="C5246" s="2" t="s">
        <v>594</v>
      </c>
      <c r="D5246" s="2" t="str">
        <f t="shared" si="80"/>
        <v>Error?</v>
      </c>
    </row>
    <row r="5247" spans="1:4" x14ac:dyDescent="0.2">
      <c r="A5247" s="5">
        <v>5186</v>
      </c>
      <c r="B5247" s="138">
        <f>'Revenues 9-14'!C203</f>
        <v>347312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347312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20011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929807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929807</v>
      </c>
      <c r="C5326" s="2" t="s">
        <v>594</v>
      </c>
      <c r="D5326" s="2" t="str">
        <f t="shared" si="82"/>
        <v>Error?</v>
      </c>
    </row>
    <row r="5327" spans="1:4" x14ac:dyDescent="0.2">
      <c r="A5327" s="5">
        <v>5266</v>
      </c>
      <c r="B5327" s="138">
        <f>'Revenues 9-14'!C275</f>
        <v>13562808</v>
      </c>
      <c r="C5327" s="2" t="s">
        <v>594</v>
      </c>
      <c r="D5327" s="2" t="str">
        <f t="shared" si="82"/>
        <v>Error?</v>
      </c>
    </row>
    <row r="5328" spans="1:4" x14ac:dyDescent="0.2">
      <c r="A5328" s="5">
        <v>5267</v>
      </c>
      <c r="B5328" s="138">
        <f>'Revenues 9-14'!D5</f>
        <v>908931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908931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200000</v>
      </c>
      <c r="C5339" s="2" t="s">
        <v>594</v>
      </c>
      <c r="D5339" s="2" t="str">
        <f t="shared" si="82"/>
        <v>Error?</v>
      </c>
    </row>
    <row r="5340" spans="1:4" x14ac:dyDescent="0.2">
      <c r="A5340" s="5">
        <v>5279</v>
      </c>
      <c r="B5340" s="138">
        <f>'Revenues 9-14'!D65</f>
        <v>1289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1289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2850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4868</v>
      </c>
      <c r="D5354" s="2" t="str">
        <f t="shared" si="82"/>
        <v>Error?</v>
      </c>
    </row>
    <row r="5355" spans="1:4" x14ac:dyDescent="0.2">
      <c r="A5355" s="5">
        <v>5294</v>
      </c>
      <c r="B5355" s="138">
        <f>'Revenues 9-14'!D108</f>
        <v>7718</v>
      </c>
      <c r="C5355" s="2" t="s">
        <v>594</v>
      </c>
      <c r="D5355" s="2" t="str">
        <f t="shared" si="82"/>
        <v>Error?</v>
      </c>
    </row>
    <row r="5356" spans="1:4" x14ac:dyDescent="0.2">
      <c r="A5356" s="5">
        <v>5295</v>
      </c>
      <c r="B5356" s="138">
        <f>'Revenues 9-14'!D109</f>
        <v>1117938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1117938</v>
      </c>
      <c r="C5508" s="2" t="s">
        <v>594</v>
      </c>
      <c r="D5508" s="2" t="str">
        <f t="shared" si="85"/>
        <v>Error?</v>
      </c>
    </row>
    <row r="5509" spans="1:4" x14ac:dyDescent="0.2">
      <c r="A5509" s="5">
        <v>5448</v>
      </c>
      <c r="B5509" s="138">
        <f>'Revenues 9-14'!E5</f>
        <v>1685170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1685170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2229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2229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1687399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1687399</v>
      </c>
      <c r="C5552" s="2" t="s">
        <v>594</v>
      </c>
      <c r="D5552" s="2" t="str">
        <f t="shared" si="85"/>
        <v>Error?</v>
      </c>
    </row>
    <row r="5553" spans="1:4" x14ac:dyDescent="0.2">
      <c r="A5553" s="5">
        <v>5492</v>
      </c>
      <c r="B5553" s="138">
        <f>'Revenues 9-14'!F5</f>
        <v>363567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363567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929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78622</v>
      </c>
      <c r="D5586" s="2" t="str">
        <f t="shared" si="86"/>
        <v>Error?</v>
      </c>
    </row>
    <row r="5587" spans="1:4" x14ac:dyDescent="0.2">
      <c r="A5587" s="5">
        <v>5526</v>
      </c>
      <c r="B5587" s="138">
        <f>'Revenues 9-14'!F108</f>
        <v>78622</v>
      </c>
      <c r="C5587" s="2" t="s">
        <v>594</v>
      </c>
      <c r="D5587" s="2" t="str">
        <f t="shared" si="86"/>
        <v>Error?</v>
      </c>
    </row>
    <row r="5588" spans="1:4" x14ac:dyDescent="0.2">
      <c r="A5588" s="5">
        <v>5527</v>
      </c>
      <c r="B5588" s="138">
        <f>'Revenues 9-14'!F109</f>
        <v>443118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468341</v>
      </c>
      <c r="D5615" s="2" t="str">
        <f t="shared" si="86"/>
        <v>Error?</v>
      </c>
    </row>
    <row r="5616" spans="1:4" x14ac:dyDescent="0.2">
      <c r="A5616" s="10">
        <v>5555</v>
      </c>
      <c r="D5616" s="2" t="str">
        <f t="shared" si="86"/>
        <v>OK</v>
      </c>
    </row>
    <row r="5617" spans="1:4" x14ac:dyDescent="0.2">
      <c r="A5617" s="5">
        <v>5556</v>
      </c>
      <c r="B5617" s="138">
        <f>'Revenues 9-14'!F152</f>
        <v>85186</v>
      </c>
      <c r="D5617" s="2" t="str">
        <f t="shared" si="86"/>
        <v>Error?</v>
      </c>
    </row>
    <row r="5618" spans="1:4" x14ac:dyDescent="0.2">
      <c r="A5618" s="5">
        <v>5557</v>
      </c>
      <c r="B5618" s="138">
        <f>'Revenues 9-14'!F154</f>
        <v>553527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553527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553527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996645</v>
      </c>
      <c r="C5720" s="2" t="s">
        <v>594</v>
      </c>
      <c r="D5720" s="2" t="str">
        <f t="shared" si="88"/>
        <v>Error?</v>
      </c>
    </row>
    <row r="5721" spans="1:4" x14ac:dyDescent="0.2">
      <c r="A5721" s="5">
        <v>5660</v>
      </c>
      <c r="B5721" s="138">
        <f>'Revenues 9-14'!G5</f>
        <v>430211</v>
      </c>
      <c r="D5721" s="2" t="str">
        <f t="shared" si="88"/>
        <v>Error?</v>
      </c>
    </row>
    <row r="5722" spans="1:4" x14ac:dyDescent="0.2">
      <c r="A5722" s="5">
        <v>5661</v>
      </c>
      <c r="B5722" s="138">
        <f>'Revenues 9-14'!G7</f>
        <v>0</v>
      </c>
      <c r="D5722" s="2" t="str">
        <f t="shared" si="88"/>
        <v>Error?</v>
      </c>
    </row>
    <row r="5723" spans="1:4" x14ac:dyDescent="0.2">
      <c r="A5723" s="5">
        <v>5662</v>
      </c>
      <c r="B5723" s="138">
        <f>'Revenues 9-14'!G8</f>
        <v>370192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800403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43500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43500</v>
      </c>
      <c r="C5730" s="2" t="s">
        <v>594</v>
      </c>
      <c r="D5730" s="2" t="str">
        <f t="shared" si="88"/>
        <v>Error?</v>
      </c>
    </row>
    <row r="5731" spans="1:4" x14ac:dyDescent="0.2">
      <c r="A5731" s="5">
        <v>5670</v>
      </c>
      <c r="B5731" s="138">
        <f>'Revenues 9-14'!G65</f>
        <v>3491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3491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847394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577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577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994096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994673</v>
      </c>
      <c r="C5915" s="2" t="s">
        <v>594</v>
      </c>
      <c r="D5915" s="2" t="str">
        <f t="shared" si="91"/>
        <v>Error?</v>
      </c>
    </row>
    <row r="5916" spans="1:4" x14ac:dyDescent="0.2">
      <c r="A5916" s="5">
        <v>5855</v>
      </c>
      <c r="B5916" s="138">
        <f>'Revenues 9-14'!I5</f>
        <v>90894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90894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9915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9915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100809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90894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90894</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390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390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91284</v>
      </c>
      <c r="C6023" s="2" t="s">
        <v>594</v>
      </c>
      <c r="D6023" s="2" t="str">
        <f t="shared" si="93"/>
        <v>Error?</v>
      </c>
    </row>
    <row r="6024" spans="1:5" x14ac:dyDescent="0.2">
      <c r="A6024" s="5">
        <v>5963</v>
      </c>
      <c r="B6024" s="138">
        <f>'Revenues 9-14'!G109</f>
        <v>847394</v>
      </c>
      <c r="C6024" s="2" t="s">
        <v>594</v>
      </c>
      <c r="D6024" s="2" t="str">
        <f t="shared" si="93"/>
        <v>Error?</v>
      </c>
    </row>
    <row r="6025" spans="1:5" x14ac:dyDescent="0.2">
      <c r="A6025" s="5">
        <v>5964</v>
      </c>
      <c r="B6025" s="138">
        <f>'Revenues 9-14'!H109</f>
        <v>994673</v>
      </c>
      <c r="C6025" s="2" t="s">
        <v>594</v>
      </c>
      <c r="D6025" s="2" t="str">
        <f t="shared" si="93"/>
        <v>Error?</v>
      </c>
    </row>
    <row r="6026" spans="1:5" x14ac:dyDescent="0.2">
      <c r="A6026" s="5">
        <v>5965</v>
      </c>
      <c r="B6026" s="138">
        <f>'Revenues 9-14'!I109</f>
        <v>100809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91284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123661</v>
      </c>
      <c r="D6031" s="2" t="str">
        <f t="shared" si="93"/>
        <v>Error?</v>
      </c>
    </row>
    <row r="6032" spans="1:5" x14ac:dyDescent="0.2">
      <c r="A6032" s="5">
        <v>5971</v>
      </c>
      <c r="B6032" s="138">
        <f>'Acct Summary 7-8'!G15</f>
        <v>76521</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55328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1494.31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321205</v>
      </c>
      <c r="D6076" s="2" t="str">
        <f t="shared" si="93"/>
        <v>Error?</v>
      </c>
      <c r="E6076" s="2" t="s">
        <v>987</v>
      </c>
    </row>
    <row r="6077" spans="1:5" x14ac:dyDescent="0.2">
      <c r="A6077">
        <v>6016</v>
      </c>
      <c r="B6077" s="138">
        <f>'Short-Term Long-Term Debt 24'!D27</f>
        <v>350260</v>
      </c>
      <c r="D6077" s="2" t="str">
        <f t="shared" si="93"/>
        <v>Error?</v>
      </c>
      <c r="E6077" s="2" t="s">
        <v>987</v>
      </c>
    </row>
    <row r="6078" spans="1:5" x14ac:dyDescent="0.2">
      <c r="A6078">
        <v>6017</v>
      </c>
      <c r="B6078" s="138">
        <f>'Short-Term Long-Term Debt 24'!E27</f>
        <v>152643</v>
      </c>
      <c r="D6078" s="2" t="str">
        <f t="shared" si="93"/>
        <v>Error?</v>
      </c>
      <c r="E6078" s="2" t="s">
        <v>987</v>
      </c>
    </row>
    <row r="6079" spans="1:5" x14ac:dyDescent="0.2">
      <c r="A6079">
        <v>6018</v>
      </c>
      <c r="B6079" s="138">
        <f>'Short-Term Long-Term Debt 24'!F27</f>
        <v>518822</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922737</v>
      </c>
      <c r="D6090" s="2" t="str">
        <f t="shared" si="94"/>
        <v>Error?</v>
      </c>
      <c r="E6090" s="2" t="s">
        <v>199</v>
      </c>
    </row>
    <row r="6091" spans="1:5" x14ac:dyDescent="0.2">
      <c r="A6091">
        <v>6030</v>
      </c>
      <c r="B6091" s="138">
        <f>'Assets-Liab 5-6'!D8</f>
        <v>4868</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143659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302775</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14620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31783</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1856773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26141</v>
      </c>
      <c r="D6142" s="2" t="str">
        <f t="shared" si="94"/>
        <v>Error?</v>
      </c>
      <c r="E6142" s="2" t="s">
        <v>199</v>
      </c>
    </row>
    <row r="6143" spans="1:5" x14ac:dyDescent="0.2">
      <c r="A6143">
        <v>6082</v>
      </c>
      <c r="B6143" s="138">
        <f>'Assets-Liab 5-6'!D27</f>
        <v>36572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9378</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20331</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2754</v>
      </c>
      <c r="D6149" s="2" t="str">
        <f t="shared" si="95"/>
        <v>Error?</v>
      </c>
      <c r="E6149" s="2" t="s">
        <v>199</v>
      </c>
    </row>
    <row r="6150" spans="1:5" x14ac:dyDescent="0.2">
      <c r="A6150">
        <v>6089</v>
      </c>
      <c r="B6150" s="138">
        <f>'Assets-Liab 5-6'!K27</f>
        <v>17489</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989053</v>
      </c>
      <c r="D6169" s="2" t="str">
        <f t="shared" si="95"/>
        <v>Error?</v>
      </c>
      <c r="E6169" s="2" t="s">
        <v>199</v>
      </c>
    </row>
    <row r="6170" spans="1:5" x14ac:dyDescent="0.2">
      <c r="A6170">
        <v>6109</v>
      </c>
      <c r="B6170" s="138">
        <f>'Assets-Liab 5-6'!D30</f>
        <v>13342</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1043</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5597</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872523</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880874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975899</v>
      </c>
      <c r="D6215" s="2" t="str">
        <f t="shared" si="96"/>
        <v>Error?</v>
      </c>
      <c r="E6215" s="2" t="s">
        <v>199</v>
      </c>
    </row>
    <row r="6216" spans="1:5" x14ac:dyDescent="0.2">
      <c r="A6216">
        <v>6155</v>
      </c>
      <c r="B6216" s="138">
        <f>'Assets-Liab 5-6'!J41</f>
        <v>1856773</v>
      </c>
      <c r="D6216" s="2" t="str">
        <f t="shared" si="96"/>
        <v>Error?</v>
      </c>
      <c r="E6216" s="2" t="s">
        <v>199</v>
      </c>
    </row>
    <row r="6217" spans="1:5" x14ac:dyDescent="0.2">
      <c r="A6217">
        <v>6156</v>
      </c>
      <c r="B6217" s="138">
        <f>'Assets-Liab 5-6'!J4</f>
        <v>984250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872523</v>
      </c>
      <c r="D6219" s="2" t="str">
        <f t="shared" si="96"/>
        <v>Error?</v>
      </c>
      <c r="E6219" s="2" t="s">
        <v>199</v>
      </c>
    </row>
    <row r="6220" spans="1:5" x14ac:dyDescent="0.2">
      <c r="A6220">
        <v>6159</v>
      </c>
      <c r="B6220" s="138">
        <f>'Acct Summary 7-8'!J4</f>
        <v>855000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855000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855000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769331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769331</v>
      </c>
      <c r="D6229" s="2" t="str">
        <f t="shared" si="96"/>
        <v>Error?</v>
      </c>
      <c r="E6229" s="2" t="s">
        <v>199</v>
      </c>
    </row>
    <row r="6230" spans="1:5" x14ac:dyDescent="0.2">
      <c r="A6230">
        <v>6169</v>
      </c>
      <c r="B6230" s="138">
        <f>'Acct Summary 7-8'!J20</f>
        <v>85669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85669</v>
      </c>
      <c r="D6263" s="2" t="str">
        <f t="shared" si="96"/>
        <v>Error?</v>
      </c>
      <c r="E6263" s="2" t="s">
        <v>199</v>
      </c>
    </row>
    <row r="6264" spans="1:5" x14ac:dyDescent="0.2">
      <c r="A6264">
        <v>6203</v>
      </c>
      <c r="B6264" s="138">
        <f>'Acct Summary 7-8'!J79</f>
        <v>890230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975899</v>
      </c>
      <c r="D6266" s="2" t="str">
        <f t="shared" si="96"/>
        <v>Error?</v>
      </c>
      <c r="E6266" s="2" t="s">
        <v>199</v>
      </c>
    </row>
    <row r="6267" spans="1:5" x14ac:dyDescent="0.2">
      <c r="A6267">
        <v>6206</v>
      </c>
      <c r="B6267" s="138">
        <f>'Acct Summary 7-8'!C82</f>
        <v>639138</v>
      </c>
      <c r="D6267" s="2" t="str">
        <f t="shared" si="96"/>
        <v>Error?</v>
      </c>
      <c r="E6267" s="2" t="s">
        <v>199</v>
      </c>
    </row>
    <row r="6268" spans="1:5" x14ac:dyDescent="0.2">
      <c r="A6268">
        <v>6207</v>
      </c>
      <c r="B6268" s="138">
        <f>'Acct Summary 7-8'!D82</f>
        <v>-147781</v>
      </c>
      <c r="D6268" s="2" t="str">
        <f t="shared" si="96"/>
        <v>Error?</v>
      </c>
      <c r="E6268" s="2" t="s">
        <v>199</v>
      </c>
    </row>
    <row r="6269" spans="1:5" x14ac:dyDescent="0.2">
      <c r="A6269">
        <v>6208</v>
      </c>
      <c r="B6269" s="138">
        <f>'Acct Summary 7-8'!E82</f>
        <v>-573</v>
      </c>
      <c r="D6269" s="2" t="str">
        <f t="shared" si="96"/>
        <v>Error?</v>
      </c>
      <c r="E6269" s="2" t="s">
        <v>199</v>
      </c>
    </row>
    <row r="6270" spans="1:5" x14ac:dyDescent="0.2">
      <c r="A6270">
        <v>6209</v>
      </c>
      <c r="B6270" s="138">
        <f>'Acct Summary 7-8'!F82</f>
        <v>22899</v>
      </c>
      <c r="D6270" s="2" t="str">
        <f t="shared" si="96"/>
        <v>Error?</v>
      </c>
      <c r="E6270" s="2" t="s">
        <v>199</v>
      </c>
    </row>
    <row r="6271" spans="1:5" x14ac:dyDescent="0.2">
      <c r="A6271">
        <v>6210</v>
      </c>
      <c r="B6271" s="138">
        <f>'Acct Summary 7-8'!G82</f>
        <v>-30519</v>
      </c>
      <c r="D6271" s="2" t="str">
        <f t="shared" ref="D6271:D6334" si="97">IF(ISBLANK(B6271),"OK",IF(A6271-B6271=0,"OK","Error?"))</f>
        <v>Error?</v>
      </c>
      <c r="E6271" s="2" t="s">
        <v>199</v>
      </c>
    </row>
    <row r="6272" spans="1:5" x14ac:dyDescent="0.2">
      <c r="A6272">
        <v>6211</v>
      </c>
      <c r="B6272" s="138">
        <f>'Acct Summary 7-8'!H82</f>
        <v>719606</v>
      </c>
      <c r="D6272" s="2" t="str">
        <f t="shared" si="97"/>
        <v>Error?</v>
      </c>
      <c r="E6272" s="2" t="s">
        <v>199</v>
      </c>
    </row>
    <row r="6273" spans="1:5" x14ac:dyDescent="0.2">
      <c r="A6273">
        <v>6212</v>
      </c>
      <c r="B6273" s="138">
        <f>'Acct Summary 7-8'!I82</f>
        <v>-299191</v>
      </c>
      <c r="D6273" s="2" t="str">
        <f t="shared" si="97"/>
        <v>Error?</v>
      </c>
      <c r="E6273" s="2" t="s">
        <v>199</v>
      </c>
    </row>
    <row r="6274" spans="1:5" x14ac:dyDescent="0.2">
      <c r="A6274">
        <v>6213</v>
      </c>
      <c r="B6274" s="138">
        <f>'Acct Summary 7-8'!J82</f>
        <v>85669</v>
      </c>
      <c r="D6274" s="2" t="str">
        <f t="shared" si="97"/>
        <v>Error?</v>
      </c>
      <c r="E6274" s="2" t="s">
        <v>199</v>
      </c>
    </row>
    <row r="6275" spans="1:5" x14ac:dyDescent="0.2">
      <c r="A6275">
        <v>6214</v>
      </c>
      <c r="B6275" s="138">
        <f>'Acct Summary 7-8'!K82</f>
        <v>38473</v>
      </c>
      <c r="D6275" s="2" t="str">
        <f t="shared" si="97"/>
        <v>Error?</v>
      </c>
      <c r="E6275" s="2" t="s">
        <v>199</v>
      </c>
    </row>
    <row r="6276" spans="1:5" x14ac:dyDescent="0.2">
      <c r="A6276">
        <v>6215</v>
      </c>
      <c r="B6276" s="138">
        <f>'Acct Summary 7-8'!C83</f>
        <v>0.37635516016372333</v>
      </c>
      <c r="D6276" s="2" t="str">
        <f t="shared" si="97"/>
        <v>Error?</v>
      </c>
      <c r="E6276" s="2" t="s">
        <v>199</v>
      </c>
    </row>
    <row r="6277" spans="1:5" x14ac:dyDescent="0.2">
      <c r="A6277">
        <v>6216</v>
      </c>
      <c r="B6277" s="138">
        <f>'Acct Summary 7-8'!D83</f>
        <v>12.254830417115848</v>
      </c>
      <c r="D6277" s="2" t="str">
        <f t="shared" si="97"/>
        <v>Error?</v>
      </c>
      <c r="E6277" s="2" t="s">
        <v>199</v>
      </c>
    </row>
    <row r="6278" spans="1:5" x14ac:dyDescent="0.2">
      <c r="A6278">
        <v>6217</v>
      </c>
      <c r="B6278" s="138">
        <f>'Acct Summary 7-8'!E83</f>
        <v>-6.3979455113890131E-3</v>
      </c>
      <c r="D6278" s="2" t="str">
        <f t="shared" si="97"/>
        <v>Error?</v>
      </c>
      <c r="E6278" s="2" t="s">
        <v>199</v>
      </c>
    </row>
    <row r="6279" spans="1:5" x14ac:dyDescent="0.2">
      <c r="A6279">
        <v>6218</v>
      </c>
      <c r="B6279" s="138">
        <f>'Acct Summary 7-8'!F83</f>
        <v>8.2297974806375671E-2</v>
      </c>
      <c r="D6279" s="2" t="str">
        <f t="shared" si="97"/>
        <v>Error?</v>
      </c>
      <c r="E6279" s="2" t="s">
        <v>199</v>
      </c>
    </row>
    <row r="6280" spans="1:5" x14ac:dyDescent="0.2">
      <c r="A6280">
        <v>6219</v>
      </c>
      <c r="B6280" s="138">
        <f>'Acct Summary 7-8'!G83</f>
        <v>-5.8195499044662508E-2</v>
      </c>
      <c r="D6280" s="2" t="str">
        <f t="shared" si="97"/>
        <v>Error?</v>
      </c>
      <c r="E6280" s="2" t="s">
        <v>199</v>
      </c>
    </row>
    <row r="6281" spans="1:5" x14ac:dyDescent="0.2">
      <c r="A6281">
        <v>6220</v>
      </c>
      <c r="B6281" s="138">
        <f>'Acct Summary 7-8'!H83</f>
        <v>0.98274206786544904</v>
      </c>
      <c r="D6281" s="2" t="str">
        <f t="shared" si="97"/>
        <v>Error?</v>
      </c>
      <c r="E6281" s="2" t="s">
        <v>199</v>
      </c>
    </row>
    <row r="6282" spans="1:5" x14ac:dyDescent="0.2">
      <c r="A6282">
        <v>6221</v>
      </c>
      <c r="B6282" s="138">
        <f>'Acct Summary 7-8'!I83</f>
        <v>-0.17883823379976926</v>
      </c>
      <c r="D6282" s="2" t="str">
        <f t="shared" si="97"/>
        <v>Error?</v>
      </c>
      <c r="E6282" s="2" t="s">
        <v>199</v>
      </c>
    </row>
    <row r="6283" spans="1:5" x14ac:dyDescent="0.2">
      <c r="A6283">
        <v>6222</v>
      </c>
      <c r="B6283" s="138">
        <f>'Acct Summary 7-8'!J83</f>
        <v>8.7784699031354677E-2</v>
      </c>
      <c r="D6283" s="2" t="str">
        <f t="shared" si="97"/>
        <v>Error?</v>
      </c>
      <c r="E6283" s="2" t="s">
        <v>199</v>
      </c>
    </row>
    <row r="6284" spans="1:5" x14ac:dyDescent="0.2">
      <c r="A6284">
        <v>6223</v>
      </c>
      <c r="B6284" s="138">
        <f>'Acct Summary 7-8'!K83</f>
        <v>0.4246983629358973</v>
      </c>
      <c r="D6284" s="2" t="str">
        <f t="shared" si="97"/>
        <v>Error?</v>
      </c>
      <c r="E6284" s="2" t="s">
        <v>199</v>
      </c>
    </row>
    <row r="6285" spans="1:5" x14ac:dyDescent="0.2">
      <c r="A6285">
        <v>6224</v>
      </c>
      <c r="B6285" s="138">
        <f>'Acct Summary 7-8'!E37</f>
        <v>48618</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850434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850434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4566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4566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6832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855000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4911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398936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10772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469933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2996</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15044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65418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126195</v>
      </c>
      <c r="D6880" s="2" t="str">
        <f t="shared" si="106"/>
        <v>Error?</v>
      </c>
    </row>
    <row r="6881" spans="1:4" x14ac:dyDescent="0.2">
      <c r="A6881">
        <v>6820</v>
      </c>
      <c r="B6881" s="138">
        <f>'Expenditures 15-22'!K22</f>
        <v>126195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28812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6607</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6607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2771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2771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9378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38190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8882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8882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8882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769331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8882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855000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1977</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1977</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5487</v>
      </c>
      <c r="D7067" s="2" t="str">
        <f t="shared" si="109"/>
        <v>Error?</v>
      </c>
    </row>
    <row r="7068" spans="1:4" x14ac:dyDescent="0.2">
      <c r="A7068">
        <v>7007</v>
      </c>
      <c r="B7068" s="138">
        <f>'Expenditures 15-22'!K205</f>
        <v>5487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1977</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27283</v>
      </c>
      <c r="D7073" s="2" t="str">
        <f t="shared" si="109"/>
        <v>Error?</v>
      </c>
    </row>
    <row r="7074" spans="1:4" x14ac:dyDescent="0.2">
      <c r="A7074">
        <v>7013</v>
      </c>
      <c r="B7074" s="138">
        <f>'Expenditures 15-22'!K216</f>
        <v>27283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713</v>
      </c>
      <c r="D7079" s="2" t="str">
        <f t="shared" si="109"/>
        <v>Error?</v>
      </c>
    </row>
    <row r="7080" spans="1:4" x14ac:dyDescent="0.2">
      <c r="A7080">
        <v>7019</v>
      </c>
      <c r="B7080" s="138">
        <f>'Expenditures 15-22'!K226</f>
        <v>713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62879</v>
      </c>
      <c r="D7089" s="2" t="str">
        <f t="shared" si="109"/>
        <v>Error?</v>
      </c>
    </row>
    <row r="7090" spans="1:4" x14ac:dyDescent="0.2">
      <c r="A7090">
        <v>7029</v>
      </c>
      <c r="B7090" s="138">
        <f>'Expenditures 15-22'!K252</f>
        <v>62879</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61148</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61148</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61148</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85836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85836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101995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101995</v>
      </c>
      <c r="D7153" s="2" t="str">
        <f t="shared" si="110"/>
        <v>Error?</v>
      </c>
    </row>
    <row r="7154" spans="1:4" x14ac:dyDescent="0.2">
      <c r="A7154">
        <v>7093</v>
      </c>
      <c r="B7154" s="138">
        <f>'Expenditures 15-22'!C323</f>
        <v>433218</v>
      </c>
      <c r="D7154" s="2" t="str">
        <f t="shared" si="110"/>
        <v>Error?</v>
      </c>
    </row>
    <row r="7155" spans="1:4" x14ac:dyDescent="0.2">
      <c r="A7155">
        <v>7094</v>
      </c>
      <c r="B7155" s="138">
        <f>'Expenditures 15-22'!D323</f>
        <v>74501</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4800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14458</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526977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20529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20529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33994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33994</v>
      </c>
      <c r="D7198" s="2" t="str">
        <f t="shared" si="111"/>
        <v>Error?</v>
      </c>
    </row>
    <row r="7199" spans="1:4" x14ac:dyDescent="0.2">
      <c r="A7199">
        <v>7138</v>
      </c>
      <c r="B7199" s="138">
        <f>'Expenditures 15-22'!C330</f>
        <v>433218</v>
      </c>
      <c r="D7199" s="2" t="str">
        <f t="shared" si="111"/>
        <v>Error?</v>
      </c>
    </row>
    <row r="7200" spans="1:4" x14ac:dyDescent="0.2">
      <c r="A7200">
        <v>7139</v>
      </c>
      <c r="B7200" s="138">
        <f>'Expenditures 15-22'!D330</f>
        <v>74501</v>
      </c>
      <c r="D7200" s="2" t="str">
        <f t="shared" si="111"/>
        <v>Error?</v>
      </c>
    </row>
    <row r="7201" spans="1:4" x14ac:dyDescent="0.2">
      <c r="A7201">
        <v>7140</v>
      </c>
      <c r="B7201" s="138">
        <f>'Expenditures 15-22'!E330</f>
        <v>242354</v>
      </c>
      <c r="D7201" s="2" t="str">
        <f t="shared" si="111"/>
        <v>Error?</v>
      </c>
    </row>
    <row r="7202" spans="1:4" x14ac:dyDescent="0.2">
      <c r="A7202">
        <v>7141</v>
      </c>
      <c r="B7202" s="138">
        <f>'Expenditures 15-22'!F330</f>
        <v>4800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14458</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769331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433218</v>
      </c>
      <c r="D7216" s="2" t="str">
        <f t="shared" si="111"/>
        <v>Error?</v>
      </c>
    </row>
    <row r="7217" spans="1:4" x14ac:dyDescent="0.2">
      <c r="A7217">
        <v>7156</v>
      </c>
      <c r="B7217" s="138">
        <f>'Expenditures 15-22'!D342</f>
        <v>74501</v>
      </c>
      <c r="D7217" s="2" t="str">
        <f t="shared" si="111"/>
        <v>Error?</v>
      </c>
    </row>
    <row r="7218" spans="1:4" x14ac:dyDescent="0.2">
      <c r="A7218">
        <v>7157</v>
      </c>
      <c r="B7218" s="138">
        <f>'Expenditures 15-22'!E342</f>
        <v>242354</v>
      </c>
      <c r="D7218" s="2" t="str">
        <f t="shared" si="111"/>
        <v>Error?</v>
      </c>
    </row>
    <row r="7219" spans="1:4" x14ac:dyDescent="0.2">
      <c r="A7219">
        <v>7158</v>
      </c>
      <c r="B7219" s="138">
        <f>'Expenditures 15-22'!F342</f>
        <v>4800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14458</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769331</v>
      </c>
      <c r="D7224" s="2" t="str">
        <f t="shared" si="111"/>
        <v>Error?</v>
      </c>
    </row>
    <row r="7225" spans="1:4" x14ac:dyDescent="0.2">
      <c r="A7225">
        <v>7164</v>
      </c>
      <c r="B7225" s="138">
        <f>'Expenditures 15-22'!K343</f>
        <v>85669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63943</v>
      </c>
      <c r="D7246" s="2" t="str">
        <f t="shared" si="112"/>
        <v>Error?</v>
      </c>
    </row>
    <row r="7247" spans="1:4" x14ac:dyDescent="0.2">
      <c r="A7247">
        <f t="shared" si="113"/>
        <v>7186</v>
      </c>
      <c r="B7247" s="138">
        <f>'Expenditures 15-22'!E7</f>
        <v>1306</v>
      </c>
      <c r="D7247" s="2" t="str">
        <f t="shared" si="112"/>
        <v>Error?</v>
      </c>
    </row>
    <row r="7248" spans="1:4" x14ac:dyDescent="0.2">
      <c r="A7248">
        <f t="shared" si="113"/>
        <v>7187</v>
      </c>
      <c r="B7248" s="138">
        <f>'Expenditures 15-22'!F7</f>
        <v>5748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49435</v>
      </c>
      <c r="D7263" s="2" t="str">
        <f t="shared" si="112"/>
        <v>Error?</v>
      </c>
    </row>
    <row r="7264" spans="1:4" x14ac:dyDescent="0.2">
      <c r="A7264">
        <f t="shared" si="113"/>
        <v>7203</v>
      </c>
      <c r="B7264" s="138">
        <f>'Expenditures 15-22'!D17</f>
        <v>11307</v>
      </c>
      <c r="D7264" s="2" t="str">
        <f t="shared" si="112"/>
        <v>Error?</v>
      </c>
    </row>
    <row r="7265" spans="1:5" x14ac:dyDescent="0.2">
      <c r="A7265">
        <f t="shared" si="113"/>
        <v>7204</v>
      </c>
      <c r="B7265" s="138">
        <f>'Expenditures 15-22'!E17</f>
        <v>330</v>
      </c>
      <c r="D7265" s="2" t="str">
        <f t="shared" si="112"/>
        <v>Error?</v>
      </c>
    </row>
    <row r="7266" spans="1:5" x14ac:dyDescent="0.2">
      <c r="A7266">
        <f t="shared" si="113"/>
        <v>7205</v>
      </c>
      <c r="B7266" s="138">
        <f>'Expenditures 15-22'!F17</f>
        <v>886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3460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110197</v>
      </c>
      <c r="D7624" s="2" t="str">
        <f t="shared" si="124"/>
        <v>Error?</v>
      </c>
      <c r="E7624" s="2" t="s">
        <v>19</v>
      </c>
    </row>
    <row r="7625" spans="1:5" x14ac:dyDescent="0.2">
      <c r="A7625">
        <f t="shared" si="123"/>
        <v>7564</v>
      </c>
      <c r="B7625" s="138">
        <f>'Cap Outlay Deprec 26'!I17</f>
        <v>11019.7</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705719.7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48618</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12637</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577</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6832</v>
      </c>
      <c r="D7712" s="2" t="str">
        <f t="shared" si="126"/>
        <v>Error?</v>
      </c>
      <c r="E7712" s="2" t="s">
        <v>881</v>
      </c>
    </row>
    <row r="7713" spans="1:6" x14ac:dyDescent="0.2">
      <c r="A7713">
        <v>7652</v>
      </c>
      <c r="B7713" s="138">
        <f>'Rest Tax Levies-Tort Im 25'!J8</f>
        <v>994096</v>
      </c>
      <c r="D7713" s="2" t="str">
        <f t="shared" si="126"/>
        <v>Error?</v>
      </c>
      <c r="E7713" s="2" t="s">
        <v>881</v>
      </c>
    </row>
    <row r="7714" spans="1:6" x14ac:dyDescent="0.2">
      <c r="A7714">
        <v>7653</v>
      </c>
      <c r="B7714" s="138">
        <f>'Rest Tax Levies-Tort Im 25'!K9</f>
        <v>22768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994673</v>
      </c>
      <c r="D7718" s="2" t="str">
        <f t="shared" si="126"/>
        <v>Error?</v>
      </c>
      <c r="E7718" s="2" t="s">
        <v>881</v>
      </c>
    </row>
    <row r="7719" spans="1:6" x14ac:dyDescent="0.2">
      <c r="A7719">
        <v>7658</v>
      </c>
      <c r="B7719" s="138">
        <f>'Rest Tax Levies-Tort Im 25'!K12</f>
        <v>29600</v>
      </c>
      <c r="D7719" s="2" t="str">
        <f t="shared" si="126"/>
        <v>Error?</v>
      </c>
      <c r="E7719" s="2" t="s">
        <v>881</v>
      </c>
    </row>
    <row r="7720" spans="1:6" x14ac:dyDescent="0.2">
      <c r="A7720">
        <v>7659</v>
      </c>
      <c r="B7720" s="138">
        <f>'Rest Tax Levies-Tort Im 25'!H14</f>
        <v>72717</v>
      </c>
      <c r="D7720" s="2" t="str">
        <f t="shared" si="126"/>
        <v>Error?</v>
      </c>
      <c r="E7720" s="2" t="s">
        <v>881</v>
      </c>
    </row>
    <row r="7721" spans="1:6" x14ac:dyDescent="0.2">
      <c r="A7721">
        <v>7660</v>
      </c>
      <c r="B7721" s="138">
        <f>'Rest Tax Levies-Tort Im 25'!K14</f>
        <v>29600</v>
      </c>
      <c r="D7721" s="2" t="str">
        <f t="shared" si="126"/>
        <v>Error?</v>
      </c>
      <c r="E7721" s="2" t="s">
        <v>881</v>
      </c>
    </row>
    <row r="7722" spans="1:6" x14ac:dyDescent="0.2">
      <c r="A7722">
        <v>7661</v>
      </c>
      <c r="B7722" s="138">
        <f>'Rest Tax Levies-Tort Im 25'!J15</f>
        <v>275067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275067</v>
      </c>
      <c r="D7730" s="2" t="str">
        <f t="shared" si="126"/>
        <v>Error?</v>
      </c>
      <c r="E7730" s="2" t="s">
        <v>881</v>
      </c>
    </row>
    <row r="7731" spans="1:6" x14ac:dyDescent="0.2">
      <c r="A7731">
        <v>7670</v>
      </c>
      <c r="B7731" s="138">
        <f>'Revenues 9-14'!H103</f>
        <v>994096</v>
      </c>
      <c r="D7731" s="2" t="str">
        <f t="shared" si="126"/>
        <v>Error?</v>
      </c>
      <c r="E7731" s="2" t="s">
        <v>881</v>
      </c>
    </row>
    <row r="7732" spans="1:6" x14ac:dyDescent="0.2">
      <c r="A7732">
        <v>7671</v>
      </c>
      <c r="B7732" s="138">
        <f>'Rest Tax Levies-Tort Im 25'!J24</f>
        <v>732243</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732243</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400000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162843</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162843</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14450</v>
      </c>
      <c r="D7797" s="2" t="str">
        <f t="shared" si="127"/>
        <v>Error?</v>
      </c>
      <c r="E7797" s="4" t="s">
        <v>2016</v>
      </c>
    </row>
    <row r="7798" spans="1:5" x14ac:dyDescent="0.2">
      <c r="A7798">
        <v>7737</v>
      </c>
      <c r="B7798" s="138">
        <f>'Contracts Paid in CY 29'!F141</f>
        <v>14450</v>
      </c>
      <c r="D7798" s="2" t="str">
        <f t="shared" si="127"/>
        <v>Error?</v>
      </c>
      <c r="E7798" s="4" t="s">
        <v>2016</v>
      </c>
    </row>
    <row r="7799" spans="1:5" x14ac:dyDescent="0.2">
      <c r="A7799">
        <v>7738</v>
      </c>
      <c r="B7799" s="138">
        <f>'Contracts Paid in CY 29'!G141</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W31" sqref="W3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Hillsboro CUSD 3</v>
      </c>
      <c r="B7" s="2423"/>
      <c r="C7" s="2423"/>
      <c r="D7" s="2424"/>
      <c r="E7" s="2425">
        <f>COVER!A13</f>
        <v>3068003026</v>
      </c>
      <c r="F7" s="2426"/>
      <c r="G7" s="2432" t="str">
        <f>COVER!T23</f>
        <v>065.009532</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Scheffel Boyle</v>
      </c>
      <c r="H9" s="2438"/>
      <c r="I9" s="2438"/>
      <c r="J9" s="2438"/>
      <c r="K9" s="2438"/>
      <c r="L9" s="2439"/>
    </row>
    <row r="10" spans="1:29" ht="13.5" customHeight="1" x14ac:dyDescent="0.2">
      <c r="A10" s="2412" t="str">
        <f>COVER!A38</f>
        <v>David Powell</v>
      </c>
      <c r="B10" s="2413"/>
      <c r="C10" s="2413"/>
      <c r="D10" s="2413"/>
      <c r="E10" s="2413"/>
      <c r="F10" s="2414"/>
      <c r="G10" s="2406" t="str">
        <f>COVER!T17</f>
        <v>222  East Main Street</v>
      </c>
      <c r="H10" s="2407"/>
      <c r="I10" s="2407"/>
      <c r="J10" s="2407"/>
      <c r="K10" s="2407"/>
      <c r="L10" s="2408"/>
    </row>
    <row r="11" spans="1:29" ht="13.5" customHeight="1" x14ac:dyDescent="0.2">
      <c r="A11" s="1185" t="s">
        <v>1599</v>
      </c>
      <c r="B11" s="1186"/>
      <c r="C11" s="1187"/>
      <c r="D11" s="1192"/>
      <c r="E11" s="1187"/>
      <c r="F11" s="1191"/>
      <c r="G11" s="2406" t="str">
        <f>COVER!T19</f>
        <v>Belleville</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henry.siekmann@scheffelboyle.com</v>
      </c>
      <c r="J13" s="2419"/>
      <c r="K13" s="2419"/>
      <c r="L13" s="2420"/>
    </row>
    <row r="14" spans="1:29" ht="13.5" customHeight="1" x14ac:dyDescent="0.2">
      <c r="A14" s="2406" t="str">
        <f>COVER!A19</f>
        <v>1311 Vandalia Road</v>
      </c>
      <c r="B14" s="2407"/>
      <c r="C14" s="2407"/>
      <c r="D14" s="2407"/>
      <c r="E14" s="2407"/>
      <c r="F14" s="2408"/>
      <c r="G14" s="1196" t="s">
        <v>1247</v>
      </c>
      <c r="H14" s="1194"/>
      <c r="I14" s="1194"/>
      <c r="J14" s="1194"/>
      <c r="K14" s="1194"/>
      <c r="L14" s="1195"/>
    </row>
    <row r="15" spans="1:29" ht="13.5" customHeight="1" x14ac:dyDescent="0.2">
      <c r="A15" s="2406" t="str">
        <f>COVER!A21</f>
        <v xml:space="preserve">Hillsboro  </v>
      </c>
      <c r="B15" s="2407"/>
      <c r="C15" s="2407"/>
      <c r="D15" s="2407"/>
      <c r="E15" s="2407"/>
      <c r="F15" s="2408"/>
      <c r="G15" s="2403" t="str">
        <f>COVER!T15</f>
        <v>Henry Siekmann</v>
      </c>
      <c r="H15" s="2404"/>
      <c r="I15" s="2404"/>
      <c r="J15" s="2404"/>
      <c r="K15" s="2404"/>
      <c r="L15" s="2405"/>
    </row>
    <row r="16" spans="1:29" ht="12.2" customHeight="1" x14ac:dyDescent="0.2">
      <c r="A16" s="2428">
        <f>COVER!A25</f>
        <v>62049</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f>COVER!T21</f>
        <v>6182332641</v>
      </c>
      <c r="H18" s="2423"/>
      <c r="I18" s="2423"/>
      <c r="J18" s="2423"/>
      <c r="K18" s="2422">
        <f>COVER!X21</f>
        <v>6182336334</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W31" sqref="W3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Hillsboro CUSD 3</v>
      </c>
      <c r="B1" s="2421"/>
      <c r="C1" s="2421"/>
      <c r="D1" s="2421"/>
    </row>
    <row r="2" spans="1:11" s="1215" customFormat="1" ht="12.75" x14ac:dyDescent="0.2">
      <c r="A2" s="2445">
        <f>'Single Audit Cover'!E7</f>
        <v>3068003026</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Hillsboro CUSD 3</v>
      </c>
      <c r="B1" s="2448"/>
      <c r="C1" s="2448"/>
      <c r="D1" s="2448"/>
      <c r="E1" s="2448"/>
    </row>
    <row r="2" spans="1:5" x14ac:dyDescent="0.2">
      <c r="A2" s="2449">
        <f>'Single Audit Cover'!E7</f>
        <v>3068003026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929807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55328</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-47041</v>
      </c>
    </row>
    <row r="19" spans="1:4" ht="13.5" thickBot="1" x14ac:dyDescent="0.25">
      <c r="A19" s="1265" t="s">
        <v>1297</v>
      </c>
      <c r="D19" s="1266">
        <f>SUM(D10:D17)</f>
        <v>938094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938094</v>
      </c>
    </row>
    <row r="33" spans="1:4" x14ac:dyDescent="0.2">
      <c r="D33" s="1269"/>
    </row>
    <row r="34" spans="1:4" x14ac:dyDescent="0.2">
      <c r="A34" s="317" t="s">
        <v>1294</v>
      </c>
    </row>
    <row r="35" spans="1:4" x14ac:dyDescent="0.2">
      <c r="A35" s="317" t="s">
        <v>1293</v>
      </c>
      <c r="B35" s="1258" t="s">
        <v>1292</v>
      </c>
      <c r="D35" s="1270">
        <v>938094</v>
      </c>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938094</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W31" sqref="W3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Hillsboro CUSD 3</v>
      </c>
      <c r="B1" s="2461"/>
      <c r="C1" s="2461"/>
      <c r="D1" s="2461"/>
      <c r="E1" s="2461"/>
      <c r="F1" s="2461"/>
    </row>
    <row r="2" spans="1:7" ht="13.5" customHeight="1" x14ac:dyDescent="0.2">
      <c r="A2" s="2462">
        <f>'Single Audit Cover'!E7</f>
        <v>3068003026</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2089</v>
      </c>
      <c r="B7" s="2460"/>
      <c r="C7" s="2460"/>
      <c r="D7" s="2460"/>
      <c r="E7" s="2460"/>
      <c r="F7" s="246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2090</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0" t="s">
        <v>2137</v>
      </c>
      <c r="B13" s="2460"/>
      <c r="C13" s="2460"/>
      <c r="D13" s="2460"/>
      <c r="E13" s="2460"/>
      <c r="F13" s="2460"/>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t="s">
        <v>2091</v>
      </c>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4" t="s">
        <v>2092</v>
      </c>
      <c r="B32" s="2454"/>
      <c r="C32" s="2454"/>
      <c r="D32" s="2454"/>
      <c r="E32" s="2454"/>
      <c r="F32" s="2454"/>
    </row>
    <row r="33" spans="1:6" ht="13.5" customHeight="1" x14ac:dyDescent="0.2">
      <c r="A33" s="328" t="s">
        <v>1509</v>
      </c>
      <c r="B33" s="328"/>
      <c r="C33" s="1288">
        <v>42496</v>
      </c>
      <c r="D33" s="1928"/>
      <c r="E33" s="1286"/>
    </row>
    <row r="34" spans="1:6" ht="13.5" customHeight="1" x14ac:dyDescent="0.2">
      <c r="A34" s="328" t="s">
        <v>1945</v>
      </c>
      <c r="B34" s="328"/>
      <c r="C34" s="1289">
        <v>12832</v>
      </c>
      <c r="D34" s="1928" t="s">
        <v>1671</v>
      </c>
      <c r="E34" s="2455">
        <f>+C33+C34</f>
        <v>55328</v>
      </c>
      <c r="F34" s="245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W31" sqref="W3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Hillsboro CUSD 3</v>
      </c>
      <c r="C1" s="2465"/>
      <c r="D1" s="2465"/>
      <c r="E1" s="2465"/>
      <c r="F1" s="2465"/>
      <c r="G1" s="2465"/>
      <c r="H1" s="2465"/>
      <c r="I1" s="2465"/>
      <c r="J1" s="2465"/>
      <c r="K1" s="2465"/>
      <c r="L1" s="2465"/>
      <c r="M1" s="2465"/>
    </row>
    <row r="2" spans="2:14" ht="15" x14ac:dyDescent="0.2">
      <c r="B2" s="2462">
        <f>'Single Audit Cover'!E7</f>
        <v>3068003026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2093</v>
      </c>
      <c r="C11" s="1338"/>
      <c r="D11" s="1339"/>
      <c r="E11" s="1340"/>
      <c r="F11" s="1340"/>
      <c r="G11" s="1340"/>
      <c r="H11" s="1340"/>
      <c r="I11" s="1340"/>
      <c r="J11" s="1340"/>
      <c r="K11" s="1340"/>
      <c r="L11" s="1340" t="s">
        <v>1231</v>
      </c>
      <c r="M11" s="1340"/>
    </row>
    <row r="12" spans="2:14" ht="20.100000000000001" customHeight="1" x14ac:dyDescent="0.2">
      <c r="B12" s="1337" t="s">
        <v>2133</v>
      </c>
      <c r="C12" s="1341">
        <v>10.555</v>
      </c>
      <c r="D12" s="1342" t="s">
        <v>2094</v>
      </c>
      <c r="E12" s="1343"/>
      <c r="F12" s="1343">
        <v>250337</v>
      </c>
      <c r="G12" s="1343"/>
      <c r="H12" s="1343"/>
      <c r="I12" s="1343">
        <v>250337</v>
      </c>
      <c r="J12" s="1343"/>
      <c r="K12" s="1343"/>
      <c r="L12" s="1340">
        <f t="shared" ref="L12:L19" si="0">+G12+I12+K12</f>
        <v>250337</v>
      </c>
      <c r="M12" s="1343" t="s">
        <v>2102</v>
      </c>
    </row>
    <row r="13" spans="2:14" ht="20.100000000000001" customHeight="1" x14ac:dyDescent="0.2">
      <c r="B13" s="1337" t="s">
        <v>2133</v>
      </c>
      <c r="C13" s="1341">
        <v>10.555</v>
      </c>
      <c r="D13" s="1342" t="s">
        <v>2095</v>
      </c>
      <c r="E13" s="1343">
        <v>253252</v>
      </c>
      <c r="F13" s="1343">
        <v>59614</v>
      </c>
      <c r="G13" s="1343">
        <v>253252</v>
      </c>
      <c r="H13" s="1343"/>
      <c r="I13" s="1343">
        <v>59614</v>
      </c>
      <c r="J13" s="1343"/>
      <c r="K13" s="1343"/>
      <c r="L13" s="1340">
        <f t="shared" si="0"/>
        <v>312866</v>
      </c>
      <c r="M13" s="1343" t="s">
        <v>2102</v>
      </c>
    </row>
    <row r="14" spans="2:14" ht="20.100000000000001" customHeight="1" x14ac:dyDescent="0.2">
      <c r="B14" s="1337" t="s">
        <v>2134</v>
      </c>
      <c r="C14" s="1341">
        <v>10.553000000000001</v>
      </c>
      <c r="D14" s="1342" t="s">
        <v>2096</v>
      </c>
      <c r="E14" s="1343"/>
      <c r="F14" s="1343">
        <v>68511</v>
      </c>
      <c r="G14" s="1343"/>
      <c r="H14" s="1343"/>
      <c r="I14" s="1343">
        <v>68511</v>
      </c>
      <c r="J14" s="1343"/>
      <c r="K14" s="1343"/>
      <c r="L14" s="1340">
        <f t="shared" si="0"/>
        <v>68511</v>
      </c>
      <c r="M14" s="1343" t="s">
        <v>2102</v>
      </c>
    </row>
    <row r="15" spans="2:14" ht="20.100000000000001" customHeight="1" x14ac:dyDescent="0.2">
      <c r="B15" s="1337" t="s">
        <v>2135</v>
      </c>
      <c r="C15" s="1341">
        <v>10.553000000000001</v>
      </c>
      <c r="D15" s="1342" t="s">
        <v>2097</v>
      </c>
      <c r="E15" s="1343">
        <v>59947</v>
      </c>
      <c r="F15" s="1343">
        <v>14593</v>
      </c>
      <c r="G15" s="1343">
        <v>59947</v>
      </c>
      <c r="H15" s="1343"/>
      <c r="I15" s="1343">
        <v>14593</v>
      </c>
      <c r="J15" s="1343"/>
      <c r="K15" s="1343"/>
      <c r="L15" s="1340">
        <f t="shared" si="0"/>
        <v>74540</v>
      </c>
      <c r="M15" s="1343" t="s">
        <v>2102</v>
      </c>
    </row>
    <row r="16" spans="2:14" ht="20.100000000000001" customHeight="1" x14ac:dyDescent="0.2">
      <c r="B16" s="1337" t="s">
        <v>2138</v>
      </c>
      <c r="C16" s="1341"/>
      <c r="D16" s="1342"/>
      <c r="E16" s="1343">
        <f>+E12+E13+E14+E15</f>
        <v>313199</v>
      </c>
      <c r="F16" s="1343">
        <f>+F12+F13+F14+F15</f>
        <v>393055</v>
      </c>
      <c r="G16" s="1343">
        <f>+G12+G13+G14+G15</f>
        <v>313199</v>
      </c>
      <c r="H16" s="1343" t="s">
        <v>1231</v>
      </c>
      <c r="I16" s="1343">
        <f>+I12+I13+I14+I15</f>
        <v>393055</v>
      </c>
      <c r="J16" s="1343"/>
      <c r="K16" s="1343"/>
      <c r="L16" s="1340"/>
      <c r="M16" s="1343" t="s">
        <v>1231</v>
      </c>
    </row>
    <row r="17" spans="2:14" ht="20.100000000000001" customHeight="1" x14ac:dyDescent="0.2">
      <c r="B17" s="1337"/>
      <c r="C17" s="1341"/>
      <c r="D17" s="1342"/>
      <c r="E17" s="1343"/>
      <c r="F17" s="1343"/>
      <c r="G17" s="1343"/>
      <c r="H17" s="1343"/>
      <c r="I17" s="1343"/>
      <c r="J17" s="1343"/>
      <c r="K17" s="1343"/>
      <c r="L17" s="1340" t="s">
        <v>1231</v>
      </c>
      <c r="M17" s="1343"/>
    </row>
    <row r="18" spans="2:14" ht="20.100000000000001" customHeight="1" x14ac:dyDescent="0.2">
      <c r="B18" s="1337" t="s">
        <v>2099</v>
      </c>
      <c r="C18" s="1341">
        <v>10.558</v>
      </c>
      <c r="D18" s="1342" t="s">
        <v>2100</v>
      </c>
      <c r="E18" s="1343">
        <v>0</v>
      </c>
      <c r="F18" s="1343">
        <f>17023+1749</f>
        <v>18772</v>
      </c>
      <c r="G18" s="1343"/>
      <c r="H18" s="1343"/>
      <c r="I18" s="1343">
        <v>18772</v>
      </c>
      <c r="J18" s="1343"/>
      <c r="K18" s="1343"/>
      <c r="L18" s="1340">
        <f t="shared" si="0"/>
        <v>18772</v>
      </c>
      <c r="M18" s="1343" t="s">
        <v>2102</v>
      </c>
    </row>
    <row r="19" spans="2:14" ht="20.100000000000001" customHeight="1" x14ac:dyDescent="0.2">
      <c r="B19" s="1337" t="s">
        <v>2139</v>
      </c>
      <c r="C19" s="1341">
        <v>10.558</v>
      </c>
      <c r="D19" s="1342" t="s">
        <v>2101</v>
      </c>
      <c r="E19" s="1343">
        <v>17308</v>
      </c>
      <c r="F19" s="1343">
        <v>5594</v>
      </c>
      <c r="G19" s="1343">
        <v>17308</v>
      </c>
      <c r="H19" s="1343"/>
      <c r="I19" s="1343">
        <v>5594</v>
      </c>
      <c r="J19" s="1343"/>
      <c r="K19" s="1343"/>
      <c r="L19" s="1340">
        <f t="shared" si="0"/>
        <v>22902</v>
      </c>
      <c r="M19" s="1343" t="s">
        <v>2102</v>
      </c>
    </row>
    <row r="20" spans="2:14" ht="20.100000000000001" customHeight="1" x14ac:dyDescent="0.2">
      <c r="B20" s="1337" t="s">
        <v>2103</v>
      </c>
      <c r="C20" s="1341"/>
      <c r="D20" s="1342"/>
      <c r="E20" s="1343">
        <f>+E18+E19</f>
        <v>17308</v>
      </c>
      <c r="F20" s="1343">
        <f>+F18+F19</f>
        <v>24366</v>
      </c>
      <c r="G20" s="1343">
        <f>+G18+G19</f>
        <v>17308</v>
      </c>
      <c r="H20" s="1343"/>
      <c r="I20" s="1343">
        <f>+I18+I19</f>
        <v>24366</v>
      </c>
      <c r="J20" s="1343"/>
      <c r="K20" s="1343"/>
      <c r="L20" s="1340" t="s">
        <v>1231</v>
      </c>
      <c r="M20" s="1343"/>
    </row>
    <row r="21" spans="2:14" ht="20.100000000000001" customHeight="1" x14ac:dyDescent="0.2">
      <c r="B21" s="1337"/>
      <c r="C21" s="1341"/>
      <c r="D21" s="1342"/>
      <c r="E21" s="1343"/>
      <c r="F21" s="1343"/>
      <c r="G21" s="1343"/>
      <c r="H21" s="1343"/>
      <c r="I21" s="1343"/>
      <c r="J21" s="1343"/>
      <c r="K21" s="1343"/>
      <c r="L21" s="1340" t="s">
        <v>1231</v>
      </c>
      <c r="M21" s="1343"/>
    </row>
    <row r="22" spans="2:14" ht="20.100000000000001" customHeight="1" x14ac:dyDescent="0.2">
      <c r="B22" s="1337" t="s">
        <v>2104</v>
      </c>
      <c r="C22" s="1341"/>
      <c r="D22" s="1342"/>
      <c r="E22" s="1343"/>
      <c r="F22" s="1343">
        <f>+F16+F20</f>
        <v>417421</v>
      </c>
      <c r="G22" s="1343"/>
      <c r="H22" s="1343"/>
      <c r="I22" s="1343">
        <f>+I16+I20</f>
        <v>417421</v>
      </c>
      <c r="J22" s="1343"/>
      <c r="K22" s="1343"/>
      <c r="L22" s="1340" t="s">
        <v>1231</v>
      </c>
      <c r="M22" s="1343"/>
    </row>
    <row r="23" spans="2:14" ht="20.100000000000001" customHeight="1" x14ac:dyDescent="0.2">
      <c r="B23" s="1337"/>
      <c r="C23" s="1341"/>
      <c r="D23" s="1342"/>
      <c r="E23" s="1343"/>
      <c r="F23" s="1343"/>
      <c r="G23" s="1343"/>
      <c r="H23" s="1343"/>
      <c r="I23" s="1343"/>
      <c r="J23" s="1343"/>
      <c r="K23" s="1343"/>
      <c r="L23" s="1340" t="s">
        <v>1231</v>
      </c>
      <c r="M23" s="1343"/>
    </row>
    <row r="24" spans="2:14" ht="20.100000000000001" customHeight="1" x14ac:dyDescent="0.2">
      <c r="B24" s="1337"/>
      <c r="C24" s="1341"/>
      <c r="D24" s="1342"/>
      <c r="E24" s="1343"/>
      <c r="F24" s="1343"/>
      <c r="G24" s="1343"/>
      <c r="H24" s="1343"/>
      <c r="I24" s="1343"/>
      <c r="J24" s="1343"/>
      <c r="K24" s="1343"/>
      <c r="L24" s="1340" t="s">
        <v>1231</v>
      </c>
      <c r="M24" s="1343"/>
    </row>
    <row r="25" spans="2:14" ht="20.100000000000001" customHeight="1" x14ac:dyDescent="0.2">
      <c r="B25" s="1337"/>
      <c r="C25" s="1341"/>
      <c r="D25" s="1342"/>
      <c r="E25" s="1343"/>
      <c r="F25" s="1343"/>
      <c r="G25" s="1343"/>
      <c r="H25" s="1343"/>
      <c r="I25" s="1343"/>
      <c r="J25" s="1343"/>
      <c r="K25" s="1343" t="s">
        <v>1231</v>
      </c>
      <c r="L25" s="1340" t="s">
        <v>1231</v>
      </c>
      <c r="M25" s="1343"/>
    </row>
    <row r="26" spans="2:14" ht="20.100000000000001" customHeight="1" x14ac:dyDescent="0.2">
      <c r="B26" s="1337"/>
      <c r="C26" s="1341"/>
      <c r="D26" s="1342"/>
      <c r="E26" s="1343"/>
      <c r="F26" s="1343"/>
      <c r="G26" s="1343"/>
      <c r="H26" s="1343"/>
      <c r="I26" s="1343"/>
      <c r="J26" s="1343"/>
      <c r="K26" s="1343"/>
      <c r="L26" s="1340" t="s">
        <v>1231</v>
      </c>
      <c r="M26" s="1343"/>
    </row>
    <row r="27" spans="2:14" ht="20.100000000000001" customHeight="1" x14ac:dyDescent="0.2">
      <c r="B27" s="1337"/>
      <c r="C27" s="1341"/>
      <c r="D27" s="1342"/>
      <c r="E27" s="1343"/>
      <c r="F27" s="1343"/>
      <c r="G27" s="1343"/>
      <c r="H27" s="1343"/>
      <c r="I27" s="1343"/>
      <c r="J27" s="1343"/>
      <c r="K27" s="1343"/>
      <c r="L27" s="1340" t="s">
        <v>1231</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61"/>
      <c r="J77" s="261">
        <v>43342</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125551</v>
      </c>
      <c r="G85" s="276">
        <v>18108</v>
      </c>
      <c r="H85" s="276">
        <v>19184</v>
      </c>
      <c r="I85" s="276"/>
      <c r="J85" s="277">
        <f>SUM(E85:I85)</f>
        <v>162843</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162843</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2079</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W31" sqref="W3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Hillsboro CUSD 3</v>
      </c>
      <c r="C1" s="2465"/>
      <c r="D1" s="2465"/>
      <c r="E1" s="2465"/>
      <c r="F1" s="2465"/>
      <c r="G1" s="2465"/>
      <c r="H1" s="2465"/>
      <c r="I1" s="2465"/>
      <c r="J1" s="2465"/>
      <c r="K1" s="2465"/>
      <c r="L1" s="2465"/>
      <c r="M1" s="2465"/>
    </row>
    <row r="2" spans="2:14" ht="15" x14ac:dyDescent="0.2">
      <c r="B2" s="2462">
        <f>'Single Audit Cover'!E7</f>
        <v>3068003026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2105</v>
      </c>
      <c r="C11" s="1338"/>
      <c r="D11" s="1339"/>
      <c r="E11" s="1340"/>
      <c r="F11" s="1340"/>
      <c r="G11" s="1340"/>
      <c r="H11" s="1340"/>
      <c r="I11" s="1340"/>
      <c r="J11" s="1340"/>
      <c r="K11" s="1340"/>
      <c r="L11" s="1340" t="s">
        <v>1231</v>
      </c>
      <c r="M11" s="1340"/>
    </row>
    <row r="12" spans="2:14" ht="20.100000000000001" customHeight="1" x14ac:dyDescent="0.2">
      <c r="B12" s="1337" t="s">
        <v>2106</v>
      </c>
      <c r="C12" s="1341">
        <v>93.778000000000006</v>
      </c>
      <c r="D12" s="1342" t="s">
        <v>2107</v>
      </c>
      <c r="E12" s="1343"/>
      <c r="F12" s="1343">
        <v>16986</v>
      </c>
      <c r="G12" s="1343"/>
      <c r="H12" s="1343"/>
      <c r="I12" s="1343">
        <v>16986</v>
      </c>
      <c r="J12" s="1343"/>
      <c r="K12" s="1343"/>
      <c r="L12" s="1340">
        <f t="shared" ref="L12:L22" si="0">+G12+I12+K12</f>
        <v>16986</v>
      </c>
      <c r="M12" s="1343" t="s">
        <v>2102</v>
      </c>
    </row>
    <row r="13" spans="2:14" ht="20.100000000000001" customHeight="1" x14ac:dyDescent="0.2">
      <c r="B13" s="1337"/>
      <c r="C13" s="1341"/>
      <c r="D13" s="1342"/>
      <c r="E13" s="1343"/>
      <c r="F13" s="1343"/>
      <c r="G13" s="1343"/>
      <c r="H13" s="1343"/>
      <c r="I13" s="1343"/>
      <c r="J13" s="1343"/>
      <c r="K13" s="1343"/>
      <c r="L13" s="1340" t="s">
        <v>1231</v>
      </c>
      <c r="M13" s="1343"/>
    </row>
    <row r="14" spans="2:14" ht="20.100000000000001" customHeight="1" x14ac:dyDescent="0.2">
      <c r="B14" s="1337" t="s">
        <v>2108</v>
      </c>
      <c r="C14" s="1341"/>
      <c r="D14" s="1342"/>
      <c r="E14" s="1343"/>
      <c r="F14" s="1343"/>
      <c r="G14" s="1343"/>
      <c r="H14" s="1343"/>
      <c r="I14" s="1343"/>
      <c r="J14" s="1343"/>
      <c r="K14" s="1343"/>
      <c r="L14" s="1340" t="s">
        <v>1231</v>
      </c>
      <c r="M14" s="1343"/>
    </row>
    <row r="15" spans="2:14" ht="20.100000000000001" customHeight="1" x14ac:dyDescent="0.2">
      <c r="B15" s="1337" t="s">
        <v>2109</v>
      </c>
      <c r="C15" s="1341">
        <v>84.01</v>
      </c>
      <c r="D15" s="1342" t="s">
        <v>2111</v>
      </c>
      <c r="E15" s="1343"/>
      <c r="F15" s="1343">
        <v>347312</v>
      </c>
      <c r="G15" s="1343"/>
      <c r="H15" s="1343"/>
      <c r="I15" s="1343">
        <v>347312</v>
      </c>
      <c r="J15" s="1343"/>
      <c r="K15" s="1343"/>
      <c r="L15" s="1340">
        <f t="shared" si="0"/>
        <v>347312</v>
      </c>
      <c r="M15" s="1343">
        <v>399067</v>
      </c>
    </row>
    <row r="16" spans="2:14" ht="20.100000000000001" customHeight="1" x14ac:dyDescent="0.2">
      <c r="B16" s="1337"/>
      <c r="C16" s="1341"/>
      <c r="D16" s="1342"/>
      <c r="E16" s="1343"/>
      <c r="F16" s="1343"/>
      <c r="G16" s="1343"/>
      <c r="H16" s="1343"/>
      <c r="I16" s="1343"/>
      <c r="J16" s="1343"/>
      <c r="K16" s="1343"/>
      <c r="L16" s="1340" t="s">
        <v>1231</v>
      </c>
      <c r="M16" s="1343"/>
    </row>
    <row r="17" spans="2:14" ht="20.100000000000001" customHeight="1" x14ac:dyDescent="0.2">
      <c r="B17" s="1337" t="s">
        <v>2110</v>
      </c>
      <c r="C17" s="1341">
        <v>84.367000000000004</v>
      </c>
      <c r="D17" s="1342" t="s">
        <v>2112</v>
      </c>
      <c r="E17" s="1343"/>
      <c r="F17" s="1343">
        <v>76037</v>
      </c>
      <c r="G17" s="1343"/>
      <c r="H17" s="1343"/>
      <c r="I17" s="1343">
        <v>76037</v>
      </c>
      <c r="J17" s="1343"/>
      <c r="K17" s="1343"/>
      <c r="L17" s="1340">
        <f t="shared" si="0"/>
        <v>76037</v>
      </c>
      <c r="M17" s="1343">
        <v>79856</v>
      </c>
    </row>
    <row r="18" spans="2:14" ht="20.100000000000001" customHeight="1" x14ac:dyDescent="0.2">
      <c r="B18" s="1337"/>
      <c r="C18" s="1341"/>
      <c r="D18" s="1342"/>
      <c r="E18" s="1343"/>
      <c r="F18" s="1343"/>
      <c r="G18" s="1343"/>
      <c r="H18" s="1343"/>
      <c r="I18" s="1343"/>
      <c r="J18" s="1343"/>
      <c r="K18" s="1343"/>
      <c r="L18" s="1340" t="s">
        <v>1231</v>
      </c>
      <c r="M18" s="1343"/>
    </row>
    <row r="19" spans="2:14" ht="20.100000000000001" customHeight="1" x14ac:dyDescent="0.2">
      <c r="B19" s="1337" t="s">
        <v>2113</v>
      </c>
      <c r="C19" s="1341"/>
      <c r="D19" s="1342"/>
      <c r="E19" s="1343"/>
      <c r="F19" s="1343">
        <f>+F15+F17</f>
        <v>423349</v>
      </c>
      <c r="G19" s="1343"/>
      <c r="H19" s="1343"/>
      <c r="I19" s="1343">
        <f>+I15+I17</f>
        <v>423349</v>
      </c>
      <c r="J19" s="1343"/>
      <c r="K19" s="1343"/>
      <c r="L19" s="1340">
        <f t="shared" si="0"/>
        <v>423349</v>
      </c>
      <c r="M19" s="1343"/>
    </row>
    <row r="20" spans="2:14" ht="20.100000000000001" customHeight="1" x14ac:dyDescent="0.2">
      <c r="B20" s="1337"/>
      <c r="C20" s="1341"/>
      <c r="D20" s="1342"/>
      <c r="E20" s="1343"/>
      <c r="F20" s="1343"/>
      <c r="G20" s="1343"/>
      <c r="H20" s="1343"/>
      <c r="I20" s="1343"/>
      <c r="J20" s="1343"/>
      <c r="K20" s="1343"/>
      <c r="L20" s="1340" t="s">
        <v>1231</v>
      </c>
      <c r="M20" s="1343"/>
    </row>
    <row r="21" spans="2:14" ht="20.100000000000001" customHeight="1" x14ac:dyDescent="0.2">
      <c r="B21" s="1337" t="s">
        <v>2114</v>
      </c>
      <c r="C21" s="1341"/>
      <c r="D21" s="1342"/>
      <c r="E21" s="1343"/>
      <c r="F21" s="1343"/>
      <c r="G21" s="1343"/>
      <c r="H21" s="1343"/>
      <c r="I21" s="1343"/>
      <c r="J21" s="1343"/>
      <c r="K21" s="1343"/>
      <c r="L21" s="1340" t="s">
        <v>1231</v>
      </c>
      <c r="M21" s="1343"/>
    </row>
    <row r="22" spans="2:14" ht="20.100000000000001" customHeight="1" x14ac:dyDescent="0.2">
      <c r="B22" s="1337" t="s">
        <v>2115</v>
      </c>
      <c r="C22" s="1341">
        <v>84.048000000000002</v>
      </c>
      <c r="D22" s="1342" t="s">
        <v>2116</v>
      </c>
      <c r="E22" s="1343"/>
      <c r="F22" s="1343">
        <v>20011</v>
      </c>
      <c r="G22" s="1343"/>
      <c r="H22" s="1343"/>
      <c r="I22" s="1343">
        <v>20011</v>
      </c>
      <c r="J22" s="1343"/>
      <c r="K22" s="1343"/>
      <c r="L22" s="1340">
        <f t="shared" si="0"/>
        <v>20011</v>
      </c>
      <c r="M22" s="1343">
        <v>21000</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2117</v>
      </c>
      <c r="C24" s="1341"/>
      <c r="D24" s="1342"/>
      <c r="E24" s="1343"/>
      <c r="F24" s="1343"/>
      <c r="G24" s="1343"/>
      <c r="H24" s="1343"/>
      <c r="I24" s="1343"/>
      <c r="J24" s="1343"/>
      <c r="K24" s="1343"/>
      <c r="L24" s="1340"/>
      <c r="M24" s="1343"/>
    </row>
    <row r="25" spans="2:14" ht="20.100000000000001" customHeight="1" x14ac:dyDescent="0.2">
      <c r="B25" s="1337" t="s">
        <v>2118</v>
      </c>
      <c r="C25" s="1341">
        <v>45.31</v>
      </c>
      <c r="D25" s="1342" t="s">
        <v>2119</v>
      </c>
      <c r="E25" s="1343"/>
      <c r="F25" s="1343">
        <v>4999</v>
      </c>
      <c r="G25" s="1343"/>
      <c r="H25" s="1343"/>
      <c r="I25" s="1343">
        <v>4999</v>
      </c>
      <c r="J25" s="1343"/>
      <c r="K25" s="1343"/>
      <c r="L25" s="1340">
        <f>+I25</f>
        <v>4999</v>
      </c>
      <c r="M25" s="1343">
        <v>5000</v>
      </c>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W31" sqref="W3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Hillsboro CUSD 3</v>
      </c>
      <c r="C1" s="2465"/>
      <c r="D1" s="2465"/>
      <c r="E1" s="2465"/>
      <c r="F1" s="2465"/>
      <c r="G1" s="2465"/>
      <c r="H1" s="2465"/>
      <c r="I1" s="2465"/>
      <c r="J1" s="2465"/>
      <c r="K1" s="2465"/>
      <c r="L1" s="2465"/>
      <c r="M1" s="2465"/>
    </row>
    <row r="2" spans="2:14" ht="15" x14ac:dyDescent="0.2">
      <c r="B2" s="2462">
        <f>'Single Audit Cover'!E7</f>
        <v>3068003026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2120</v>
      </c>
      <c r="C11" s="1338"/>
      <c r="D11" s="1339"/>
      <c r="E11" s="1340"/>
      <c r="F11" s="1340">
        <f>+' SEFA (2)'!F22+' SEFA (3)'!F12+' SEFA (3)'!F19+' SEFA (3)'!F22+' SEFA (3)'!F25</f>
        <v>882766</v>
      </c>
      <c r="G11" s="1340"/>
      <c r="H11" s="1340"/>
      <c r="I11" s="1340">
        <f>+' SEFA (2)'!I22+' SEFA (3)'!I12+' SEFA (3)'!I19+' SEFA (3)'!I22+' SEFA (3)'!I25</f>
        <v>882766</v>
      </c>
      <c r="J11" s="1340"/>
      <c r="K11" s="1340"/>
      <c r="L11" s="1340">
        <f>+G11+I11+K11</f>
        <v>882766</v>
      </c>
      <c r="M11" s="1340"/>
    </row>
    <row r="12" spans="2:14" ht="20.100000000000001" customHeight="1" x14ac:dyDescent="0.2">
      <c r="B12" s="1337"/>
      <c r="C12" s="1341"/>
      <c r="D12" s="1342"/>
      <c r="E12" s="1343"/>
      <c r="F12" s="1343"/>
      <c r="G12" s="1343"/>
      <c r="H12" s="1343"/>
      <c r="I12" s="1343"/>
      <c r="J12" s="1343"/>
      <c r="K12" s="1343"/>
      <c r="L12" s="1340"/>
      <c r="M12" s="1343"/>
    </row>
    <row r="13" spans="2:14" ht="20.100000000000001" customHeight="1" x14ac:dyDescent="0.2">
      <c r="B13" s="1337" t="s">
        <v>2121</v>
      </c>
      <c r="C13" s="1341"/>
      <c r="D13" s="1342"/>
      <c r="E13" s="1343"/>
      <c r="F13" s="1343"/>
      <c r="G13" s="1343"/>
      <c r="H13" s="1343"/>
      <c r="I13" s="1343"/>
      <c r="J13" s="1343"/>
      <c r="K13" s="1343"/>
      <c r="L13" s="1340"/>
      <c r="M13" s="1343"/>
    </row>
    <row r="14" spans="2:14" ht="20.100000000000001" customHeight="1" x14ac:dyDescent="0.2">
      <c r="B14" s="1337" t="s">
        <v>2141</v>
      </c>
      <c r="C14" s="1341">
        <v>10.555</v>
      </c>
      <c r="D14" s="1342"/>
      <c r="E14" s="1343"/>
      <c r="F14" s="1343">
        <v>42496</v>
      </c>
      <c r="G14" s="1343"/>
      <c r="H14" s="1343"/>
      <c r="I14" s="1343">
        <v>42496</v>
      </c>
      <c r="J14" s="1343"/>
      <c r="K14" s="1343"/>
      <c r="L14" s="1340">
        <f t="shared" ref="L14:L18" si="0">+G14+I14+K14</f>
        <v>42496</v>
      </c>
      <c r="M14" s="1343"/>
    </row>
    <row r="15" spans="2:14" ht="20.100000000000001" customHeight="1" x14ac:dyDescent="0.2">
      <c r="B15" s="1337" t="s">
        <v>2140</v>
      </c>
      <c r="C15" s="1341">
        <v>10.555</v>
      </c>
      <c r="D15" s="1342"/>
      <c r="E15" s="1343"/>
      <c r="F15" s="1343">
        <v>12832</v>
      </c>
      <c r="G15" s="1343"/>
      <c r="H15" s="1343"/>
      <c r="I15" s="1343">
        <v>12832</v>
      </c>
      <c r="J15" s="1343"/>
      <c r="K15" s="1343"/>
      <c r="L15" s="1340">
        <f t="shared" si="0"/>
        <v>12832</v>
      </c>
      <c r="M15" s="1343"/>
    </row>
    <row r="16" spans="2:14" ht="20.100000000000001" customHeight="1" x14ac:dyDescent="0.2">
      <c r="B16" s="1337" t="s">
        <v>2122</v>
      </c>
      <c r="C16" s="1341"/>
      <c r="D16" s="1342"/>
      <c r="E16" s="1343"/>
      <c r="F16" s="1343">
        <f>+F14+F15</f>
        <v>55328</v>
      </c>
      <c r="G16" s="1343"/>
      <c r="H16" s="1343"/>
      <c r="I16" s="1343">
        <f>+I14+I15</f>
        <v>55328</v>
      </c>
      <c r="J16" s="1343"/>
      <c r="K16" s="1343"/>
      <c r="L16" s="1340">
        <f t="shared" si="0"/>
        <v>55328</v>
      </c>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2123</v>
      </c>
      <c r="C18" s="1341"/>
      <c r="D18" s="1342"/>
      <c r="E18" s="1343"/>
      <c r="F18" s="1343">
        <f>+F11+F16</f>
        <v>938094</v>
      </c>
      <c r="G18" s="1343"/>
      <c r="H18" s="1343"/>
      <c r="I18" s="1343">
        <f>+I11+I16</f>
        <v>938094</v>
      </c>
      <c r="J18" s="1343"/>
      <c r="K18" s="1343"/>
      <c r="L18" s="1340">
        <f t="shared" si="0"/>
        <v>938094</v>
      </c>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2098</v>
      </c>
      <c r="C24" s="1341"/>
      <c r="D24" s="1342"/>
      <c r="E24" s="1343"/>
      <c r="F24" s="1343"/>
      <c r="G24" s="1343"/>
      <c r="H24" s="1343"/>
      <c r="I24" s="1343">
        <f>+' SEFA (2)'!I16+' SEFA'!I16</f>
        <v>448383</v>
      </c>
      <c r="J24" s="1343"/>
      <c r="K24" s="1343"/>
      <c r="L24" s="1340"/>
      <c r="M24" s="1343"/>
    </row>
    <row r="25" spans="2:14" ht="20.100000000000001" customHeight="1" x14ac:dyDescent="0.2">
      <c r="B25" s="1337" t="s">
        <v>2136</v>
      </c>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 top="0.5" bottom="0.5" header="0.25" footer="0.25"/>
  <pageSetup scale="80"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W31" sqref="W3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Hillsboro CUSD 3</v>
      </c>
      <c r="C1" s="2480"/>
      <c r="D1" s="2480"/>
      <c r="E1" s="2480"/>
      <c r="F1" s="2480"/>
      <c r="G1" s="2480"/>
      <c r="H1" s="2480"/>
      <c r="I1" s="2480"/>
      <c r="J1" s="1422"/>
    </row>
    <row r="2" spans="2:10" s="317" customFormat="1" ht="12.75" customHeight="1" x14ac:dyDescent="0.2">
      <c r="B2" s="2481">
        <f>'Single Audit Cover'!E7</f>
        <v>3068003026</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t="s">
        <v>2124</v>
      </c>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2090</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2090</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t="s">
        <v>2090</v>
      </c>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2090</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2090</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t="s">
        <v>2124</v>
      </c>
      <c r="E29" s="2486"/>
      <c r="F29" s="2486"/>
      <c r="G29" s="2486"/>
      <c r="H29" s="2486"/>
      <c r="I29" s="2486"/>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2090</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7" t="s">
        <v>1851</v>
      </c>
      <c r="D37" s="2488"/>
      <c r="E37" s="2488"/>
      <c r="F37" s="2489"/>
      <c r="G37" s="2487" t="s">
        <v>1674</v>
      </c>
      <c r="H37" s="2488"/>
      <c r="I37" s="2489"/>
    </row>
    <row r="38" spans="2:9" ht="16.5" customHeight="1" x14ac:dyDescent="0.2">
      <c r="B38" s="1444" t="s">
        <v>2125</v>
      </c>
      <c r="C38" s="2475" t="s">
        <v>2126</v>
      </c>
      <c r="D38" s="2476"/>
      <c r="E38" s="2476"/>
      <c r="F38" s="2477"/>
      <c r="G38" s="2490">
        <v>448383</v>
      </c>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448383</v>
      </c>
      <c r="H43" s="2471"/>
      <c r="I43" s="2471"/>
    </row>
    <row r="44" spans="2:9" ht="12.75" customHeight="1" x14ac:dyDescent="0.2"/>
    <row r="45" spans="2:9" ht="12.75" customHeight="1" x14ac:dyDescent="0.2">
      <c r="B45" s="1435" t="s">
        <v>1948</v>
      </c>
      <c r="D45" s="2472">
        <v>938094</v>
      </c>
      <c r="E45" s="2473"/>
    </row>
    <row r="46" spans="2:9" ht="5.25" customHeight="1" x14ac:dyDescent="0.2">
      <c r="B46" s="1445"/>
      <c r="D46" s="1446"/>
      <c r="E46" s="1447"/>
    </row>
    <row r="47" spans="2:9" ht="12.75" customHeight="1" x14ac:dyDescent="0.2">
      <c r="B47" s="1300" t="s">
        <v>1676</v>
      </c>
      <c r="C47" s="1300"/>
      <c r="D47" s="1448">
        <f>+G43/D45</f>
        <v>0.4779723567147855</v>
      </c>
      <c r="E47" s="1449"/>
      <c r="F47" s="1450"/>
      <c r="I47" s="1451"/>
    </row>
    <row r="48" spans="2:9" ht="9.9499999999999993" customHeight="1" x14ac:dyDescent="0.2"/>
    <row r="49" spans="1:9" x14ac:dyDescent="0.2">
      <c r="B49" s="1368" t="s">
        <v>1335</v>
      </c>
      <c r="C49" s="1282"/>
      <c r="D49" s="1282"/>
      <c r="E49" s="2474">
        <v>750000</v>
      </c>
      <c r="F49" s="2474"/>
      <c r="G49" s="2474"/>
      <c r="H49" s="322"/>
    </row>
    <row r="51" spans="1:9" ht="13.5" customHeight="1" x14ac:dyDescent="0.2">
      <c r="B51" s="1368" t="s">
        <v>1334</v>
      </c>
      <c r="C51" s="1282"/>
      <c r="E51" s="1438"/>
      <c r="F51" s="1300" t="s">
        <v>940</v>
      </c>
      <c r="G51" s="1438" t="s">
        <v>2090</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W31" sqref="W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Hillsboro CUSD 3</v>
      </c>
      <c r="C1" s="2479"/>
      <c r="D1" s="2479"/>
      <c r="E1" s="2479"/>
      <c r="F1" s="2479"/>
      <c r="G1" s="2479"/>
      <c r="H1" s="2479"/>
      <c r="I1" s="2479"/>
      <c r="J1" s="2479"/>
      <c r="K1" s="2479"/>
      <c r="L1" s="1374"/>
      <c r="M1" s="1374"/>
    </row>
    <row r="2" spans="1:13" ht="12" customHeight="1" x14ac:dyDescent="0.2">
      <c r="B2" s="2481">
        <f>'Single Audit Cover'!E7</f>
        <v>3068003026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v>1</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2147</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2148</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8" t="s">
        <v>2142</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2127</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2143</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2128</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3" t="s">
        <v>2129</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W31" sqref="W3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Hillsboro CUSD 3</v>
      </c>
      <c r="C1" s="2502"/>
      <c r="D1" s="2502"/>
      <c r="E1" s="2502"/>
      <c r="F1" s="2502"/>
      <c r="G1" s="2502"/>
      <c r="H1" s="2502"/>
      <c r="I1" s="2502"/>
      <c r="J1" s="2502"/>
      <c r="K1" s="2502"/>
      <c r="L1" s="1465"/>
    </row>
    <row r="2" spans="1:12" ht="12.75" customHeight="1" x14ac:dyDescent="0.2">
      <c r="B2" s="2503">
        <f>'Single Audit Cover'!E7</f>
        <v>3068003026</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W31" sqref="W3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Hillsboro CUSD 3</v>
      </c>
      <c r="C1" s="2479"/>
      <c r="D1" s="2479"/>
      <c r="E1" s="1491"/>
    </row>
    <row r="2" spans="2:5" s="1282" customFormat="1" ht="12.75" customHeight="1" x14ac:dyDescent="0.2">
      <c r="B2" s="2481">
        <f>'Single Audit Cover'!E7</f>
        <v>3068003026</v>
      </c>
      <c r="C2" s="2481"/>
      <c r="D2" s="2481"/>
      <c r="E2" s="1492"/>
    </row>
    <row r="3" spans="2:5" ht="12.75" customHeight="1" x14ac:dyDescent="0.2">
      <c r="B3" s="2495" t="s">
        <v>1866</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2130</v>
      </c>
      <c r="C8" s="324" t="s">
        <v>2131</v>
      </c>
      <c r="D8" s="324" t="s">
        <v>2145</v>
      </c>
      <c r="E8" s="324"/>
    </row>
    <row r="9" spans="2:5" ht="13.5" customHeight="1" x14ac:dyDescent="0.2">
      <c r="B9" s="1497"/>
      <c r="C9" s="323"/>
      <c r="D9" s="323" t="s">
        <v>2146</v>
      </c>
      <c r="E9" s="323"/>
    </row>
    <row r="10" spans="2:5" ht="13.5" customHeight="1" x14ac:dyDescent="0.2">
      <c r="B10" s="1496"/>
      <c r="C10" s="323"/>
      <c r="D10" s="323" t="s">
        <v>2132</v>
      </c>
      <c r="E10" s="323"/>
    </row>
    <row r="11" spans="2:5" ht="13.5" customHeight="1" x14ac:dyDescent="0.2">
      <c r="B11" s="1496"/>
      <c r="C11" s="323"/>
      <c r="D11" s="323" t="s">
        <v>2144</v>
      </c>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176922294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2.4E-2</v>
      </c>
      <c r="E10" s="356" t="s">
        <v>1062</v>
      </c>
      <c r="F10" s="355">
        <v>5.0000000000000001E-3</v>
      </c>
      <c r="G10" s="356" t="s">
        <v>1062</v>
      </c>
      <c r="H10" s="355">
        <v>5.0000000000000001E-4</v>
      </c>
      <c r="I10" s="356" t="s">
        <v>1063</v>
      </c>
      <c r="J10" s="1754">
        <f>ROUND(D10+F10+H10,5)</f>
        <v>2.9499999999999998E-2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15778200</v>
      </c>
      <c r="E16" s="356"/>
      <c r="F16" s="1755">
        <f>SUM('Acct Summary 7-8'!C17,'Acct Summary 7-8'!D17,'Acct Summary 7-8'!F17)</f>
        <v>15864777</v>
      </c>
      <c r="G16" s="356"/>
      <c r="H16" s="1755">
        <f>SUM(D16-F16)</f>
        <v>-86577</v>
      </c>
      <c r="I16" s="222"/>
      <c r="J16" s="1755">
        <f>SUM('Acct Summary 7-8'!C81,'Acct Summary 7-8'!D81,'Acct Summary 7-8'!F81,'Acct Summary 7-8'!I81)</f>
        <v>3637387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518822</v>
      </c>
      <c r="E24" s="356" t="s">
        <v>1063</v>
      </c>
      <c r="F24" s="1756">
        <f>SUM(D22,F22,H22,J22,L22, D24)</f>
        <v>518822</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24415276.572000001</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6617000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E1" zoomScale="110" zoomScaleNormal="110" workbookViewId="0">
      <selection activeCell="W31" sqref="W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Hillsboro CUSD 3</v>
      </c>
      <c r="E7" s="391"/>
      <c r="G7" s="252"/>
      <c r="H7" s="387"/>
      <c r="I7" s="387"/>
      <c r="J7" s="387"/>
      <c r="K7" s="387"/>
      <c r="L7" s="329"/>
      <c r="M7" s="329"/>
      <c r="N7" s="329"/>
      <c r="O7" s="329"/>
      <c r="P7" s="329"/>
    </row>
    <row r="8" spans="1:18" ht="12.75" x14ac:dyDescent="0.2">
      <c r="A8" s="329"/>
      <c r="B8" s="329"/>
      <c r="C8" s="389" t="s">
        <v>1187</v>
      </c>
      <c r="D8" s="392">
        <f>COVER!A13</f>
        <v>3068003026</v>
      </c>
      <c r="E8" s="393"/>
      <c r="G8" s="329"/>
      <c r="H8" s="329"/>
      <c r="I8" s="329"/>
      <c r="J8" s="329"/>
      <c r="K8" s="329"/>
      <c r="L8" s="329"/>
      <c r="M8" s="329"/>
      <c r="N8" s="329"/>
      <c r="O8" s="329"/>
      <c r="P8" s="329"/>
    </row>
    <row r="9" spans="1:18" ht="12.75" x14ac:dyDescent="0.2">
      <c r="A9" s="329"/>
      <c r="B9" s="329"/>
      <c r="C9" s="389" t="s">
        <v>737</v>
      </c>
      <c r="D9" s="394" t="str">
        <f>COVER!A15</f>
        <v>Montgomery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3637387</v>
      </c>
      <c r="I12" s="404"/>
      <c r="J12" s="404"/>
      <c r="K12" s="405">
        <f>TRUNC((H12/H13*100000),5)/100000</f>
        <v>0.23053244340000001</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15778200</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15864777</v>
      </c>
      <c r="I17" s="404"/>
      <c r="J17" s="416"/>
      <c r="K17" s="405">
        <f>TRUNC((H17/H18*100000),5)/100000</f>
        <v>1.0054871277999999</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15778200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23.788846899999999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3968895</v>
      </c>
      <c r="I24" s="422"/>
      <c r="J24" s="422"/>
      <c r="K24" s="423">
        <f>TRUNC(((H24/H25*100000)/100000),2)</f>
        <v>90.06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44068.824999999997</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4436326.5220499998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6617000</v>
      </c>
      <c r="I32" s="420"/>
      <c r="J32" s="420"/>
      <c r="K32" s="423">
        <f>TRUNC(100-((((H32/H33*100))*100)/100),2)</f>
        <v>72.89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24415276.572000001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3.0999999999999996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xSplit="2" ySplit="3" topLeftCell="H22" activePane="bottomRight" state="frozen"/>
      <selection activeCell="W31" sqref="W31"/>
      <selection pane="topRight" activeCell="W31" sqref="W31"/>
      <selection pane="bottomLeft" activeCell="W31" sqref="W31"/>
      <selection pane="bottomRight" activeCell="W31" sqref="W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f>1894828+79444</f>
        <v>1974272</v>
      </c>
      <c r="D4" s="466">
        <v>32987</v>
      </c>
      <c r="E4" s="466">
        <v>89560</v>
      </c>
      <c r="F4" s="466">
        <v>288666</v>
      </c>
      <c r="G4" s="466">
        <v>524422</v>
      </c>
      <c r="H4" s="466">
        <v>558652</v>
      </c>
      <c r="I4" s="466">
        <v>1672970</v>
      </c>
      <c r="J4" s="467">
        <v>984250</v>
      </c>
      <c r="K4" s="466">
        <f>104659+3419</f>
        <v>108078</v>
      </c>
      <c r="L4" s="466">
        <v>245523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v>3964202</v>
      </c>
      <c r="D6" s="466">
        <v>795932</v>
      </c>
      <c r="E6" s="466">
        <v>1479949</v>
      </c>
      <c r="F6" s="466">
        <v>318373</v>
      </c>
      <c r="G6" s="471">
        <v>878503</v>
      </c>
      <c r="H6" s="471"/>
      <c r="I6" s="466">
        <v>79594</v>
      </c>
      <c r="J6" s="474">
        <v>872523</v>
      </c>
      <c r="K6" s="471">
        <v>79594</v>
      </c>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f>727752+193235+1750</f>
        <v>922737</v>
      </c>
      <c r="D8" s="467">
        <v>4868</v>
      </c>
      <c r="E8" s="467"/>
      <c r="F8" s="467">
        <v>143659</v>
      </c>
      <c r="G8" s="478"/>
      <c r="H8" s="467">
        <v>302775</v>
      </c>
      <c r="I8" s="474"/>
      <c r="J8" s="474"/>
      <c r="K8" s="479"/>
      <c r="L8" s="480"/>
      <c r="M8" s="468"/>
      <c r="N8" s="469"/>
    </row>
    <row r="9" spans="1:14" ht="13.5" customHeight="1" x14ac:dyDescent="0.2">
      <c r="A9" s="473" t="s">
        <v>288</v>
      </c>
      <c r="B9" s="470">
        <v>160</v>
      </c>
      <c r="C9" s="476">
        <v>14620</v>
      </c>
      <c r="D9" s="467"/>
      <c r="E9" s="467"/>
      <c r="F9" s="467"/>
      <c r="G9" s="467"/>
      <c r="H9" s="478"/>
      <c r="I9" s="467"/>
      <c r="J9" s="467"/>
      <c r="K9" s="467"/>
      <c r="L9" s="467"/>
      <c r="M9" s="468"/>
      <c r="N9" s="469"/>
    </row>
    <row r="10" spans="1:14" ht="13.5" customHeight="1" x14ac:dyDescent="0.2">
      <c r="A10" s="473" t="s">
        <v>1048</v>
      </c>
      <c r="B10" s="470">
        <v>170</v>
      </c>
      <c r="C10" s="465">
        <v>45116</v>
      </c>
      <c r="D10" s="466"/>
      <c r="E10" s="467"/>
      <c r="F10" s="466"/>
      <c r="G10" s="478"/>
      <c r="H10" s="481"/>
      <c r="I10" s="467"/>
      <c r="J10" s="467"/>
      <c r="K10" s="481"/>
      <c r="L10" s="481"/>
      <c r="M10" s="469"/>
      <c r="N10" s="469"/>
    </row>
    <row r="11" spans="1:14" ht="13.5" customHeight="1" x14ac:dyDescent="0.2">
      <c r="A11" s="473" t="s">
        <v>289</v>
      </c>
      <c r="B11" s="470">
        <v>180</v>
      </c>
      <c r="C11" s="476">
        <v>31783</v>
      </c>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6952730</v>
      </c>
      <c r="D13" s="1759">
        <f t="shared" ref="D13:L13" si="0">SUM(D4:D12)</f>
        <v>833787</v>
      </c>
      <c r="E13" s="1759">
        <f t="shared" si="0"/>
        <v>1569509</v>
      </c>
      <c r="F13" s="1759">
        <f t="shared" si="0"/>
        <v>750698</v>
      </c>
      <c r="G13" s="1759">
        <f t="shared" si="0"/>
        <v>1402925</v>
      </c>
      <c r="H13" s="1759">
        <f t="shared" si="0"/>
        <v>861427</v>
      </c>
      <c r="I13" s="1759">
        <f t="shared" si="0"/>
        <v>1752564</v>
      </c>
      <c r="J13" s="1759">
        <f t="shared" si="0"/>
        <v>1856773</v>
      </c>
      <c r="K13" s="1759">
        <f t="shared" si="0"/>
        <v>187672</v>
      </c>
      <c r="L13" s="1759">
        <f t="shared" si="0"/>
        <v>245523</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509730</v>
      </c>
      <c r="N16" s="484"/>
    </row>
    <row r="17" spans="1:14" s="485" customFormat="1" ht="12.75" customHeight="1" x14ac:dyDescent="0.2">
      <c r="A17" s="482" t="s">
        <v>1470</v>
      </c>
      <c r="B17" s="483">
        <v>230</v>
      </c>
      <c r="C17" s="477"/>
      <c r="D17" s="477"/>
      <c r="E17" s="477"/>
      <c r="F17" s="477"/>
      <c r="G17" s="477"/>
      <c r="H17" s="477"/>
      <c r="I17" s="477"/>
      <c r="J17" s="477"/>
      <c r="K17" s="477"/>
      <c r="L17" s="477"/>
      <c r="M17" s="467">
        <f>16555887-6744893</f>
        <v>9810994</v>
      </c>
      <c r="N17" s="484"/>
    </row>
    <row r="18" spans="1:14" s="485" customFormat="1" ht="12.75" customHeight="1" x14ac:dyDescent="0.2">
      <c r="A18" s="482" t="s">
        <v>1471</v>
      </c>
      <c r="B18" s="483">
        <v>240</v>
      </c>
      <c r="C18" s="477"/>
      <c r="D18" s="477"/>
      <c r="E18" s="477"/>
      <c r="F18" s="477"/>
      <c r="G18" s="477"/>
      <c r="H18" s="477"/>
      <c r="I18" s="477"/>
      <c r="J18" s="477"/>
      <c r="K18" s="477"/>
      <c r="L18" s="477"/>
      <c r="M18" s="467">
        <f>3885830-2402502</f>
        <v>1483328</v>
      </c>
      <c r="N18" s="484"/>
    </row>
    <row r="19" spans="1:14" s="485" customFormat="1" ht="12.75" customHeight="1" x14ac:dyDescent="0.2">
      <c r="A19" s="482" t="s">
        <v>1472</v>
      </c>
      <c r="B19" s="483">
        <v>250</v>
      </c>
      <c r="C19" s="477"/>
      <c r="D19" s="477"/>
      <c r="E19" s="477"/>
      <c r="F19" s="477"/>
      <c r="G19" s="477"/>
      <c r="H19" s="477"/>
      <c r="I19" s="477"/>
      <c r="J19" s="477"/>
      <c r="K19" s="477"/>
      <c r="L19" s="477"/>
      <c r="M19" s="467">
        <f>638502+2766518+273974-535440-2336309-175506</f>
        <v>631739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89560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6527440</v>
      </c>
    </row>
    <row r="23" spans="1:14" ht="13.5" customHeight="1" thickBot="1" x14ac:dyDescent="0.25">
      <c r="A23" s="1758" t="s">
        <v>664</v>
      </c>
      <c r="B23" s="1763"/>
      <c r="C23" s="468"/>
      <c r="D23" s="468"/>
      <c r="E23" s="468"/>
      <c r="F23" s="468"/>
      <c r="G23" s="468"/>
      <c r="H23" s="468"/>
      <c r="I23" s="468"/>
      <c r="J23" s="468"/>
      <c r="K23" s="468"/>
      <c r="L23" s="468"/>
      <c r="M23" s="1710">
        <f>SUM(M15:M22)</f>
        <v>12435791</v>
      </c>
      <c r="N23" s="1710">
        <f>SUM(N21:N22)</f>
        <v>6617000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20907+1880+3354</f>
        <v>26141</v>
      </c>
      <c r="D27" s="467">
        <v>36572</v>
      </c>
      <c r="E27" s="467"/>
      <c r="F27" s="467">
        <v>9378</v>
      </c>
      <c r="G27" s="467"/>
      <c r="H27" s="467">
        <v>20331</v>
      </c>
      <c r="I27" s="467"/>
      <c r="J27" s="467">
        <v>2754</v>
      </c>
      <c r="K27" s="467">
        <v>17489</v>
      </c>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989053</v>
      </c>
      <c r="D30" s="474">
        <v>13342</v>
      </c>
      <c r="E30" s="467"/>
      <c r="F30" s="467">
        <v>1043</v>
      </c>
      <c r="G30" s="467"/>
      <c r="H30" s="467"/>
      <c r="I30" s="467"/>
      <c r="J30" s="467">
        <v>5597</v>
      </c>
      <c r="K30" s="478"/>
      <c r="L30" s="468"/>
      <c r="M30" s="468"/>
      <c r="N30" s="468"/>
    </row>
    <row r="31" spans="1:14" ht="13.5" customHeight="1" x14ac:dyDescent="0.2">
      <c r="A31" s="473" t="s">
        <v>672</v>
      </c>
      <c r="B31" s="470">
        <v>480</v>
      </c>
      <c r="C31" s="466">
        <v>918</v>
      </c>
      <c r="D31" s="467"/>
      <c r="E31" s="467"/>
      <c r="F31" s="466"/>
      <c r="G31" s="467"/>
      <c r="H31" s="467"/>
      <c r="I31" s="467"/>
      <c r="J31" s="467"/>
      <c r="K31" s="467"/>
      <c r="L31" s="468"/>
      <c r="M31" s="468"/>
      <c r="N31" s="468"/>
    </row>
    <row r="32" spans="1:14" ht="13.5" customHeight="1" x14ac:dyDescent="0.2">
      <c r="A32" s="490" t="s">
        <v>673</v>
      </c>
      <c r="B32" s="491">
        <v>490</v>
      </c>
      <c r="C32" s="492">
        <f>3964202+274185</f>
        <v>4238387</v>
      </c>
      <c r="D32" s="492">
        <v>795932</v>
      </c>
      <c r="E32" s="474">
        <v>1479949</v>
      </c>
      <c r="F32" s="474">
        <f>318373+143659</f>
        <v>462032</v>
      </c>
      <c r="G32" s="474">
        <v>878503</v>
      </c>
      <c r="H32" s="474">
        <v>108853</v>
      </c>
      <c r="I32" s="474">
        <v>79594</v>
      </c>
      <c r="J32" s="474">
        <v>872523</v>
      </c>
      <c r="K32" s="479">
        <v>79594</v>
      </c>
      <c r="L32" s="468"/>
      <c r="M32" s="468"/>
      <c r="N32" s="468"/>
    </row>
    <row r="33" spans="1:14" ht="13.5" customHeight="1" x14ac:dyDescent="0.2">
      <c r="A33" s="493" t="s">
        <v>321</v>
      </c>
      <c r="B33" s="491">
        <v>493</v>
      </c>
      <c r="C33" s="467"/>
      <c r="D33" s="467"/>
      <c r="E33" s="467"/>
      <c r="F33" s="467"/>
      <c r="G33" s="467"/>
      <c r="H33" s="467"/>
      <c r="I33" s="467"/>
      <c r="J33" s="467"/>
      <c r="K33" s="467"/>
      <c r="L33" s="467">
        <v>245523</v>
      </c>
      <c r="M33" s="468"/>
      <c r="N33" s="469"/>
    </row>
    <row r="34" spans="1:14" ht="13.5" customHeight="1" thickBot="1" x14ac:dyDescent="0.25">
      <c r="A34" s="1760" t="s">
        <v>675</v>
      </c>
      <c r="B34" s="1761"/>
      <c r="C34" s="1762">
        <f>SUM(C25:C33)</f>
        <v>5254499</v>
      </c>
      <c r="D34" s="1762">
        <f t="shared" ref="D34:K34" si="1">SUM(D25:D33)</f>
        <v>845846</v>
      </c>
      <c r="E34" s="1762">
        <f t="shared" si="1"/>
        <v>1479949</v>
      </c>
      <c r="F34" s="1762">
        <f t="shared" si="1"/>
        <v>472453</v>
      </c>
      <c r="G34" s="1762">
        <f t="shared" si="1"/>
        <v>878503</v>
      </c>
      <c r="H34" s="1762">
        <f t="shared" si="1"/>
        <v>129184</v>
      </c>
      <c r="I34" s="1762">
        <f t="shared" si="1"/>
        <v>79594</v>
      </c>
      <c r="J34" s="1762">
        <f t="shared" si="1"/>
        <v>880874</v>
      </c>
      <c r="K34" s="1762">
        <f t="shared" si="1"/>
        <v>97083</v>
      </c>
      <c r="L34" s="1743">
        <f>SUM(L33)</f>
        <v>245523</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6617000</v>
      </c>
    </row>
    <row r="37" spans="1:14" ht="13.5" thickBot="1" x14ac:dyDescent="0.25">
      <c r="A37" s="1758" t="s">
        <v>674</v>
      </c>
      <c r="B37" s="1763"/>
      <c r="C37" s="477"/>
      <c r="D37" s="477"/>
      <c r="E37" s="477"/>
      <c r="F37" s="477"/>
      <c r="G37" s="477"/>
      <c r="H37" s="477"/>
      <c r="I37" s="477"/>
      <c r="J37" s="477"/>
      <c r="K37" s="477"/>
      <c r="L37" s="480"/>
      <c r="M37" s="468"/>
      <c r="N37" s="1710">
        <f>SUM(N36:N36)</f>
        <v>6617000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1059093+625671+13467</f>
        <v>1698231</v>
      </c>
      <c r="D39" s="466">
        <f>135722+-147781</f>
        <v>-12059</v>
      </c>
      <c r="E39" s="466">
        <v>89560</v>
      </c>
      <c r="F39" s="466">
        <f>255346+22899</f>
        <v>278245</v>
      </c>
      <c r="G39" s="466">
        <f>554941-30519</f>
        <v>524422</v>
      </c>
      <c r="H39" s="466">
        <f>12637+719606</f>
        <v>732243</v>
      </c>
      <c r="I39" s="466">
        <v>1672970</v>
      </c>
      <c r="J39" s="467">
        <v>975899</v>
      </c>
      <c r="K39" s="466">
        <v>90589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12435791</v>
      </c>
      <c r="N40" s="497"/>
    </row>
    <row r="41" spans="1:14" ht="13.5" customHeight="1" thickBot="1" x14ac:dyDescent="0.25">
      <c r="A41" s="1758" t="s">
        <v>676</v>
      </c>
      <c r="B41" s="1728"/>
      <c r="C41" s="1710">
        <f>(SUM(C34,C37,C38,C39))</f>
        <v>6952730</v>
      </c>
      <c r="D41" s="1710">
        <f t="shared" ref="D41:L41" si="2">SUM(D34,D37,D38:D39)</f>
        <v>833787</v>
      </c>
      <c r="E41" s="1710">
        <f t="shared" si="2"/>
        <v>1569509</v>
      </c>
      <c r="F41" s="1710">
        <f t="shared" si="2"/>
        <v>750698</v>
      </c>
      <c r="G41" s="1710">
        <f t="shared" si="2"/>
        <v>1402925</v>
      </c>
      <c r="H41" s="1710">
        <f t="shared" si="2"/>
        <v>861427</v>
      </c>
      <c r="I41" s="1710">
        <f t="shared" si="2"/>
        <v>1752564</v>
      </c>
      <c r="J41" s="1710">
        <f t="shared" si="2"/>
        <v>1856773</v>
      </c>
      <c r="K41" s="1710">
        <f t="shared" si="2"/>
        <v>187672</v>
      </c>
      <c r="L41" s="1710">
        <f t="shared" si="2"/>
        <v>245523</v>
      </c>
      <c r="M41" s="1710">
        <f>SUM(M40)</f>
        <v>12435791</v>
      </c>
      <c r="N41" s="1710">
        <f>SUM(N37)</f>
        <v>6617000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 activePane="bottomLeft" state="frozenSplit"/>
      <selection activeCell="W31" sqref="W31"/>
      <selection pane="bottomLeft" activeCell="W31" sqref="W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6663730</v>
      </c>
      <c r="D4" s="1764">
        <f>'Revenues 9-14'!D109</f>
        <v>1117938</v>
      </c>
      <c r="E4" s="1764">
        <f>'Revenues 9-14'!E109</f>
        <v>1687399</v>
      </c>
      <c r="F4" s="1764">
        <f>'Revenues 9-14'!F109</f>
        <v>443118</v>
      </c>
      <c r="G4" s="1764">
        <f>'Revenues 9-14'!G109</f>
        <v>847394</v>
      </c>
      <c r="H4" s="1764">
        <f>'Revenues 9-14'!H109</f>
        <v>994673</v>
      </c>
      <c r="I4" s="1764">
        <f>'Revenues 9-14'!I109</f>
        <v>100809</v>
      </c>
      <c r="J4" s="1764">
        <f>'Revenues 9-14'!J109</f>
        <v>855000</v>
      </c>
      <c r="K4" s="1764">
        <f>'Revenues 9-14'!K109</f>
        <v>91284</v>
      </c>
      <c r="L4" s="347"/>
    </row>
    <row r="5" spans="1:13" ht="15.75" customHeight="1" x14ac:dyDescent="0.2">
      <c r="A5" s="1598" t="s">
        <v>1580</v>
      </c>
      <c r="B5" s="1599">
        <v>2000</v>
      </c>
      <c r="C5" s="1765">
        <f>'Revenues 9-14'!C114</f>
        <v>271169</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5698102</v>
      </c>
      <c r="D6" s="1765">
        <f>'Revenues 9-14'!D173</f>
        <v>0</v>
      </c>
      <c r="E6" s="1765">
        <f>'Revenues 9-14'!E173</f>
        <v>0</v>
      </c>
      <c r="F6" s="1765">
        <f>'Revenues 9-14'!F173</f>
        <v>553527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929807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13562808</v>
      </c>
      <c r="D8" s="1710">
        <f t="shared" ref="D8:K8" si="0">SUM(D4:D7)</f>
        <v>1117938</v>
      </c>
      <c r="E8" s="1710">
        <f t="shared" si="0"/>
        <v>1687399</v>
      </c>
      <c r="F8" s="1710">
        <f t="shared" si="0"/>
        <v>996645</v>
      </c>
      <c r="G8" s="1710">
        <f t="shared" si="0"/>
        <v>847394</v>
      </c>
      <c r="H8" s="1710">
        <f t="shared" si="0"/>
        <v>994673</v>
      </c>
      <c r="I8" s="1710">
        <f t="shared" si="0"/>
        <v>100809</v>
      </c>
      <c r="J8" s="1710">
        <f t="shared" si="0"/>
        <v>855000</v>
      </c>
      <c r="K8" s="1710">
        <f t="shared" si="0"/>
        <v>91284</v>
      </c>
      <c r="L8" s="347"/>
    </row>
    <row r="9" spans="1:13" ht="15.75" thickTop="1" x14ac:dyDescent="0.2">
      <c r="A9" s="514" t="s">
        <v>1752</v>
      </c>
      <c r="B9" s="515">
        <v>3998</v>
      </c>
      <c r="C9" s="481">
        <v>5441928</v>
      </c>
      <c r="D9" s="516"/>
      <c r="E9" s="481"/>
      <c r="F9" s="481"/>
      <c r="G9" s="517"/>
      <c r="H9" s="481"/>
      <c r="I9" s="509" t="s">
        <v>1231</v>
      </c>
      <c r="J9" s="478"/>
      <c r="K9" s="481"/>
      <c r="L9" s="347"/>
    </row>
    <row r="10" spans="1:13" s="519" customFormat="1" ht="13.5" thickBot="1" x14ac:dyDescent="0.25">
      <c r="A10" s="1758" t="s">
        <v>1235</v>
      </c>
      <c r="B10" s="1731"/>
      <c r="C10" s="1710">
        <f>SUM(C8:C9)</f>
        <v>19004736</v>
      </c>
      <c r="D10" s="1710">
        <f t="shared" ref="D10:K10" si="1">SUM(D8:D9)</f>
        <v>1117938</v>
      </c>
      <c r="E10" s="1710">
        <f t="shared" si="1"/>
        <v>1687399</v>
      </c>
      <c r="F10" s="1710">
        <f t="shared" si="1"/>
        <v>996645</v>
      </c>
      <c r="G10" s="1710">
        <f t="shared" si="1"/>
        <v>847394</v>
      </c>
      <c r="H10" s="1710">
        <f t="shared" si="1"/>
        <v>994673</v>
      </c>
      <c r="I10" s="1710">
        <f t="shared" si="1"/>
        <v>100809</v>
      </c>
      <c r="J10" s="1710">
        <f t="shared" si="1"/>
        <v>855000</v>
      </c>
      <c r="K10" s="1710">
        <f t="shared" si="1"/>
        <v>91284</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8071175</v>
      </c>
      <c r="D12" s="520" t="s">
        <v>1231</v>
      </c>
      <c r="E12" s="468" t="s">
        <v>1231</v>
      </c>
      <c r="F12" s="468" t="s">
        <v>1231</v>
      </c>
      <c r="G12" s="1764">
        <f>'Expenditures 15-22'!K229</f>
        <v>197022</v>
      </c>
      <c r="H12" s="521"/>
      <c r="I12" s="468" t="s">
        <v>1231</v>
      </c>
      <c r="J12" s="468" t="s">
        <v>1231</v>
      </c>
      <c r="K12" s="521" t="s">
        <v>1231</v>
      </c>
      <c r="L12" s="347"/>
    </row>
    <row r="13" spans="1:13" ht="15.75" customHeight="1" x14ac:dyDescent="0.2">
      <c r="A13" s="1598" t="s">
        <v>477</v>
      </c>
      <c r="B13" s="1600">
        <v>2000</v>
      </c>
      <c r="C13" s="1765">
        <f>'Expenditures 15-22'!K74</f>
        <v>2922782</v>
      </c>
      <c r="D13" s="1765">
        <f>'Expenditures 15-22'!K129</f>
        <v>1265719</v>
      </c>
      <c r="E13" s="469" t="s">
        <v>1231</v>
      </c>
      <c r="F13" s="1765">
        <f>'Expenditures 15-22'!K184</f>
        <v>1176141</v>
      </c>
      <c r="G13" s="1765">
        <f>'Expenditures 15-22'!K279</f>
        <v>514946</v>
      </c>
      <c r="H13" s="1765">
        <f>'Expenditures 15-22'!K303</f>
        <v>275067</v>
      </c>
      <c r="I13" s="468" t="s">
        <v>1231</v>
      </c>
      <c r="J13" s="1765">
        <f>'Expenditures 15-22'!K330</f>
        <v>769331</v>
      </c>
      <c r="K13" s="1769">
        <f>'Expenditures 15-22'!K352</f>
        <v>52811</v>
      </c>
      <c r="L13" s="347"/>
    </row>
    <row r="14" spans="1:13" ht="15.75" customHeight="1" x14ac:dyDescent="0.2">
      <c r="A14" s="1598" t="s">
        <v>469</v>
      </c>
      <c r="B14" s="1600">
        <v>3000</v>
      </c>
      <c r="C14" s="1765">
        <f>'Expenditures 15-22'!K75</f>
        <v>601008</v>
      </c>
      <c r="D14" s="1765">
        <f>'Expenditures 15-22'!K130</f>
        <v>0</v>
      </c>
      <c r="E14" s="520" t="s">
        <v>1231</v>
      </c>
      <c r="F14" s="1765">
        <f>'Expenditures 15-22'!K185</f>
        <v>0</v>
      </c>
      <c r="G14" s="1765">
        <f>'Expenditures 15-22'!K280</f>
        <v>89424</v>
      </c>
      <c r="H14" s="512"/>
      <c r="I14" s="468" t="s">
        <v>1231</v>
      </c>
      <c r="J14" s="468" t="s">
        <v>1231</v>
      </c>
      <c r="K14" s="512" t="s">
        <v>1231</v>
      </c>
      <c r="L14" s="347"/>
    </row>
    <row r="15" spans="1:13" ht="15.75" customHeight="1" x14ac:dyDescent="0.2">
      <c r="A15" s="1598" t="s">
        <v>109</v>
      </c>
      <c r="B15" s="1600">
        <v>4000</v>
      </c>
      <c r="C15" s="1765">
        <f>'Expenditures 15-22'!K102</f>
        <v>1680087</v>
      </c>
      <c r="D15" s="1765">
        <f>'Expenditures 15-22'!K139</f>
        <v>0</v>
      </c>
      <c r="E15" s="1765">
        <f>'Expenditures 15-22'!K160</f>
        <v>0</v>
      </c>
      <c r="F15" s="1765">
        <f>'Expenditures 15-22'!K196</f>
        <v>0</v>
      </c>
      <c r="G15" s="1765">
        <f>'Expenditures 15-22'!K285</f>
        <v>76521</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1732759</v>
      </c>
      <c r="F16" s="1765">
        <f>'Expenditures 15-22'!K208</f>
        <v>147865</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13275052</v>
      </c>
      <c r="D17" s="1710">
        <f t="shared" si="2"/>
        <v>1265719</v>
      </c>
      <c r="E17" s="1710">
        <f t="shared" si="2"/>
        <v>1732759</v>
      </c>
      <c r="F17" s="1710">
        <f t="shared" si="2"/>
        <v>1324006</v>
      </c>
      <c r="G17" s="1710">
        <f t="shared" si="2"/>
        <v>877913</v>
      </c>
      <c r="H17" s="1710">
        <f t="shared" si="2"/>
        <v>275067</v>
      </c>
      <c r="I17" s="468"/>
      <c r="J17" s="1710">
        <f>SUM(J12:J16)</f>
        <v>769331</v>
      </c>
      <c r="K17" s="1710">
        <f>SUM(K12:K16)</f>
        <v>52811</v>
      </c>
      <c r="L17" s="347"/>
    </row>
    <row r="18" spans="1:12" ht="15" customHeight="1" thickTop="1" x14ac:dyDescent="0.2">
      <c r="A18" s="1766" t="s">
        <v>1753</v>
      </c>
      <c r="B18" s="1767">
        <v>4180</v>
      </c>
      <c r="C18" s="1764">
        <f t="shared" ref="C18:H18" si="3">C9</f>
        <v>5441928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18716980</v>
      </c>
      <c r="D19" s="1710">
        <f t="shared" si="4"/>
        <v>1265719</v>
      </c>
      <c r="E19" s="1710">
        <f t="shared" si="4"/>
        <v>1732759</v>
      </c>
      <c r="F19" s="1710">
        <f t="shared" si="4"/>
        <v>1324006</v>
      </c>
      <c r="G19" s="1710">
        <f t="shared" si="4"/>
        <v>877913</v>
      </c>
      <c r="H19" s="1710">
        <f t="shared" si="4"/>
        <v>275067</v>
      </c>
      <c r="I19" s="468"/>
      <c r="J19" s="1710">
        <f>SUM(J17:J18)</f>
        <v>769331</v>
      </c>
      <c r="K19" s="1710">
        <f>SUM(K17:K18)</f>
        <v>52811</v>
      </c>
      <c r="L19" s="347"/>
    </row>
    <row r="20" spans="1:12" ht="16.5" thickTop="1" thickBot="1" x14ac:dyDescent="0.25">
      <c r="A20" s="2145" t="s">
        <v>1754</v>
      </c>
      <c r="B20" s="2146"/>
      <c r="C20" s="1768">
        <f>C8-C17</f>
        <v>287756</v>
      </c>
      <c r="D20" s="1768">
        <f t="shared" ref="D20:K20" si="5">D8-D17</f>
        <v>-147781</v>
      </c>
      <c r="E20" s="1768">
        <f t="shared" si="5"/>
        <v>-45360</v>
      </c>
      <c r="F20" s="1768">
        <f t="shared" si="5"/>
        <v>-327361</v>
      </c>
      <c r="G20" s="1768">
        <f t="shared" si="5"/>
        <v>-30519</v>
      </c>
      <c r="H20" s="1768">
        <f t="shared" si="5"/>
        <v>719606</v>
      </c>
      <c r="I20" s="1768">
        <f t="shared" si="5"/>
        <v>100809</v>
      </c>
      <c r="J20" s="1768">
        <f t="shared" si="5"/>
        <v>85669</v>
      </c>
      <c r="K20" s="1768">
        <f t="shared" si="5"/>
        <v>38473</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400000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v>1836000</v>
      </c>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48618</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v>350260</v>
      </c>
      <c r="G43" s="467"/>
      <c r="H43" s="467"/>
      <c r="I43" s="467"/>
      <c r="J43" s="467"/>
      <c r="K43" s="467"/>
      <c r="L43" s="524"/>
    </row>
    <row r="44" spans="1:12" s="485" customFormat="1" ht="13.5" customHeight="1" thickBot="1" x14ac:dyDescent="0.25">
      <c r="A44" s="2159" t="s">
        <v>392</v>
      </c>
      <c r="B44" s="2160"/>
      <c r="C44" s="1725">
        <f>SUM(C24:C43)</f>
        <v>400000</v>
      </c>
      <c r="D44" s="1725">
        <f t="shared" ref="D44:K44" si="6">SUM(D24:D43)</f>
        <v>0</v>
      </c>
      <c r="E44" s="1725">
        <f t="shared" si="6"/>
        <v>1884618</v>
      </c>
      <c r="F44" s="1725">
        <f t="shared" si="6"/>
        <v>350260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400000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v>48618</v>
      </c>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1839831</v>
      </c>
      <c r="F75" s="532"/>
      <c r="G75" s="532"/>
      <c r="H75" s="532"/>
      <c r="I75" s="530"/>
      <c r="J75" s="530"/>
      <c r="K75" s="532"/>
      <c r="L75" s="524"/>
    </row>
    <row r="76" spans="1:12" s="485" customFormat="1" ht="14.25" thickTop="1" thickBot="1" x14ac:dyDescent="0.25">
      <c r="A76" s="2135" t="s">
        <v>460</v>
      </c>
      <c r="B76" s="2136"/>
      <c r="C76" s="1725">
        <f t="shared" ref="C76:K76" si="7">SUM(C47:C75)</f>
        <v>48618</v>
      </c>
      <c r="D76" s="1725">
        <f t="shared" si="7"/>
        <v>0</v>
      </c>
      <c r="E76" s="1725">
        <f t="shared" si="7"/>
        <v>1839831</v>
      </c>
      <c r="F76" s="1725">
        <f t="shared" si="7"/>
        <v>0</v>
      </c>
      <c r="G76" s="1725">
        <f t="shared" si="7"/>
        <v>0</v>
      </c>
      <c r="H76" s="1725">
        <f t="shared" si="7"/>
        <v>0</v>
      </c>
      <c r="I76" s="1725">
        <f t="shared" si="7"/>
        <v>400000</v>
      </c>
      <c r="J76" s="1725">
        <f t="shared" si="7"/>
        <v>0</v>
      </c>
      <c r="K76" s="1725">
        <f t="shared" si="7"/>
        <v>0</v>
      </c>
      <c r="L76" s="524"/>
    </row>
    <row r="77" spans="1:12" ht="14.25" thickTop="1" thickBot="1" x14ac:dyDescent="0.25">
      <c r="A77" s="2137" t="s">
        <v>1239</v>
      </c>
      <c r="B77" s="2138"/>
      <c r="C77" s="1725">
        <f t="shared" ref="C77:K77" si="8">C44-C76</f>
        <v>351382</v>
      </c>
      <c r="D77" s="1725">
        <f t="shared" si="8"/>
        <v>0</v>
      </c>
      <c r="E77" s="1725">
        <f t="shared" si="8"/>
        <v>44787</v>
      </c>
      <c r="F77" s="1725">
        <f t="shared" si="8"/>
        <v>350260</v>
      </c>
      <c r="G77" s="1725">
        <f t="shared" si="8"/>
        <v>0</v>
      </c>
      <c r="H77" s="1725">
        <f t="shared" si="8"/>
        <v>0</v>
      </c>
      <c r="I77" s="1725">
        <f t="shared" si="8"/>
        <v>-400000</v>
      </c>
      <c r="J77" s="1725">
        <f t="shared" si="8"/>
        <v>0</v>
      </c>
      <c r="K77" s="1725">
        <f t="shared" si="8"/>
        <v>0</v>
      </c>
      <c r="L77" s="347"/>
    </row>
    <row r="78" spans="1:12" ht="21.75" customHeight="1" thickTop="1" thickBot="1" x14ac:dyDescent="0.25">
      <c r="A78" s="2141" t="s">
        <v>618</v>
      </c>
      <c r="B78" s="2142"/>
      <c r="C78" s="1724">
        <f t="shared" ref="C78:K78" si="9">C20+C77</f>
        <v>639138</v>
      </c>
      <c r="D78" s="1724">
        <f t="shared" si="9"/>
        <v>-147781</v>
      </c>
      <c r="E78" s="1724">
        <f t="shared" si="9"/>
        <v>-573</v>
      </c>
      <c r="F78" s="1724">
        <f t="shared" si="9"/>
        <v>22899</v>
      </c>
      <c r="G78" s="1724">
        <f t="shared" si="9"/>
        <v>-30519</v>
      </c>
      <c r="H78" s="1724">
        <f t="shared" si="9"/>
        <v>719606</v>
      </c>
      <c r="I78" s="1724">
        <f t="shared" si="9"/>
        <v>-299191</v>
      </c>
      <c r="J78" s="1724">
        <f t="shared" si="9"/>
        <v>85669</v>
      </c>
      <c r="K78" s="1724">
        <f t="shared" si="9"/>
        <v>38473</v>
      </c>
      <c r="L78" s="533"/>
    </row>
    <row r="79" spans="1:12" ht="13.5" thickTop="1" x14ac:dyDescent="0.2">
      <c r="A79" s="1516" t="s">
        <v>2068</v>
      </c>
      <c r="B79" s="534"/>
      <c r="C79" s="478">
        <v>1059093</v>
      </c>
      <c r="D79" s="535">
        <v>135722</v>
      </c>
      <c r="E79" s="535">
        <v>90133</v>
      </c>
      <c r="F79" s="535">
        <v>255346</v>
      </c>
      <c r="G79" s="535">
        <v>554941</v>
      </c>
      <c r="H79" s="535">
        <v>12637</v>
      </c>
      <c r="I79" s="535">
        <v>1972161</v>
      </c>
      <c r="J79" s="535">
        <v>890230</v>
      </c>
      <c r="K79" s="535">
        <v>52116</v>
      </c>
      <c r="L79" s="347"/>
    </row>
    <row r="80" spans="1:12" x14ac:dyDescent="0.2">
      <c r="A80" s="2147" t="s">
        <v>1895</v>
      </c>
      <c r="B80" s="2148"/>
      <c r="C80" s="467"/>
      <c r="D80" s="467"/>
      <c r="E80" s="467"/>
      <c r="F80" s="467"/>
      <c r="G80" s="467"/>
      <c r="H80" s="467"/>
      <c r="I80" s="467"/>
      <c r="J80" s="467"/>
      <c r="K80" s="467"/>
      <c r="L80" s="347"/>
    </row>
    <row r="81" spans="1:12" ht="13.5" thickBot="1" x14ac:dyDescent="0.25">
      <c r="A81" s="2139" t="s">
        <v>2069</v>
      </c>
      <c r="B81" s="2140"/>
      <c r="C81" s="1710">
        <f>(SUM(C78:C80))</f>
        <v>1698231</v>
      </c>
      <c r="D81" s="1710">
        <f>SUM(D78:D80)</f>
        <v>-12059</v>
      </c>
      <c r="E81" s="1710">
        <f t="shared" ref="E81:K81" si="10">SUM(E78:E80)</f>
        <v>89560</v>
      </c>
      <c r="F81" s="1710">
        <f t="shared" si="10"/>
        <v>278245</v>
      </c>
      <c r="G81" s="1710">
        <f t="shared" si="10"/>
        <v>524422</v>
      </c>
      <c r="H81" s="1710">
        <f t="shared" si="10"/>
        <v>732243</v>
      </c>
      <c r="I81" s="1710">
        <f t="shared" si="10"/>
        <v>1672970</v>
      </c>
      <c r="J81" s="1710">
        <f t="shared" si="10"/>
        <v>975899</v>
      </c>
      <c r="K81" s="1710">
        <f t="shared" si="10"/>
        <v>90589</v>
      </c>
      <c r="L81" s="347"/>
    </row>
    <row r="82" spans="1:12" ht="0.75" customHeight="1" thickTop="1" thickBot="1" x14ac:dyDescent="0.25">
      <c r="A82" s="536" t="s">
        <v>361</v>
      </c>
      <c r="B82" s="537"/>
      <c r="C82" s="538">
        <f>(C81-C79)</f>
        <v>639138</v>
      </c>
      <c r="D82" s="538">
        <f t="shared" ref="D82:K82" si="11">(D81-D79)</f>
        <v>-147781</v>
      </c>
      <c r="E82" s="538">
        <f t="shared" si="11"/>
        <v>-573</v>
      </c>
      <c r="F82" s="538">
        <f t="shared" si="11"/>
        <v>22899</v>
      </c>
      <c r="G82" s="538">
        <f t="shared" si="11"/>
        <v>-30519</v>
      </c>
      <c r="H82" s="538">
        <f t="shared" si="11"/>
        <v>719606</v>
      </c>
      <c r="I82" s="538">
        <f t="shared" si="11"/>
        <v>-299191</v>
      </c>
      <c r="J82" s="538">
        <f t="shared" si="11"/>
        <v>85669</v>
      </c>
      <c r="K82" s="538">
        <f t="shared" si="11"/>
        <v>38473</v>
      </c>
    </row>
    <row r="83" spans="1:12" ht="14.25" hidden="1" thickTop="1" thickBot="1" x14ac:dyDescent="0.25">
      <c r="A83" s="539" t="s">
        <v>362</v>
      </c>
      <c r="B83" s="464"/>
      <c r="C83" s="540">
        <f>C82/C81</f>
        <v>0.37635516016372333</v>
      </c>
      <c r="D83" s="540">
        <f t="shared" ref="D83:K83" si="12">D82/D81</f>
        <v>12.254830417115848</v>
      </c>
      <c r="E83" s="540">
        <f t="shared" si="12"/>
        <v>-6.3979455113890131E-3</v>
      </c>
      <c r="F83" s="540">
        <f t="shared" si="12"/>
        <v>8.2297974806375671E-2</v>
      </c>
      <c r="G83" s="540">
        <f t="shared" si="12"/>
        <v>-5.8195499044662508E-2</v>
      </c>
      <c r="H83" s="540">
        <f t="shared" si="12"/>
        <v>0.98274206786544904</v>
      </c>
      <c r="I83" s="540">
        <f t="shared" si="12"/>
        <v>-0.17883823379976926</v>
      </c>
      <c r="J83" s="540">
        <f t="shared" si="12"/>
        <v>8.7784699031354677E-2</v>
      </c>
      <c r="K83" s="540">
        <f t="shared" si="12"/>
        <v>0.4246983629358973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xSplit="2" ySplit="3" topLeftCell="C4" activePane="bottomRight" state="frozen"/>
      <selection activeCell="W31" sqref="W31"/>
      <selection pane="topRight" activeCell="W31" sqref="W31"/>
      <selection pane="bottomLeft" activeCell="W31" sqref="W31"/>
      <selection pane="bottomRight" activeCell="C4" sqref="C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1902</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4364182</v>
      </c>
      <c r="D5" s="481">
        <v>908931</v>
      </c>
      <c r="E5" s="466">
        <v>1685170</v>
      </c>
      <c r="F5" s="548">
        <v>363567</v>
      </c>
      <c r="G5" s="466">
        <v>430211</v>
      </c>
      <c r="H5" s="466"/>
      <c r="I5" s="466">
        <v>90894</v>
      </c>
      <c r="J5" s="467">
        <v>850434</v>
      </c>
      <c r="K5" s="466">
        <v>90894</v>
      </c>
    </row>
    <row r="6" spans="1:12" ht="15" x14ac:dyDescent="0.2">
      <c r="A6" s="463" t="s">
        <v>1761</v>
      </c>
      <c r="B6" s="470">
        <v>1130</v>
      </c>
      <c r="C6" s="466">
        <v>90894</v>
      </c>
      <c r="D6" s="466"/>
      <c r="E6" s="475"/>
      <c r="F6" s="475"/>
      <c r="G6" s="468"/>
      <c r="H6" s="468"/>
      <c r="I6" s="468"/>
      <c r="J6" s="468"/>
      <c r="K6" s="468"/>
    </row>
    <row r="7" spans="1:12" x14ac:dyDescent="0.2">
      <c r="A7" s="463" t="s">
        <v>112</v>
      </c>
      <c r="B7" s="549">
        <v>1140</v>
      </c>
      <c r="C7" s="466">
        <v>72717</v>
      </c>
      <c r="D7" s="466"/>
      <c r="E7" s="468"/>
      <c r="F7" s="467"/>
      <c r="G7" s="467"/>
      <c r="H7" s="467"/>
      <c r="I7" s="468"/>
      <c r="J7" s="468"/>
      <c r="K7" s="468"/>
    </row>
    <row r="8" spans="1:12" x14ac:dyDescent="0.2">
      <c r="A8" s="463" t="s">
        <v>433</v>
      </c>
      <c r="B8" s="470">
        <v>1150</v>
      </c>
      <c r="C8" s="475"/>
      <c r="D8" s="475"/>
      <c r="E8" s="477"/>
      <c r="F8" s="477"/>
      <c r="G8" s="481">
        <v>370192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4527793</v>
      </c>
      <c r="D12" s="1729">
        <f t="shared" si="0"/>
        <v>908931</v>
      </c>
      <c r="E12" s="1729">
        <f t="shared" si="0"/>
        <v>1685170</v>
      </c>
      <c r="F12" s="1729">
        <f t="shared" si="0"/>
        <v>363567</v>
      </c>
      <c r="G12" s="1729">
        <f t="shared" si="0"/>
        <v>800403</v>
      </c>
      <c r="H12" s="1729">
        <f t="shared" si="0"/>
        <v>0</v>
      </c>
      <c r="I12" s="1729">
        <f t="shared" si="0"/>
        <v>90894</v>
      </c>
      <c r="J12" s="1729">
        <f t="shared" si="0"/>
        <v>850434</v>
      </c>
      <c r="K12" s="1710">
        <f t="shared" si="0"/>
        <v>90894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890600</v>
      </c>
      <c r="D16" s="466">
        <v>200000</v>
      </c>
      <c r="E16" s="466"/>
      <c r="F16" s="466"/>
      <c r="G16" s="466">
        <v>43500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890600</v>
      </c>
      <c r="D18" s="1732">
        <f t="shared" ref="D18:K18" si="1">SUM(D14:D17)</f>
        <v>200000</v>
      </c>
      <c r="E18" s="1732">
        <f t="shared" si="1"/>
        <v>0</v>
      </c>
      <c r="F18" s="1732">
        <f t="shared" si="1"/>
        <v>0</v>
      </c>
      <c r="G18" s="1732">
        <f t="shared" si="1"/>
        <v>43500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103918</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103918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9132</v>
      </c>
      <c r="D65" s="466">
        <v>1289</v>
      </c>
      <c r="E65" s="466">
        <f>1835+394</f>
        <v>2229</v>
      </c>
      <c r="F65" s="467">
        <v>929</v>
      </c>
      <c r="G65" s="466">
        <v>3491</v>
      </c>
      <c r="H65" s="466">
        <v>577</v>
      </c>
      <c r="I65" s="466">
        <v>9915</v>
      </c>
      <c r="J65" s="467">
        <v>4566</v>
      </c>
      <c r="K65" s="466">
        <v>390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9132</v>
      </c>
      <c r="D67" s="1710">
        <f t="shared" ref="D67:K67" si="2">SUM(D65:D66)</f>
        <v>1289</v>
      </c>
      <c r="E67" s="1710">
        <f t="shared" si="2"/>
        <v>2229</v>
      </c>
      <c r="F67" s="1710">
        <f t="shared" si="2"/>
        <v>929</v>
      </c>
      <c r="G67" s="1710">
        <f t="shared" si="2"/>
        <v>3491</v>
      </c>
      <c r="H67" s="1710">
        <f t="shared" si="2"/>
        <v>577</v>
      </c>
      <c r="I67" s="1710">
        <f t="shared" si="2"/>
        <v>9915</v>
      </c>
      <c r="J67" s="1710">
        <f t="shared" si="2"/>
        <v>4566</v>
      </c>
      <c r="K67" s="1710">
        <f t="shared" si="2"/>
        <v>390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123661</v>
      </c>
      <c r="D69" s="468"/>
      <c r="E69" s="468"/>
      <c r="F69" s="468"/>
      <c r="G69" s="468"/>
      <c r="H69" s="468"/>
      <c r="I69" s="468"/>
      <c r="J69" s="468"/>
      <c r="K69" s="468"/>
    </row>
    <row r="70" spans="1:11" ht="12.75" customHeight="1" x14ac:dyDescent="0.2">
      <c r="A70" s="463" t="s">
        <v>1054</v>
      </c>
      <c r="B70" s="470">
        <v>1612</v>
      </c>
      <c r="C70" s="551">
        <v>6679</v>
      </c>
      <c r="D70" s="468"/>
      <c r="E70" s="468"/>
      <c r="F70" s="468"/>
      <c r="G70" s="468"/>
      <c r="H70" s="468"/>
      <c r="I70" s="468"/>
      <c r="J70" s="468"/>
      <c r="K70" s="468"/>
    </row>
    <row r="71" spans="1:11" ht="12.75" customHeight="1" x14ac:dyDescent="0.2">
      <c r="A71" s="463" t="s">
        <v>291</v>
      </c>
      <c r="B71" s="470">
        <v>1613</v>
      </c>
      <c r="C71" s="551">
        <v>140577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2934</v>
      </c>
      <c r="D73" s="468"/>
      <c r="E73" s="468"/>
      <c r="F73" s="468"/>
      <c r="G73" s="468"/>
      <c r="H73" s="468"/>
      <c r="I73" s="468"/>
      <c r="J73" s="468"/>
      <c r="K73" s="468"/>
    </row>
    <row r="74" spans="1:11" ht="12.75" customHeight="1" x14ac:dyDescent="0.2">
      <c r="A74" s="463" t="s">
        <v>25</v>
      </c>
      <c r="B74" s="470">
        <v>1690</v>
      </c>
      <c r="C74" s="551">
        <v>29530</v>
      </c>
      <c r="D74" s="468"/>
      <c r="E74" s="468"/>
      <c r="F74" s="468"/>
      <c r="G74" s="468"/>
      <c r="H74" s="468"/>
      <c r="I74" s="468"/>
      <c r="J74" s="468"/>
      <c r="K74" s="468"/>
    </row>
    <row r="75" spans="1:11" ht="12.75" customHeight="1" thickBot="1" x14ac:dyDescent="0.25">
      <c r="A75" s="1730" t="s">
        <v>569</v>
      </c>
      <c r="B75" s="1731"/>
      <c r="C75" s="1710">
        <f>SUM(C69:C74)</f>
        <v>303381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22897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5490+18295</f>
        <v>23785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8566</v>
      </c>
      <c r="D81" s="466"/>
      <c r="E81" s="468"/>
      <c r="F81" s="468"/>
      <c r="G81" s="468"/>
      <c r="H81" s="468"/>
      <c r="I81" s="468"/>
      <c r="J81" s="468"/>
      <c r="K81" s="468"/>
    </row>
    <row r="82" spans="1:11" ht="12.75" customHeight="1" thickBot="1" x14ac:dyDescent="0.25">
      <c r="A82" s="1730" t="s">
        <v>259</v>
      </c>
      <c r="B82" s="1731"/>
      <c r="C82" s="1729">
        <f>SUM(C77:C81)</f>
        <v>55248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84332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84332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2850</v>
      </c>
      <c r="E95" s="521"/>
      <c r="F95" s="521"/>
      <c r="G95" s="521"/>
      <c r="H95" s="521"/>
      <c r="I95" s="521"/>
      <c r="J95" s="521"/>
      <c r="K95" s="521"/>
    </row>
    <row r="96" spans="1:11" ht="12.75" customHeight="1" x14ac:dyDescent="0.2">
      <c r="A96" s="463" t="s">
        <v>409</v>
      </c>
      <c r="B96" s="470">
        <v>1920</v>
      </c>
      <c r="C96" s="551">
        <v>2000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6832</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994096</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227383+410709+42402</f>
        <v>680494</v>
      </c>
      <c r="D107" s="466">
        <v>4868</v>
      </c>
      <c r="E107" s="466"/>
      <c r="F107" s="466">
        <v>78622</v>
      </c>
      <c r="G107" s="466"/>
      <c r="H107" s="466"/>
      <c r="I107" s="466"/>
      <c r="J107" s="467"/>
      <c r="K107" s="466"/>
    </row>
    <row r="108" spans="1:12" ht="12.75" customHeight="1" thickBot="1" x14ac:dyDescent="0.25">
      <c r="A108" s="1730" t="s">
        <v>508</v>
      </c>
      <c r="B108" s="1734"/>
      <c r="C108" s="1729">
        <f>SUM(C95:C107)</f>
        <v>689326</v>
      </c>
      <c r="D108" s="1729">
        <f t="shared" ref="D108:K108" si="3">SUM(D95:D107)</f>
        <v>7718</v>
      </c>
      <c r="E108" s="1729">
        <f t="shared" si="3"/>
        <v>0</v>
      </c>
      <c r="F108" s="1729">
        <f t="shared" si="3"/>
        <v>78622</v>
      </c>
      <c r="G108" s="1729">
        <f t="shared" si="3"/>
        <v>0</v>
      </c>
      <c r="H108" s="1729">
        <f t="shared" si="3"/>
        <v>994096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6663730</v>
      </c>
      <c r="D109" s="1737">
        <f t="shared" si="4"/>
        <v>1117938</v>
      </c>
      <c r="E109" s="1737">
        <f t="shared" si="4"/>
        <v>1687399</v>
      </c>
      <c r="F109" s="1737">
        <f t="shared" si="4"/>
        <v>443118</v>
      </c>
      <c r="G109" s="1737">
        <f t="shared" si="4"/>
        <v>847394</v>
      </c>
      <c r="H109" s="1737">
        <f t="shared" si="4"/>
        <v>994673</v>
      </c>
      <c r="I109" s="1737">
        <f t="shared" si="4"/>
        <v>100809</v>
      </c>
      <c r="J109" s="1737">
        <f t="shared" si="4"/>
        <v>855000</v>
      </c>
      <c r="K109" s="1724">
        <f t="shared" si="4"/>
        <v>91284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271169</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271169</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4453993</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4453993</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78527</v>
      </c>
      <c r="D124" s="561"/>
      <c r="E124" s="468"/>
      <c r="F124" s="548"/>
      <c r="G124" s="468"/>
      <c r="H124" s="468"/>
      <c r="I124" s="468"/>
      <c r="J124" s="468"/>
      <c r="K124" s="468"/>
    </row>
    <row r="125" spans="1:11" ht="12.75" customHeight="1" x14ac:dyDescent="0.2">
      <c r="A125" s="463" t="s">
        <v>1521</v>
      </c>
      <c r="B125" s="562">
        <v>3105</v>
      </c>
      <c r="C125" s="466">
        <v>56309</v>
      </c>
      <c r="D125" s="561"/>
      <c r="E125" s="468"/>
      <c r="F125" s="466"/>
      <c r="G125" s="468"/>
      <c r="H125" s="468"/>
      <c r="I125" s="468"/>
      <c r="J125" s="468"/>
      <c r="K125" s="468"/>
    </row>
    <row r="126" spans="1:11" ht="12.75" customHeight="1" x14ac:dyDescent="0.2">
      <c r="A126" s="463" t="s">
        <v>922</v>
      </c>
      <c r="B126" s="562">
        <v>3110</v>
      </c>
      <c r="C126" s="551">
        <f>135585+3533</f>
        <v>139118</v>
      </c>
      <c r="D126" s="466"/>
      <c r="E126" s="468"/>
      <c r="F126" s="466"/>
      <c r="G126" s="468"/>
      <c r="H126" s="468"/>
      <c r="I126" s="468"/>
      <c r="J126" s="468"/>
      <c r="K126" s="468"/>
    </row>
    <row r="127" spans="1:11" ht="12.75" customHeight="1" x14ac:dyDescent="0.2">
      <c r="A127" s="463" t="s">
        <v>107</v>
      </c>
      <c r="B127" s="562">
        <v>3120</v>
      </c>
      <c r="C127" s="466">
        <v>67284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1420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342658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38312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4911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43223</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5592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22768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468341</v>
      </c>
      <c r="G151" s="467"/>
      <c r="H151" s="468"/>
      <c r="I151" s="468"/>
      <c r="J151" s="468"/>
      <c r="K151" s="468"/>
    </row>
    <row r="152" spans="1:11" ht="12.75" customHeight="1" x14ac:dyDescent="0.2">
      <c r="A152" s="463" t="s">
        <v>1117</v>
      </c>
      <c r="B152" s="562">
        <v>3510</v>
      </c>
      <c r="C152" s="551"/>
      <c r="D152" s="466"/>
      <c r="E152" s="561"/>
      <c r="F152" s="466">
        <v>85186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553527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827635</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2233</v>
      </c>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1244109</v>
      </c>
      <c r="D172" s="1744">
        <f t="shared" si="6"/>
        <v>0</v>
      </c>
      <c r="E172" s="1744">
        <f t="shared" si="6"/>
        <v>0</v>
      </c>
      <c r="F172" s="1744">
        <f t="shared" si="6"/>
        <v>553527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5698102</v>
      </c>
      <c r="D173" s="1737">
        <f>SUM(D121,D172)</f>
        <v>0</v>
      </c>
      <c r="E173" s="1737">
        <f>SUM(E121,E172)</f>
        <v>0</v>
      </c>
      <c r="F173" s="1737">
        <f t="shared" ref="F173:K173" si="7">SUM(F121,F172)</f>
        <v>553527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1903</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309951</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83104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v>24366</v>
      </c>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417421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347312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347312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20011</v>
      </c>
      <c r="D227" s="466"/>
      <c r="E227" s="468"/>
      <c r="F227" s="468"/>
      <c r="G227" s="466"/>
      <c r="H227" s="468"/>
      <c r="I227" s="468"/>
      <c r="J227" s="468"/>
      <c r="K227" s="468"/>
    </row>
    <row r="228" spans="1:11" ht="12.75" customHeight="1" thickBot="1" x14ac:dyDescent="0.25">
      <c r="A228" s="1745" t="s">
        <v>1145</v>
      </c>
      <c r="B228" s="1746"/>
      <c r="C228" s="1729">
        <f>SUM(C226:C227)</f>
        <v>20011</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76037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16986</v>
      </c>
      <c r="D270" s="576"/>
      <c r="E270" s="468"/>
      <c r="F270" s="576"/>
      <c r="G270" s="576"/>
      <c r="H270" s="468"/>
      <c r="I270" s="468"/>
      <c r="J270" s="468"/>
      <c r="K270" s="468"/>
    </row>
    <row r="271" spans="1:11" ht="12.75" customHeight="1" thickTop="1" thickBot="1" x14ac:dyDescent="0.25">
      <c r="A271" s="463" t="s">
        <v>395</v>
      </c>
      <c r="B271" s="470">
        <v>4992</v>
      </c>
      <c r="C271" s="575">
        <v>47041</v>
      </c>
      <c r="D271" s="576"/>
      <c r="E271" s="468"/>
      <c r="F271" s="576"/>
      <c r="G271" s="576"/>
      <c r="H271" s="468"/>
      <c r="I271" s="468"/>
      <c r="J271" s="468"/>
      <c r="K271" s="468"/>
    </row>
    <row r="272" spans="1:11" s="594" customFormat="1" ht="12.75" customHeight="1" thickTop="1" thickBot="1" x14ac:dyDescent="0.25">
      <c r="A272" s="563" t="s">
        <v>77</v>
      </c>
      <c r="B272" s="557">
        <v>4999</v>
      </c>
      <c r="C272" s="575">
        <v>4999</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929807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929807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13562808</v>
      </c>
      <c r="D275" s="1737">
        <f t="shared" si="12"/>
        <v>1117938</v>
      </c>
      <c r="E275" s="1737">
        <f t="shared" si="12"/>
        <v>1687399</v>
      </c>
      <c r="F275" s="1737">
        <f t="shared" si="12"/>
        <v>996645</v>
      </c>
      <c r="G275" s="1737">
        <f t="shared" si="12"/>
        <v>847394</v>
      </c>
      <c r="H275" s="1737">
        <f t="shared" si="12"/>
        <v>994673</v>
      </c>
      <c r="I275" s="1737">
        <f t="shared" si="12"/>
        <v>100809</v>
      </c>
      <c r="J275" s="1737">
        <f t="shared" si="12"/>
        <v>855000</v>
      </c>
      <c r="K275" s="1724">
        <f t="shared" si="12"/>
        <v>91284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 activePane="bottomLeft" state="frozen"/>
      <selection activeCell="W31" sqref="W31"/>
      <selection pane="bottomLeft" activeCell="W31" sqref="W3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4869728</v>
      </c>
      <c r="D5" s="466">
        <v>1246493</v>
      </c>
      <c r="E5" s="466">
        <v>98520</v>
      </c>
      <c r="F5" s="466">
        <v>270712</v>
      </c>
      <c r="G5" s="466"/>
      <c r="H5" s="466">
        <v>4006</v>
      </c>
      <c r="I5" s="467">
        <v>10772</v>
      </c>
      <c r="J5" s="467"/>
      <c r="K5" s="1693">
        <f>SUM(C5:J5)</f>
        <v>6500231</v>
      </c>
      <c r="L5" s="466">
        <v>6628945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398936</v>
      </c>
      <c r="D7" s="467">
        <v>63943</v>
      </c>
      <c r="E7" s="467">
        <v>1306</v>
      </c>
      <c r="F7" s="467">
        <v>5748</v>
      </c>
      <c r="G7" s="467"/>
      <c r="H7" s="467"/>
      <c r="I7" s="467"/>
      <c r="J7" s="467"/>
      <c r="K7" s="1693">
        <f t="shared" ref="K7:K32" si="0">SUM(C7:J7)</f>
        <v>469933</v>
      </c>
      <c r="L7" s="466">
        <v>473177</v>
      </c>
    </row>
    <row r="8" spans="1:14" x14ac:dyDescent="0.2">
      <c r="A8" s="1526" t="s">
        <v>166</v>
      </c>
      <c r="B8" s="615">
        <v>1200</v>
      </c>
      <c r="C8" s="466">
        <v>34804</v>
      </c>
      <c r="D8" s="466">
        <v>222</v>
      </c>
      <c r="E8" s="466"/>
      <c r="F8" s="466"/>
      <c r="G8" s="466"/>
      <c r="H8" s="466"/>
      <c r="I8" s="467"/>
      <c r="J8" s="467"/>
      <c r="K8" s="1693">
        <f t="shared" si="0"/>
        <v>35026</v>
      </c>
      <c r="L8" s="466">
        <v>35300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246735</v>
      </c>
      <c r="D10" s="466">
        <v>47125</v>
      </c>
      <c r="E10" s="466"/>
      <c r="F10" s="466">
        <v>34793</v>
      </c>
      <c r="G10" s="466"/>
      <c r="H10" s="466"/>
      <c r="I10" s="467">
        <v>2996</v>
      </c>
      <c r="J10" s="467"/>
      <c r="K10" s="1693">
        <f t="shared" si="0"/>
        <v>331649</v>
      </c>
      <c r="L10" s="466">
        <v>309617</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258821</v>
      </c>
      <c r="D13" s="466">
        <v>47002</v>
      </c>
      <c r="E13" s="466">
        <v>8789</v>
      </c>
      <c r="F13" s="466">
        <v>8588</v>
      </c>
      <c r="G13" s="466"/>
      <c r="H13" s="466">
        <v>105</v>
      </c>
      <c r="I13" s="467">
        <f>1198+13846</f>
        <v>15044</v>
      </c>
      <c r="J13" s="467"/>
      <c r="K13" s="1693">
        <f t="shared" si="0"/>
        <v>338349</v>
      </c>
      <c r="L13" s="466">
        <v>348653</v>
      </c>
    </row>
    <row r="14" spans="1:14" x14ac:dyDescent="0.2">
      <c r="A14" s="1526" t="s">
        <v>1020</v>
      </c>
      <c r="B14" s="615">
        <v>1500</v>
      </c>
      <c r="C14" s="466">
        <v>146196</v>
      </c>
      <c r="D14" s="466">
        <v>10187</v>
      </c>
      <c r="E14" s="466">
        <v>30629</v>
      </c>
      <c r="F14" s="466">
        <v>9635</v>
      </c>
      <c r="G14" s="466"/>
      <c r="H14" s="466">
        <v>7727</v>
      </c>
      <c r="I14" s="467"/>
      <c r="J14" s="467"/>
      <c r="K14" s="1693">
        <f t="shared" si="0"/>
        <v>204374</v>
      </c>
      <c r="L14" s="466">
        <v>210396</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49435</v>
      </c>
      <c r="D17" s="467">
        <v>11307</v>
      </c>
      <c r="E17" s="467">
        <v>330</v>
      </c>
      <c r="F17" s="467">
        <v>886</v>
      </c>
      <c r="G17" s="467"/>
      <c r="H17" s="467">
        <v>3460</v>
      </c>
      <c r="I17" s="467"/>
      <c r="J17" s="467"/>
      <c r="K17" s="1693">
        <f t="shared" si="0"/>
        <v>65418</v>
      </c>
      <c r="L17" s="466">
        <v>81670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126195</v>
      </c>
      <c r="I22" s="617"/>
      <c r="J22" s="477"/>
      <c r="K22" s="1693">
        <f t="shared" si="0"/>
        <v>126195</v>
      </c>
      <c r="L22" s="471">
        <v>108000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6004655</v>
      </c>
      <c r="D33" s="1692">
        <f t="shared" ref="D33:L33" si="1">SUM(D5:D32)</f>
        <v>1426279</v>
      </c>
      <c r="E33" s="1692">
        <f t="shared" si="1"/>
        <v>139574</v>
      </c>
      <c r="F33" s="1692">
        <f t="shared" si="1"/>
        <v>330362</v>
      </c>
      <c r="G33" s="1692">
        <f t="shared" si="1"/>
        <v>0</v>
      </c>
      <c r="H33" s="1692">
        <f t="shared" si="1"/>
        <v>141493</v>
      </c>
      <c r="I33" s="1692">
        <f t="shared" si="1"/>
        <v>28812</v>
      </c>
      <c r="J33" s="1692">
        <f t="shared" si="1"/>
        <v>0</v>
      </c>
      <c r="K33" s="1692">
        <f t="shared" si="1"/>
        <v>8071175</v>
      </c>
      <c r="L33" s="1692">
        <f t="shared" si="1"/>
        <v>8195758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204775</v>
      </c>
      <c r="D37" s="466">
        <v>49756</v>
      </c>
      <c r="E37" s="466"/>
      <c r="F37" s="466">
        <v>563</v>
      </c>
      <c r="G37" s="466"/>
      <c r="H37" s="466"/>
      <c r="I37" s="467"/>
      <c r="J37" s="467"/>
      <c r="K37" s="1693">
        <f t="shared" si="2"/>
        <v>255094</v>
      </c>
      <c r="L37" s="466">
        <v>267050</v>
      </c>
    </row>
    <row r="38" spans="1:14" x14ac:dyDescent="0.2">
      <c r="A38" s="1526" t="s">
        <v>207</v>
      </c>
      <c r="B38" s="615">
        <v>2130</v>
      </c>
      <c r="C38" s="466">
        <v>67736</v>
      </c>
      <c r="D38" s="466">
        <v>15277</v>
      </c>
      <c r="E38" s="466">
        <v>5033</v>
      </c>
      <c r="F38" s="466">
        <v>4314</v>
      </c>
      <c r="G38" s="466"/>
      <c r="H38" s="466"/>
      <c r="I38" s="467"/>
      <c r="J38" s="467"/>
      <c r="K38" s="1693">
        <f t="shared" si="2"/>
        <v>92360</v>
      </c>
      <c r="L38" s="466">
        <v>93985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94181</v>
      </c>
      <c r="D41" s="466">
        <v>10966</v>
      </c>
      <c r="E41" s="466">
        <v>9419</v>
      </c>
      <c r="F41" s="466">
        <v>28438</v>
      </c>
      <c r="G41" s="466">
        <v>24125</v>
      </c>
      <c r="H41" s="466"/>
      <c r="I41" s="467">
        <v>6607</v>
      </c>
      <c r="J41" s="467"/>
      <c r="K41" s="1693">
        <f t="shared" si="2"/>
        <v>173736</v>
      </c>
      <c r="L41" s="466">
        <v>151485</v>
      </c>
    </row>
    <row r="42" spans="1:14" ht="12.75" customHeight="1" thickBot="1" x14ac:dyDescent="0.25">
      <c r="A42" s="1690" t="s">
        <v>581</v>
      </c>
      <c r="B42" s="1691" t="s">
        <v>740</v>
      </c>
      <c r="C42" s="1692">
        <f>SUM(C36:C41)</f>
        <v>366692</v>
      </c>
      <c r="D42" s="1692">
        <f t="shared" ref="D42:L42" si="3">SUM(D36:D41)</f>
        <v>75999</v>
      </c>
      <c r="E42" s="1692">
        <f t="shared" si="3"/>
        <v>14452</v>
      </c>
      <c r="F42" s="1692">
        <f t="shared" si="3"/>
        <v>33315</v>
      </c>
      <c r="G42" s="1692">
        <f t="shared" si="3"/>
        <v>24125</v>
      </c>
      <c r="H42" s="1692">
        <f t="shared" si="3"/>
        <v>0</v>
      </c>
      <c r="I42" s="1692">
        <f t="shared" si="3"/>
        <v>6607</v>
      </c>
      <c r="J42" s="1692">
        <f t="shared" si="3"/>
        <v>0</v>
      </c>
      <c r="K42" s="1692">
        <f t="shared" si="3"/>
        <v>521190</v>
      </c>
      <c r="L42" s="1692">
        <f t="shared" si="3"/>
        <v>512520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5065</v>
      </c>
      <c r="D44" s="481">
        <v>23667</v>
      </c>
      <c r="E44" s="481">
        <v>13801</v>
      </c>
      <c r="F44" s="481"/>
      <c r="G44" s="481"/>
      <c r="H44" s="481"/>
      <c r="I44" s="467"/>
      <c r="J44" s="467"/>
      <c r="K44" s="1694">
        <f>SUM(C44:J44)</f>
        <v>42533</v>
      </c>
      <c r="L44" s="481">
        <v>35262</v>
      </c>
    </row>
    <row r="45" spans="1:14" x14ac:dyDescent="0.2">
      <c r="A45" s="1526" t="s">
        <v>869</v>
      </c>
      <c r="B45" s="615">
        <v>2220</v>
      </c>
      <c r="C45" s="466">
        <v>69365</v>
      </c>
      <c r="D45" s="466">
        <v>15985</v>
      </c>
      <c r="E45" s="466">
        <v>4758</v>
      </c>
      <c r="F45" s="466">
        <v>9289</v>
      </c>
      <c r="G45" s="466"/>
      <c r="H45" s="466"/>
      <c r="I45" s="467"/>
      <c r="J45" s="467"/>
      <c r="K45" s="1694">
        <f>SUM(C45:J45)</f>
        <v>99397</v>
      </c>
      <c r="L45" s="466">
        <v>96370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74430</v>
      </c>
      <c r="D47" s="1692">
        <f t="shared" ref="D47:K47" si="4">SUM(D44:D46)</f>
        <v>39652</v>
      </c>
      <c r="E47" s="1692">
        <f t="shared" si="4"/>
        <v>18559</v>
      </c>
      <c r="F47" s="1692">
        <f t="shared" si="4"/>
        <v>9289</v>
      </c>
      <c r="G47" s="1692">
        <f t="shared" si="4"/>
        <v>0</v>
      </c>
      <c r="H47" s="1692">
        <f t="shared" si="4"/>
        <v>0</v>
      </c>
      <c r="I47" s="1692">
        <f t="shared" si="4"/>
        <v>0</v>
      </c>
      <c r="J47" s="1692">
        <f t="shared" si="4"/>
        <v>0</v>
      </c>
      <c r="K47" s="1692">
        <f t="shared" si="4"/>
        <v>141930</v>
      </c>
      <c r="L47" s="1692">
        <f>SUM(L44:L46)</f>
        <v>131632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18859</v>
      </c>
      <c r="D49" s="481">
        <v>1284</v>
      </c>
      <c r="E49" s="481">
        <v>75387</v>
      </c>
      <c r="F49" s="481">
        <v>5449</v>
      </c>
      <c r="G49" s="481"/>
      <c r="H49" s="481">
        <v>13688</v>
      </c>
      <c r="I49" s="467"/>
      <c r="J49" s="467"/>
      <c r="K49" s="1694">
        <f>SUM(C49:J49)</f>
        <v>114667</v>
      </c>
      <c r="L49" s="481">
        <v>111205</v>
      </c>
    </row>
    <row r="50" spans="1:14" x14ac:dyDescent="0.2">
      <c r="A50" s="1526" t="s">
        <v>872</v>
      </c>
      <c r="B50" s="615">
        <v>2320</v>
      </c>
      <c r="C50" s="466">
        <v>193179</v>
      </c>
      <c r="D50" s="466">
        <v>33746</v>
      </c>
      <c r="E50" s="466">
        <v>4906</v>
      </c>
      <c r="F50" s="466">
        <v>1342</v>
      </c>
      <c r="G50" s="466"/>
      <c r="H50" s="466">
        <v>1653</v>
      </c>
      <c r="I50" s="467"/>
      <c r="J50" s="467"/>
      <c r="K50" s="1694">
        <f>SUM(C50:J50)</f>
        <v>234826</v>
      </c>
      <c r="L50" s="466">
        <v>232490</v>
      </c>
    </row>
    <row r="51" spans="1:14" x14ac:dyDescent="0.2">
      <c r="A51" s="1526" t="s">
        <v>44</v>
      </c>
      <c r="B51" s="615">
        <v>2330</v>
      </c>
      <c r="C51" s="466">
        <v>33576</v>
      </c>
      <c r="D51" s="466">
        <v>3979</v>
      </c>
      <c r="E51" s="466"/>
      <c r="F51" s="466"/>
      <c r="G51" s="466"/>
      <c r="H51" s="466"/>
      <c r="I51" s="467"/>
      <c r="J51" s="467"/>
      <c r="K51" s="1694">
        <f>SUM(C51:J51)</f>
        <v>37555</v>
      </c>
      <c r="L51" s="466">
        <v>35859</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245614</v>
      </c>
      <c r="D53" s="1692">
        <f t="shared" ref="D53:L53" si="5">SUM(D49:D52)</f>
        <v>39009</v>
      </c>
      <c r="E53" s="1692">
        <f t="shared" si="5"/>
        <v>80293</v>
      </c>
      <c r="F53" s="1692">
        <f t="shared" si="5"/>
        <v>6791</v>
      </c>
      <c r="G53" s="1692">
        <f t="shared" si="5"/>
        <v>0</v>
      </c>
      <c r="H53" s="1692">
        <f t="shared" si="5"/>
        <v>15341</v>
      </c>
      <c r="I53" s="1692">
        <f t="shared" si="5"/>
        <v>0</v>
      </c>
      <c r="J53" s="1692">
        <f t="shared" si="5"/>
        <v>0</v>
      </c>
      <c r="K53" s="1692">
        <f t="shared" si="5"/>
        <v>387048</v>
      </c>
      <c r="L53" s="1692">
        <f t="shared" si="5"/>
        <v>379554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596191</v>
      </c>
      <c r="D55" s="481">
        <v>114638</v>
      </c>
      <c r="E55" s="481">
        <v>89124</v>
      </c>
      <c r="F55" s="481">
        <v>2761</v>
      </c>
      <c r="G55" s="481"/>
      <c r="H55" s="481">
        <v>1542</v>
      </c>
      <c r="I55" s="467"/>
      <c r="J55" s="467"/>
      <c r="K55" s="1694">
        <f>SUM(C55:J55)</f>
        <v>804256</v>
      </c>
      <c r="L55" s="481">
        <v>836982</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596191</v>
      </c>
      <c r="D57" s="1696">
        <f t="shared" ref="D57:K57" si="6">SUM(D55:D56)</f>
        <v>114638</v>
      </c>
      <c r="E57" s="1696">
        <f t="shared" si="6"/>
        <v>89124</v>
      </c>
      <c r="F57" s="1696">
        <f t="shared" si="6"/>
        <v>2761</v>
      </c>
      <c r="G57" s="1696">
        <f t="shared" si="6"/>
        <v>0</v>
      </c>
      <c r="H57" s="1696">
        <f t="shared" si="6"/>
        <v>1542</v>
      </c>
      <c r="I57" s="1696">
        <f t="shared" si="6"/>
        <v>0</v>
      </c>
      <c r="J57" s="1696">
        <f t="shared" si="6"/>
        <v>0</v>
      </c>
      <c r="K57" s="1696">
        <f t="shared" si="6"/>
        <v>804256</v>
      </c>
      <c r="L57" s="1692">
        <f>SUM(L55:L56)</f>
        <v>836982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101344</v>
      </c>
      <c r="D60" s="466">
        <v>21150</v>
      </c>
      <c r="E60" s="466">
        <v>10269</v>
      </c>
      <c r="F60" s="466">
        <v>1376</v>
      </c>
      <c r="G60" s="466"/>
      <c r="H60" s="466">
        <v>340</v>
      </c>
      <c r="I60" s="467"/>
      <c r="J60" s="467"/>
      <c r="K60" s="1694">
        <f t="shared" si="7"/>
        <v>134479</v>
      </c>
      <c r="L60" s="466">
        <v>138745</v>
      </c>
      <c r="M60" s="610"/>
      <c r="N60" s="610"/>
    </row>
    <row r="61" spans="1:14" s="343" customFormat="1" x14ac:dyDescent="0.2">
      <c r="A61" s="1526" t="s">
        <v>206</v>
      </c>
      <c r="B61" s="615">
        <v>2540</v>
      </c>
      <c r="C61" s="466"/>
      <c r="D61" s="466"/>
      <c r="E61" s="466">
        <v>113560</v>
      </c>
      <c r="F61" s="466"/>
      <c r="G61" s="466"/>
      <c r="H61" s="466"/>
      <c r="I61" s="467"/>
      <c r="J61" s="467"/>
      <c r="K61" s="1694">
        <f t="shared" si="7"/>
        <v>113560</v>
      </c>
      <c r="L61" s="466">
        <v>6500</v>
      </c>
      <c r="M61" s="610"/>
      <c r="N61" s="610"/>
    </row>
    <row r="62" spans="1:14" s="343" customFormat="1" x14ac:dyDescent="0.2">
      <c r="A62" s="1526" t="s">
        <v>1010</v>
      </c>
      <c r="B62" s="615">
        <v>2550</v>
      </c>
      <c r="C62" s="466">
        <v>64622</v>
      </c>
      <c r="D62" s="466"/>
      <c r="E62" s="466">
        <v>25428</v>
      </c>
      <c r="F62" s="466"/>
      <c r="G62" s="466"/>
      <c r="H62" s="466"/>
      <c r="I62" s="467"/>
      <c r="J62" s="467"/>
      <c r="K62" s="1694">
        <f t="shared" si="7"/>
        <v>90050</v>
      </c>
      <c r="L62" s="466">
        <v>103969</v>
      </c>
      <c r="M62" s="610"/>
      <c r="N62" s="610"/>
    </row>
    <row r="63" spans="1:14" s="610" customFormat="1" x14ac:dyDescent="0.2">
      <c r="A63" s="1526" t="s">
        <v>102</v>
      </c>
      <c r="B63" s="615">
        <v>2560</v>
      </c>
      <c r="C63" s="466">
        <v>374213</v>
      </c>
      <c r="D63" s="466">
        <v>5205</v>
      </c>
      <c r="E63" s="466">
        <v>8930</v>
      </c>
      <c r="F63" s="466">
        <v>339014</v>
      </c>
      <c r="G63" s="466"/>
      <c r="H63" s="466">
        <v>136</v>
      </c>
      <c r="I63" s="467">
        <v>2771</v>
      </c>
      <c r="J63" s="467"/>
      <c r="K63" s="1694">
        <f t="shared" si="7"/>
        <v>730269</v>
      </c>
      <c r="L63" s="466">
        <v>760175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540179</v>
      </c>
      <c r="D65" s="1692">
        <f t="shared" ref="D65:L65" si="8">SUM(D59:D64)</f>
        <v>26355</v>
      </c>
      <c r="E65" s="1692">
        <f t="shared" si="8"/>
        <v>158187</v>
      </c>
      <c r="F65" s="1692">
        <f t="shared" si="8"/>
        <v>340390</v>
      </c>
      <c r="G65" s="1692">
        <f t="shared" si="8"/>
        <v>0</v>
      </c>
      <c r="H65" s="1692">
        <f t="shared" si="8"/>
        <v>476</v>
      </c>
      <c r="I65" s="1692">
        <f t="shared" si="8"/>
        <v>2771</v>
      </c>
      <c r="J65" s="1692">
        <f t="shared" si="8"/>
        <v>0</v>
      </c>
      <c r="K65" s="1692">
        <f t="shared" si="8"/>
        <v>1068358</v>
      </c>
      <c r="L65" s="1692">
        <f t="shared" si="8"/>
        <v>1009389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v>2775</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2775</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1823106</v>
      </c>
      <c r="D74" s="1699">
        <f t="shared" ref="D74:K74" si="10">SUM(D42,D47,D53,D57,D65,D72,D73)</f>
        <v>295653</v>
      </c>
      <c r="E74" s="1699">
        <f t="shared" si="10"/>
        <v>360615</v>
      </c>
      <c r="F74" s="1699">
        <f t="shared" si="10"/>
        <v>392546</v>
      </c>
      <c r="G74" s="1699">
        <f t="shared" si="10"/>
        <v>24125</v>
      </c>
      <c r="H74" s="1699">
        <f t="shared" si="10"/>
        <v>17359</v>
      </c>
      <c r="I74" s="1699">
        <f t="shared" si="10"/>
        <v>9378</v>
      </c>
      <c r="J74" s="1699">
        <f t="shared" si="10"/>
        <v>0</v>
      </c>
      <c r="K74" s="1699">
        <f t="shared" si="10"/>
        <v>2922782</v>
      </c>
      <c r="L74" s="1699">
        <f>SUM(L42,L47,L53,L57,L65,L72,L73)</f>
        <v>2872852</v>
      </c>
    </row>
    <row r="75" spans="1:14" s="259" customFormat="1" ht="15.75" customHeight="1" thickTop="1" thickBot="1" x14ac:dyDescent="0.25">
      <c r="A75" s="1632" t="s">
        <v>49</v>
      </c>
      <c r="B75" s="1633" t="s">
        <v>596</v>
      </c>
      <c r="C75" s="573">
        <f>84634+48423+343938</f>
        <v>476995</v>
      </c>
      <c r="D75" s="573">
        <f>15959+5124+14455</f>
        <v>35538</v>
      </c>
      <c r="E75" s="573">
        <f>11483+1643+22312</f>
        <v>35438</v>
      </c>
      <c r="F75" s="573">
        <f>24921+632+27444</f>
        <v>52997</v>
      </c>
      <c r="G75" s="573"/>
      <c r="H75" s="573">
        <v>40</v>
      </c>
      <c r="I75" s="531"/>
      <c r="J75" s="531"/>
      <c r="K75" s="1692">
        <f>SUM(C75:J75)</f>
        <v>601008</v>
      </c>
      <c r="L75" s="576">
        <v>605330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114513</v>
      </c>
      <c r="I78" s="477"/>
      <c r="J78" s="477"/>
      <c r="K78" s="1693">
        <f t="shared" ref="K78:K83" si="11">SUM(C78:J78)</f>
        <v>114513</v>
      </c>
      <c r="L78" s="481">
        <v>116500</v>
      </c>
    </row>
    <row r="79" spans="1:14" x14ac:dyDescent="0.2">
      <c r="A79" s="1526" t="s">
        <v>322</v>
      </c>
      <c r="B79" s="615">
        <v>4120</v>
      </c>
      <c r="C79" s="617"/>
      <c r="D79" s="617"/>
      <c r="E79" s="466"/>
      <c r="F79" s="617"/>
      <c r="G79" s="617"/>
      <c r="H79" s="466">
        <v>1565574</v>
      </c>
      <c r="I79" s="477"/>
      <c r="J79" s="477"/>
      <c r="K79" s="1693">
        <f t="shared" si="11"/>
        <v>1565574</v>
      </c>
      <c r="L79" s="466">
        <v>1661750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1680087</v>
      </c>
      <c r="I84" s="477"/>
      <c r="J84" s="477"/>
      <c r="K84" s="1692">
        <f>SUM(K78:K83)</f>
        <v>1680087</v>
      </c>
      <c r="L84" s="1692">
        <f>SUM(L78:L83)</f>
        <v>1778250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1680087</v>
      </c>
      <c r="I102" s="477"/>
      <c r="J102" s="477"/>
      <c r="K102" s="1699">
        <f>SUM(K84,K92,K100,K101)</f>
        <v>1680087</v>
      </c>
      <c r="L102" s="1699">
        <f>SUM(L84,L92,L100,L101)</f>
        <v>1778250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8304756</v>
      </c>
      <c r="D114" s="1692">
        <f t="shared" ref="D114:K114" si="13">SUM(D33,D74,D75,D102,D112,D113)</f>
        <v>1757470</v>
      </c>
      <c r="E114" s="1692">
        <f t="shared" si="13"/>
        <v>535627</v>
      </c>
      <c r="F114" s="1692">
        <f t="shared" si="13"/>
        <v>775905</v>
      </c>
      <c r="G114" s="1692">
        <f t="shared" si="13"/>
        <v>24125</v>
      </c>
      <c r="H114" s="1692">
        <f>SUM(H33,H74,H75,H102,H112,H113)</f>
        <v>1838979</v>
      </c>
      <c r="I114" s="1692">
        <f t="shared" si="13"/>
        <v>38190</v>
      </c>
      <c r="J114" s="1692">
        <f t="shared" si="13"/>
        <v>0</v>
      </c>
      <c r="K114" s="1692">
        <f t="shared" si="13"/>
        <v>13275052</v>
      </c>
      <c r="L114" s="1692">
        <f>SUM(L33,L74,L75,L102,L112,L113)</f>
        <v>13452190</v>
      </c>
    </row>
    <row r="115" spans="1:14" ht="13.5" thickTop="1" x14ac:dyDescent="0.2">
      <c r="A115" s="2200" t="s">
        <v>1053</v>
      </c>
      <c r="B115" s="2201"/>
      <c r="C115" s="619"/>
      <c r="D115" s="619"/>
      <c r="E115" s="619"/>
      <c r="F115" s="619"/>
      <c r="G115" s="619"/>
      <c r="H115" s="619"/>
      <c r="I115" s="619"/>
      <c r="J115" s="619"/>
      <c r="K115" s="1706">
        <f>'Revenues 9-14'!C275-'Expenditures 15-22'!K114</f>
        <v>287756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653490</v>
      </c>
      <c r="D124" s="466">
        <v>112870</v>
      </c>
      <c r="E124" s="466">
        <v>62513</v>
      </c>
      <c r="F124" s="466">
        <v>414525</v>
      </c>
      <c r="G124" s="466">
        <v>13439</v>
      </c>
      <c r="H124" s="466"/>
      <c r="I124" s="467">
        <v>8882</v>
      </c>
      <c r="J124" s="467"/>
      <c r="K124" s="1692">
        <f>SUM(C124:J124)</f>
        <v>1265719</v>
      </c>
      <c r="L124" s="466">
        <v>1242350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653490</v>
      </c>
      <c r="D127" s="1692">
        <f t="shared" ref="D127:L127" si="14">SUM(D122:D126)</f>
        <v>112870</v>
      </c>
      <c r="E127" s="1692">
        <f t="shared" si="14"/>
        <v>62513</v>
      </c>
      <c r="F127" s="1692">
        <f t="shared" si="14"/>
        <v>414525</v>
      </c>
      <c r="G127" s="1692">
        <f t="shared" si="14"/>
        <v>13439</v>
      </c>
      <c r="H127" s="1692">
        <f t="shared" si="14"/>
        <v>0</v>
      </c>
      <c r="I127" s="1692">
        <f t="shared" si="14"/>
        <v>8882</v>
      </c>
      <c r="J127" s="1692">
        <f t="shared" si="14"/>
        <v>0</v>
      </c>
      <c r="K127" s="1692">
        <f t="shared" si="14"/>
        <v>1265719</v>
      </c>
      <c r="L127" s="1692">
        <f t="shared" si="14"/>
        <v>1242350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653490</v>
      </c>
      <c r="D129" s="1699">
        <f t="shared" ref="D129:L129" si="15">SUM(D120,D127,D128)</f>
        <v>112870</v>
      </c>
      <c r="E129" s="1699">
        <f t="shared" si="15"/>
        <v>62513</v>
      </c>
      <c r="F129" s="1699">
        <f t="shared" si="15"/>
        <v>414525</v>
      </c>
      <c r="G129" s="1699">
        <f t="shared" si="15"/>
        <v>13439</v>
      </c>
      <c r="H129" s="1699">
        <f t="shared" si="15"/>
        <v>0</v>
      </c>
      <c r="I129" s="1699">
        <f t="shared" si="15"/>
        <v>8882</v>
      </c>
      <c r="J129" s="1699">
        <f t="shared" si="15"/>
        <v>0</v>
      </c>
      <c r="K129" s="1699">
        <f t="shared" si="15"/>
        <v>1265719</v>
      </c>
      <c r="L129" s="1699">
        <f t="shared" si="15"/>
        <v>1242350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1953</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2"/>
      <c r="C151" s="1692">
        <f>SUM(C129,C130,C139,C149,C150)</f>
        <v>653490</v>
      </c>
      <c r="D151" s="1692">
        <f t="shared" ref="D151:K151" si="16">SUM(D129,D130,D139,D149,D150)</f>
        <v>112870</v>
      </c>
      <c r="E151" s="1692">
        <f t="shared" si="16"/>
        <v>62513</v>
      </c>
      <c r="F151" s="1692">
        <f t="shared" si="16"/>
        <v>414525</v>
      </c>
      <c r="G151" s="1692">
        <f t="shared" si="16"/>
        <v>13439</v>
      </c>
      <c r="H151" s="1692">
        <f t="shared" si="16"/>
        <v>0</v>
      </c>
      <c r="I151" s="1692">
        <f t="shared" si="16"/>
        <v>8882</v>
      </c>
      <c r="J151" s="1692">
        <f t="shared" si="16"/>
        <v>0</v>
      </c>
      <c r="K151" s="1692">
        <f t="shared" si="16"/>
        <v>1265719</v>
      </c>
      <c r="L151" s="1692">
        <f>SUM(L129,L130,L139,L149,L150)</f>
        <v>1242350</v>
      </c>
    </row>
    <row r="152" spans="1:14" ht="12.75" customHeight="1" thickTop="1" x14ac:dyDescent="0.2">
      <c r="A152" s="2193" t="s">
        <v>1240</v>
      </c>
      <c r="B152" s="2194"/>
      <c r="C152" s="619"/>
      <c r="D152" s="619"/>
      <c r="E152" s="619"/>
      <c r="F152" s="619"/>
      <c r="G152" s="619"/>
      <c r="H152" s="619"/>
      <c r="I152" s="619"/>
      <c r="J152" s="617"/>
      <c r="K152" s="1706">
        <f>'Revenues 9-14'!D275-'Expenditures 15-22'!K151</f>
        <v>-147781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306503</v>
      </c>
      <c r="I169" s="617"/>
      <c r="J169" s="617"/>
      <c r="K169" s="1693">
        <f>SUM(C169:H169)</f>
        <v>306503</v>
      </c>
      <c r="L169" s="657">
        <v>310500</v>
      </c>
    </row>
    <row r="170" spans="1:14" ht="33.75" customHeight="1" x14ac:dyDescent="0.2">
      <c r="A170" s="670" t="s">
        <v>1769</v>
      </c>
      <c r="B170" s="672" t="s">
        <v>31</v>
      </c>
      <c r="C170" s="617"/>
      <c r="D170" s="617"/>
      <c r="E170" s="617"/>
      <c r="F170" s="617"/>
      <c r="G170" s="617"/>
      <c r="H170" s="569">
        <v>1374000</v>
      </c>
      <c r="I170" s="617"/>
      <c r="J170" s="617"/>
      <c r="K170" s="1693">
        <f>SUM(C170:J170)</f>
        <v>1374000</v>
      </c>
      <c r="L170" s="569">
        <v>1429000</v>
      </c>
    </row>
    <row r="171" spans="1:14" ht="15.75" customHeight="1" x14ac:dyDescent="0.2">
      <c r="A171" s="622" t="s">
        <v>790</v>
      </c>
      <c r="B171" s="673" t="s">
        <v>86</v>
      </c>
      <c r="C171" s="617"/>
      <c r="D171" s="617"/>
      <c r="E171" s="466"/>
      <c r="F171" s="617"/>
      <c r="G171" s="617"/>
      <c r="H171" s="569">
        <f>48618+3638</f>
        <v>52256</v>
      </c>
      <c r="I171" s="477"/>
      <c r="J171" s="617"/>
      <c r="K171" s="1693">
        <f>SUM(C171:J171)</f>
        <v>52256</v>
      </c>
      <c r="L171" s="569"/>
    </row>
    <row r="172" spans="1:14" ht="12.75" customHeight="1" thickBot="1" x14ac:dyDescent="0.25">
      <c r="A172" s="1690" t="s">
        <v>659</v>
      </c>
      <c r="B172" s="1691" t="s">
        <v>513</v>
      </c>
      <c r="C172" s="617"/>
      <c r="D172" s="617"/>
      <c r="E172" s="1699">
        <f>SUM(E168,E169,E170,E171)</f>
        <v>0</v>
      </c>
      <c r="F172" s="617"/>
      <c r="G172" s="617"/>
      <c r="H172" s="1699">
        <f>SUM(H168,H169,H170,H171)</f>
        <v>1732759</v>
      </c>
      <c r="I172" s="639"/>
      <c r="J172" s="617"/>
      <c r="K172" s="1699">
        <f>SUM(K168,K169,K170,K171)</f>
        <v>1732759</v>
      </c>
      <c r="L172" s="1699">
        <f>SUM(L168,L169,L170,L171)</f>
        <v>1739500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1732759</v>
      </c>
      <c r="I174" s="639"/>
      <c r="J174" s="617"/>
      <c r="K174" s="1699">
        <f>SUM(K160,K172,K173)</f>
        <v>1732759</v>
      </c>
      <c r="L174" s="1699">
        <f>SUM(L160,L172,L173)</f>
        <v>1739500</v>
      </c>
    </row>
    <row r="175" spans="1:14" ht="13.5" thickTop="1" x14ac:dyDescent="0.2">
      <c r="A175" s="2200" t="s">
        <v>1053</v>
      </c>
      <c r="B175" s="2201"/>
      <c r="C175" s="617"/>
      <c r="D175" s="617"/>
      <c r="E175" s="617"/>
      <c r="F175" s="617"/>
      <c r="G175" s="617"/>
      <c r="H175" s="619"/>
      <c r="I175" s="617"/>
      <c r="J175" s="617"/>
      <c r="K175" s="1706">
        <f>'Revenues 9-14'!E275-'Expenditures 15-22'!K174</f>
        <v>-45360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581800</v>
      </c>
      <c r="D182" s="466">
        <v>12831</v>
      </c>
      <c r="E182" s="466">
        <v>37461</v>
      </c>
      <c r="F182" s="466">
        <v>183735</v>
      </c>
      <c r="G182" s="466">
        <f>5639+350260</f>
        <v>355899</v>
      </c>
      <c r="H182" s="466">
        <v>2438</v>
      </c>
      <c r="I182" s="467">
        <v>1977</v>
      </c>
      <c r="J182" s="467"/>
      <c r="K182" s="1693">
        <f>SUM(C182:J182)</f>
        <v>1176141</v>
      </c>
      <c r="L182" s="466">
        <v>1226708</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581800</v>
      </c>
      <c r="D184" s="1699">
        <f t="shared" ref="D184:J184" si="17">SUM(D180,D182,D183)</f>
        <v>12831</v>
      </c>
      <c r="E184" s="1699">
        <f t="shared" si="17"/>
        <v>37461</v>
      </c>
      <c r="F184" s="1699">
        <f t="shared" si="17"/>
        <v>183735</v>
      </c>
      <c r="G184" s="1699">
        <f t="shared" si="17"/>
        <v>355899</v>
      </c>
      <c r="H184" s="1699">
        <f t="shared" si="17"/>
        <v>2438</v>
      </c>
      <c r="I184" s="1699">
        <f t="shared" si="17"/>
        <v>1977</v>
      </c>
      <c r="J184" s="1699">
        <f t="shared" si="17"/>
        <v>0</v>
      </c>
      <c r="K184" s="1699">
        <f>SUM(K180,K182,K183)</f>
        <v>1176141</v>
      </c>
      <c r="L184" s="1699">
        <f>SUM(L180, L182:L183)</f>
        <v>1226708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5487</v>
      </c>
      <c r="I205" s="617"/>
      <c r="J205" s="617"/>
      <c r="K205" s="1707">
        <f>SUM(H205)</f>
        <v>5487</v>
      </c>
      <c r="L205" s="535"/>
    </row>
    <row r="206" spans="1:14" ht="30" customHeight="1" x14ac:dyDescent="0.2">
      <c r="A206" s="682" t="s">
        <v>1770</v>
      </c>
      <c r="B206" s="673" t="s">
        <v>31</v>
      </c>
      <c r="C206" s="617"/>
      <c r="D206" s="617"/>
      <c r="E206" s="617"/>
      <c r="F206" s="617"/>
      <c r="G206" s="617"/>
      <c r="H206" s="466">
        <v>142378</v>
      </c>
      <c r="I206" s="617"/>
      <c r="J206" s="617"/>
      <c r="K206" s="1693">
        <f>SUM(H206)</f>
        <v>142378</v>
      </c>
      <c r="L206" s="466">
        <v>153000</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147865</v>
      </c>
      <c r="I208" s="617"/>
      <c r="J208" s="617"/>
      <c r="K208" s="1699">
        <f>SUM(K204,K205,K206,K207)</f>
        <v>147865</v>
      </c>
      <c r="L208" s="1699">
        <f>SUM(L204,L205,L206,L207)</f>
        <v>153000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581800</v>
      </c>
      <c r="D210" s="1692">
        <f>SUM(D184,D185)</f>
        <v>12831</v>
      </c>
      <c r="E210" s="1692">
        <f>SUM(E184,E185,E196)</f>
        <v>37461</v>
      </c>
      <c r="F210" s="1692">
        <f>SUM(F184,F185)</f>
        <v>183735</v>
      </c>
      <c r="G210" s="1692">
        <f>SUM(G184,G185)</f>
        <v>355899</v>
      </c>
      <c r="H210" s="1692">
        <f>SUM(H184,H185,H196,H208,H209)</f>
        <v>150303</v>
      </c>
      <c r="I210" s="1692">
        <f>SUM(I184,I185)</f>
        <v>1977</v>
      </c>
      <c r="J210" s="1692">
        <f>SUM(J184,J185)</f>
        <v>0</v>
      </c>
      <c r="K210" s="1693">
        <f>SUM(K184,K185,K196,K208,K209)</f>
        <v>1324006</v>
      </c>
      <c r="L210" s="1692">
        <f>SUM(L184,L185,L196,L208,L209)</f>
        <v>1379708</v>
      </c>
    </row>
    <row r="211" spans="1:14" ht="13.5" thickTop="1" x14ac:dyDescent="0.2">
      <c r="A211" s="2200" t="s">
        <v>1053</v>
      </c>
      <c r="B211" s="2201"/>
      <c r="C211" s="619"/>
      <c r="D211" s="619"/>
      <c r="E211" s="619"/>
      <c r="F211" s="619"/>
      <c r="G211" s="619"/>
      <c r="H211" s="619"/>
      <c r="I211" s="617"/>
      <c r="J211" s="617"/>
      <c r="K211" s="1706">
        <f>'Revenues 9-14'!F275-'Expenditures 15-22'!K210</f>
        <v>-327361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78415+23874+28577</f>
        <v>130866</v>
      </c>
      <c r="E215" s="617"/>
      <c r="F215" s="617"/>
      <c r="G215" s="617"/>
      <c r="H215" s="617"/>
      <c r="I215" s="617"/>
      <c r="J215" s="617"/>
      <c r="K215" s="1693">
        <f>D215</f>
        <v>130866</v>
      </c>
      <c r="L215" s="466">
        <v>112900</v>
      </c>
    </row>
    <row r="216" spans="1:14" x14ac:dyDescent="0.2">
      <c r="A216" s="1526" t="s">
        <v>165</v>
      </c>
      <c r="B216" s="615" t="s">
        <v>1024</v>
      </c>
      <c r="C216" s="617"/>
      <c r="D216" s="467">
        <v>27283</v>
      </c>
      <c r="E216" s="617"/>
      <c r="F216" s="617"/>
      <c r="G216" s="617"/>
      <c r="H216" s="617"/>
      <c r="I216" s="617"/>
      <c r="J216" s="617"/>
      <c r="K216" s="1693">
        <f t="shared" ref="K216:K228" si="19">D216</f>
        <v>27283</v>
      </c>
      <c r="L216" s="466">
        <v>58000</v>
      </c>
    </row>
    <row r="217" spans="1:14" x14ac:dyDescent="0.2">
      <c r="A217" s="1526" t="s">
        <v>166</v>
      </c>
      <c r="B217" s="615">
        <v>1200</v>
      </c>
      <c r="C217" s="617"/>
      <c r="D217" s="466">
        <v>1265</v>
      </c>
      <c r="E217" s="617"/>
      <c r="F217" s="617"/>
      <c r="G217" s="617"/>
      <c r="H217" s="617"/>
      <c r="I217" s="617"/>
      <c r="J217" s="617"/>
      <c r="K217" s="1693">
        <f t="shared" si="19"/>
        <v>1265</v>
      </c>
      <c r="L217" s="466">
        <v>2000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21513</v>
      </c>
      <c r="E219" s="617"/>
      <c r="F219" s="617"/>
      <c r="G219" s="617"/>
      <c r="H219" s="617"/>
      <c r="I219" s="617"/>
      <c r="J219" s="617"/>
      <c r="K219" s="1693">
        <f t="shared" si="19"/>
        <v>21513</v>
      </c>
      <c r="L219" s="466">
        <v>21500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f>6780+574+1677+660</f>
        <v>9691</v>
      </c>
      <c r="E222" s="617"/>
      <c r="F222" s="617"/>
      <c r="G222" s="617"/>
      <c r="H222" s="617"/>
      <c r="I222" s="617"/>
      <c r="J222" s="617"/>
      <c r="K222" s="1693">
        <f t="shared" si="19"/>
        <v>9691</v>
      </c>
      <c r="L222" s="466">
        <v>10500</v>
      </c>
    </row>
    <row r="223" spans="1:14" x14ac:dyDescent="0.2">
      <c r="A223" s="1526" t="s">
        <v>1020</v>
      </c>
      <c r="B223" s="615">
        <v>1500</v>
      </c>
      <c r="C223" s="617"/>
      <c r="D223" s="466">
        <f>70+539+210+374+143+434+806+1634+447+518+122+394</f>
        <v>5691</v>
      </c>
      <c r="E223" s="617"/>
      <c r="F223" s="617"/>
      <c r="G223" s="617"/>
      <c r="H223" s="617"/>
      <c r="I223" s="617"/>
      <c r="J223" s="617"/>
      <c r="K223" s="1693">
        <f t="shared" si="19"/>
        <v>5691</v>
      </c>
      <c r="L223" s="466">
        <v>6900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713</v>
      </c>
      <c r="E226" s="617"/>
      <c r="F226" s="617"/>
      <c r="G226" s="617"/>
      <c r="H226" s="617"/>
      <c r="I226" s="617"/>
      <c r="J226" s="617"/>
      <c r="K226" s="1693">
        <f t="shared" si="19"/>
        <v>713</v>
      </c>
      <c r="L226" s="466">
        <v>700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197022</v>
      </c>
      <c r="E229" s="617"/>
      <c r="F229" s="617"/>
      <c r="G229" s="617"/>
      <c r="H229" s="617"/>
      <c r="I229" s="617"/>
      <c r="J229" s="617"/>
      <c r="K229" s="1692">
        <f>SUM(K215:K228)</f>
        <v>197022</v>
      </c>
      <c r="L229" s="1692">
        <f>SUM(L215:L228)</f>
        <v>212500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19399</v>
      </c>
      <c r="E233" s="617"/>
      <c r="F233" s="617"/>
      <c r="G233" s="617"/>
      <c r="H233" s="617"/>
      <c r="I233" s="617"/>
      <c r="J233" s="617"/>
      <c r="K233" s="1693">
        <f t="shared" si="20"/>
        <v>19399</v>
      </c>
      <c r="L233" s="466">
        <v>13000</v>
      </c>
    </row>
    <row r="234" spans="1:12" x14ac:dyDescent="0.2">
      <c r="A234" s="1526" t="s">
        <v>207</v>
      </c>
      <c r="B234" s="615">
        <v>2130</v>
      </c>
      <c r="C234" s="617"/>
      <c r="D234" s="466">
        <v>8958</v>
      </c>
      <c r="E234" s="617"/>
      <c r="F234" s="617"/>
      <c r="G234" s="617"/>
      <c r="H234" s="617"/>
      <c r="I234" s="617"/>
      <c r="J234" s="617"/>
      <c r="K234" s="1693">
        <f t="shared" si="20"/>
        <v>8958</v>
      </c>
      <c r="L234" s="466">
        <v>6000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17641</v>
      </c>
      <c r="E237" s="617"/>
      <c r="F237" s="617"/>
      <c r="G237" s="617"/>
      <c r="H237" s="617"/>
      <c r="I237" s="617"/>
      <c r="J237" s="617"/>
      <c r="K237" s="1693">
        <f t="shared" si="20"/>
        <v>17641</v>
      </c>
      <c r="L237" s="466">
        <v>17500</v>
      </c>
    </row>
    <row r="238" spans="1:12" ht="12.75" customHeight="1" thickBot="1" x14ac:dyDescent="0.25">
      <c r="A238" s="1690" t="s">
        <v>581</v>
      </c>
      <c r="B238" s="1697" t="s">
        <v>740</v>
      </c>
      <c r="C238" s="617"/>
      <c r="D238" s="1692">
        <f>SUM(D232:D237)</f>
        <v>45998</v>
      </c>
      <c r="E238" s="617"/>
      <c r="F238" s="617"/>
      <c r="G238" s="617"/>
      <c r="H238" s="617"/>
      <c r="I238" s="617"/>
      <c r="J238" s="617"/>
      <c r="K238" s="1692">
        <f>SUM(K232:K237)</f>
        <v>45998</v>
      </c>
      <c r="L238" s="1692">
        <f>SUM(L232:L237)</f>
        <v>36500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75</v>
      </c>
      <c r="E240" s="617"/>
      <c r="F240" s="617"/>
      <c r="G240" s="617"/>
      <c r="H240" s="617"/>
      <c r="I240" s="617"/>
      <c r="J240" s="617"/>
      <c r="K240" s="1694">
        <f>D240</f>
        <v>75</v>
      </c>
      <c r="L240" s="481">
        <v>300</v>
      </c>
    </row>
    <row r="241" spans="1:12" x14ac:dyDescent="0.2">
      <c r="A241" s="1526" t="s">
        <v>869</v>
      </c>
      <c r="B241" s="615">
        <v>2220</v>
      </c>
      <c r="C241" s="617"/>
      <c r="D241" s="466">
        <v>1002</v>
      </c>
      <c r="E241" s="617"/>
      <c r="F241" s="617"/>
      <c r="G241" s="617"/>
      <c r="H241" s="617"/>
      <c r="I241" s="617"/>
      <c r="J241" s="617"/>
      <c r="K241" s="1694">
        <f>D241</f>
        <v>1002</v>
      </c>
      <c r="L241" s="466">
        <v>1000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1077</v>
      </c>
      <c r="E243" s="617"/>
      <c r="F243" s="617"/>
      <c r="G243" s="617"/>
      <c r="H243" s="617"/>
      <c r="I243" s="617"/>
      <c r="J243" s="617"/>
      <c r="K243" s="1692">
        <f>SUM(K240:K242)</f>
        <v>1077</v>
      </c>
      <c r="L243" s="1692">
        <f>SUM(L240:L242)</f>
        <v>1300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3989</v>
      </c>
      <c r="E245" s="617"/>
      <c r="F245" s="617"/>
      <c r="G245" s="617"/>
      <c r="H245" s="617"/>
      <c r="I245" s="617"/>
      <c r="J245" s="617"/>
      <c r="K245" s="1694">
        <f>D245</f>
        <v>3989</v>
      </c>
      <c r="L245" s="481">
        <v>6500</v>
      </c>
    </row>
    <row r="246" spans="1:12" x14ac:dyDescent="0.2">
      <c r="A246" s="1526" t="s">
        <v>872</v>
      </c>
      <c r="B246" s="615">
        <v>2320</v>
      </c>
      <c r="C246" s="617"/>
      <c r="D246" s="466">
        <v>6084</v>
      </c>
      <c r="E246" s="617"/>
      <c r="F246" s="617"/>
      <c r="G246" s="617"/>
      <c r="H246" s="617"/>
      <c r="I246" s="617"/>
      <c r="J246" s="617"/>
      <c r="K246" s="1694">
        <f t="shared" ref="K246:K256" si="21">D246</f>
        <v>6084</v>
      </c>
      <c r="L246" s="466">
        <v>8000</v>
      </c>
    </row>
    <row r="247" spans="1:12" x14ac:dyDescent="0.2">
      <c r="A247" s="1526" t="s">
        <v>873</v>
      </c>
      <c r="B247" s="615">
        <v>2330</v>
      </c>
      <c r="C247" s="617"/>
      <c r="D247" s="466">
        <v>3432</v>
      </c>
      <c r="E247" s="617"/>
      <c r="F247" s="617"/>
      <c r="G247" s="617"/>
      <c r="H247" s="617"/>
      <c r="I247" s="617"/>
      <c r="J247" s="617"/>
      <c r="K247" s="1694">
        <f t="shared" si="21"/>
        <v>3432</v>
      </c>
      <c r="L247" s="466">
        <v>4600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v>62879</v>
      </c>
      <c r="E252" s="617"/>
      <c r="F252" s="617"/>
      <c r="G252" s="617"/>
      <c r="H252" s="617"/>
      <c r="I252" s="617"/>
      <c r="J252" s="617"/>
      <c r="K252" s="1694">
        <f t="shared" si="21"/>
        <v>62879</v>
      </c>
      <c r="L252" s="466">
        <v>63000</v>
      </c>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76384</v>
      </c>
      <c r="E257" s="617"/>
      <c r="F257" s="617"/>
      <c r="G257" s="617"/>
      <c r="H257" s="617"/>
      <c r="I257" s="617"/>
      <c r="J257" s="617"/>
      <c r="K257" s="1692">
        <f>SUM(K245:K256)</f>
        <v>76384</v>
      </c>
      <c r="L257" s="1692">
        <f>SUM(L245:L256)</f>
        <v>82100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45405</v>
      </c>
      <c r="E259" s="617"/>
      <c r="F259" s="617"/>
      <c r="G259" s="617"/>
      <c r="H259" s="617"/>
      <c r="I259" s="617"/>
      <c r="J259" s="617"/>
      <c r="K259" s="1694">
        <f>D259</f>
        <v>45405</v>
      </c>
      <c r="L259" s="481">
        <v>50500</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45405</v>
      </c>
      <c r="E261" s="617"/>
      <c r="F261" s="617"/>
      <c r="G261" s="617"/>
      <c r="H261" s="617"/>
      <c r="I261" s="617"/>
      <c r="J261" s="617"/>
      <c r="K261" s="1692">
        <f>SUM(K259:K260)</f>
        <v>45405</v>
      </c>
      <c r="L261" s="1692">
        <f>SUM(L259:L260)</f>
        <v>50500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22614</v>
      </c>
      <c r="E264" s="617"/>
      <c r="F264" s="617"/>
      <c r="G264" s="617"/>
      <c r="H264" s="617"/>
      <c r="I264" s="617"/>
      <c r="J264" s="617"/>
      <c r="K264" s="1694">
        <f t="shared" ref="K264:K269" si="22">D264</f>
        <v>22614</v>
      </c>
      <c r="L264" s="466">
        <v>24500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129965</v>
      </c>
      <c r="E266" s="617"/>
      <c r="F266" s="617"/>
      <c r="G266" s="617"/>
      <c r="H266" s="617"/>
      <c r="I266" s="617"/>
      <c r="J266" s="617"/>
      <c r="K266" s="1694">
        <f t="shared" si="22"/>
        <v>129965</v>
      </c>
      <c r="L266" s="466">
        <v>127000</v>
      </c>
    </row>
    <row r="267" spans="1:14" x14ac:dyDescent="0.2">
      <c r="A267" s="1526" t="s">
        <v>1010</v>
      </c>
      <c r="B267" s="615">
        <v>2550</v>
      </c>
      <c r="C267" s="617"/>
      <c r="D267" s="466">
        <v>124583</v>
      </c>
      <c r="E267" s="617"/>
      <c r="F267" s="617"/>
      <c r="G267" s="617"/>
      <c r="H267" s="617"/>
      <c r="I267" s="617"/>
      <c r="J267" s="617"/>
      <c r="K267" s="1694">
        <f t="shared" si="22"/>
        <v>124583</v>
      </c>
      <c r="L267" s="466">
        <v>129500</v>
      </c>
    </row>
    <row r="268" spans="1:14" x14ac:dyDescent="0.2">
      <c r="A268" s="1526" t="s">
        <v>102</v>
      </c>
      <c r="B268" s="615">
        <v>2560</v>
      </c>
      <c r="C268" s="617"/>
      <c r="D268" s="466">
        <v>68920</v>
      </c>
      <c r="E268" s="617"/>
      <c r="F268" s="617"/>
      <c r="G268" s="617"/>
      <c r="H268" s="617"/>
      <c r="I268" s="617"/>
      <c r="J268" s="617"/>
      <c r="K268" s="1694">
        <f t="shared" si="22"/>
        <v>68920</v>
      </c>
      <c r="L268" s="466">
        <v>71000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346082</v>
      </c>
      <c r="E270" s="617"/>
      <c r="F270" s="617"/>
      <c r="G270" s="617"/>
      <c r="H270" s="617"/>
      <c r="I270" s="617"/>
      <c r="J270" s="617"/>
      <c r="K270" s="1692">
        <f>SUM(K263:K269)</f>
        <v>346082</v>
      </c>
      <c r="L270" s="1692">
        <f>SUM(L263:L269)</f>
        <v>352000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514946</v>
      </c>
      <c r="E279" s="617"/>
      <c r="F279" s="617"/>
      <c r="G279" s="617"/>
      <c r="H279" s="617"/>
      <c r="I279" s="617"/>
      <c r="J279" s="617"/>
      <c r="K279" s="1699">
        <f>SUM(K238,K243,K257,K261,K270,K277,K278)</f>
        <v>514946</v>
      </c>
      <c r="L279" s="1699">
        <f>SUM(L238,L243,L257,L261,L270,L277,L278)</f>
        <v>522400</v>
      </c>
    </row>
    <row r="280" spans="1:12" ht="15.75" customHeight="1" thickTop="1" thickBot="1" x14ac:dyDescent="0.25">
      <c r="A280" s="1646" t="s">
        <v>930</v>
      </c>
      <c r="B280" s="1635">
        <v>3000</v>
      </c>
      <c r="C280" s="617"/>
      <c r="D280" s="576">
        <f>9110+66879+13435</f>
        <v>89424</v>
      </c>
      <c r="E280" s="617"/>
      <c r="F280" s="617"/>
      <c r="G280" s="617"/>
      <c r="H280" s="617"/>
      <c r="I280" s="617"/>
      <c r="J280" s="617"/>
      <c r="K280" s="1701">
        <f>D280</f>
        <v>89424</v>
      </c>
      <c r="L280" s="576">
        <v>85700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1953</v>
      </c>
      <c r="C282" s="617"/>
      <c r="D282" s="467"/>
      <c r="E282" s="617"/>
      <c r="F282" s="617"/>
      <c r="G282" s="617"/>
      <c r="H282" s="617"/>
      <c r="I282" s="617"/>
      <c r="J282" s="617"/>
      <c r="K282" s="1693">
        <f>D282</f>
        <v>0</v>
      </c>
      <c r="L282" s="467"/>
    </row>
    <row r="283" spans="1:12" x14ac:dyDescent="0.2">
      <c r="A283" s="1526" t="s">
        <v>322</v>
      </c>
      <c r="B283" s="615">
        <v>4120</v>
      </c>
      <c r="C283" s="617"/>
      <c r="D283" s="466">
        <v>76521</v>
      </c>
      <c r="E283" s="617"/>
      <c r="F283" s="617"/>
      <c r="G283" s="617"/>
      <c r="H283" s="617"/>
      <c r="I283" s="617"/>
      <c r="J283" s="617"/>
      <c r="K283" s="1693">
        <f>D283</f>
        <v>76521</v>
      </c>
      <c r="L283" s="466">
        <v>76000</v>
      </c>
    </row>
    <row r="284" spans="1:12" x14ac:dyDescent="0.2">
      <c r="A284" s="1526" t="s">
        <v>721</v>
      </c>
      <c r="B284" s="615">
        <v>4140</v>
      </c>
      <c r="C284" s="617"/>
      <c r="D284" s="467"/>
      <c r="E284" s="617"/>
      <c r="F284" s="617"/>
      <c r="G284" s="617"/>
      <c r="H284" s="617"/>
      <c r="I284" s="617"/>
      <c r="J284" s="617"/>
      <c r="K284" s="1693">
        <f>D284</f>
        <v>0</v>
      </c>
      <c r="L284" s="466">
        <v>2500</v>
      </c>
    </row>
    <row r="285" spans="1:12" ht="12.75" customHeight="1" thickBot="1" x14ac:dyDescent="0.25">
      <c r="A285" s="1690" t="s">
        <v>1567</v>
      </c>
      <c r="B285" s="1691" t="s">
        <v>915</v>
      </c>
      <c r="C285" s="617"/>
      <c r="D285" s="1692">
        <f>SUM(D282:D284)</f>
        <v>76521</v>
      </c>
      <c r="E285" s="617"/>
      <c r="F285" s="617"/>
      <c r="G285" s="617"/>
      <c r="H285" s="617"/>
      <c r="I285" s="617"/>
      <c r="J285" s="617"/>
      <c r="K285" s="1692">
        <f>SUM(K282:K284)</f>
        <v>76521</v>
      </c>
      <c r="L285" s="1692">
        <f>SUM(L282:L284)</f>
        <v>78500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877913</v>
      </c>
      <c r="E295" s="617"/>
      <c r="F295" s="617"/>
      <c r="G295" s="617"/>
      <c r="H295" s="1692">
        <f>H293</f>
        <v>0</v>
      </c>
      <c r="I295" s="617"/>
      <c r="J295" s="617"/>
      <c r="K295" s="1692">
        <f>SUM(K229,K279,K280,K285,K293,K294)</f>
        <v>877913</v>
      </c>
      <c r="L295" s="1692">
        <f>SUM(L229,L279,L280,L285,L293,L294)</f>
        <v>899100</v>
      </c>
    </row>
    <row r="296" spans="1:14" ht="13.5" thickTop="1" x14ac:dyDescent="0.2">
      <c r="A296" s="2200" t="s">
        <v>1053</v>
      </c>
      <c r="B296" s="2201"/>
      <c r="C296" s="617"/>
      <c r="D296" s="619"/>
      <c r="E296" s="617"/>
      <c r="F296" s="617"/>
      <c r="G296" s="617"/>
      <c r="H296" s="688"/>
      <c r="I296" s="617"/>
      <c r="J296" s="617"/>
      <c r="K296" s="1706">
        <f>'Revenues 9-14'!G275-'Expenditures 15-22'!K295</f>
        <v>-30519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147154</v>
      </c>
      <c r="F301" s="466">
        <v>1075</v>
      </c>
      <c r="G301" s="466">
        <v>65690</v>
      </c>
      <c r="H301" s="466"/>
      <c r="I301" s="467">
        <v>61148</v>
      </c>
      <c r="J301" s="467"/>
      <c r="K301" s="1693">
        <f>SUM(C301:J301)</f>
        <v>275067</v>
      </c>
      <c r="L301" s="467">
        <v>200000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147154</v>
      </c>
      <c r="F303" s="1699">
        <f t="shared" si="23"/>
        <v>1075</v>
      </c>
      <c r="G303" s="1699">
        <f t="shared" si="23"/>
        <v>65690</v>
      </c>
      <c r="H303" s="1699">
        <f t="shared" si="23"/>
        <v>0</v>
      </c>
      <c r="I303" s="1699">
        <f t="shared" si="23"/>
        <v>61148</v>
      </c>
      <c r="J303" s="1699">
        <f t="shared" si="23"/>
        <v>0</v>
      </c>
      <c r="K303" s="1699">
        <f t="shared" si="23"/>
        <v>275067</v>
      </c>
      <c r="L303" s="1699">
        <f t="shared" si="23"/>
        <v>200000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147154</v>
      </c>
      <c r="F312" s="1692">
        <f>SUM(F303)</f>
        <v>1075</v>
      </c>
      <c r="G312" s="1692">
        <f>SUM(G303)</f>
        <v>65690</v>
      </c>
      <c r="H312" s="1692">
        <f>SUM(H303,H310)</f>
        <v>0</v>
      </c>
      <c r="I312" s="1692">
        <f>SUM(I303)</f>
        <v>61148</v>
      </c>
      <c r="J312" s="1692">
        <f>SUM(J303)</f>
        <v>0</v>
      </c>
      <c r="K312" s="1692">
        <f>SUM(K303,K310,K311)</f>
        <v>275067</v>
      </c>
      <c r="L312" s="1692">
        <f>SUM(L303,L310,L311)</f>
        <v>200000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719606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85836</v>
      </c>
      <c r="F320" s="467"/>
      <c r="G320" s="467"/>
      <c r="H320" s="467"/>
      <c r="I320" s="467"/>
      <c r="J320" s="467"/>
      <c r="K320" s="1693">
        <f t="shared" ref="K320:K327" si="24">SUM(C320:J320)</f>
        <v>85836</v>
      </c>
      <c r="L320" s="467">
        <v>5000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10000</v>
      </c>
      <c r="M321" s="666"/>
      <c r="N321" s="666"/>
    </row>
    <row r="322" spans="1:14" s="675" customFormat="1" x14ac:dyDescent="0.2">
      <c r="A322" s="1541" t="s">
        <v>256</v>
      </c>
      <c r="B322" s="698" t="s">
        <v>302</v>
      </c>
      <c r="C322" s="467"/>
      <c r="D322" s="467"/>
      <c r="E322" s="467">
        <v>101995</v>
      </c>
      <c r="F322" s="467"/>
      <c r="G322" s="467"/>
      <c r="H322" s="467"/>
      <c r="I322" s="467"/>
      <c r="J322" s="467"/>
      <c r="K322" s="1693">
        <f t="shared" si="24"/>
        <v>101995</v>
      </c>
      <c r="L322" s="467">
        <v>220000</v>
      </c>
      <c r="M322" s="666"/>
      <c r="N322" s="666"/>
    </row>
    <row r="323" spans="1:14" s="675" customFormat="1" x14ac:dyDescent="0.2">
      <c r="A323" s="1541" t="s">
        <v>726</v>
      </c>
      <c r="B323" s="698" t="s">
        <v>303</v>
      </c>
      <c r="C323" s="467">
        <v>433218</v>
      </c>
      <c r="D323" s="467">
        <v>74501</v>
      </c>
      <c r="E323" s="467"/>
      <c r="F323" s="467">
        <v>4800</v>
      </c>
      <c r="G323" s="467"/>
      <c r="H323" s="467">
        <v>14458</v>
      </c>
      <c r="I323" s="467"/>
      <c r="J323" s="467"/>
      <c r="K323" s="1693">
        <f t="shared" si="24"/>
        <v>526977</v>
      </c>
      <c r="L323" s="467">
        <v>540150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20529</v>
      </c>
      <c r="F325" s="467"/>
      <c r="G325" s="467"/>
      <c r="H325" s="467"/>
      <c r="I325" s="467"/>
      <c r="J325" s="467"/>
      <c r="K325" s="1693">
        <f t="shared" si="24"/>
        <v>20529</v>
      </c>
      <c r="L325" s="467">
        <v>40000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33994</v>
      </c>
      <c r="F327" s="467"/>
      <c r="G327" s="467"/>
      <c r="H327" s="467"/>
      <c r="I327" s="467"/>
      <c r="J327" s="467"/>
      <c r="K327" s="1693">
        <f t="shared" si="24"/>
        <v>33994</v>
      </c>
      <c r="L327" s="467">
        <v>60000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433218</v>
      </c>
      <c r="D330" s="1692">
        <f t="shared" ref="D330:J330" si="25">SUM(D319:D329)</f>
        <v>74501</v>
      </c>
      <c r="E330" s="1692">
        <f t="shared" si="25"/>
        <v>242354</v>
      </c>
      <c r="F330" s="1692">
        <f t="shared" si="25"/>
        <v>4800</v>
      </c>
      <c r="G330" s="1692">
        <f t="shared" si="25"/>
        <v>0</v>
      </c>
      <c r="H330" s="1692">
        <f t="shared" si="25"/>
        <v>14458</v>
      </c>
      <c r="I330" s="1692">
        <f t="shared" si="25"/>
        <v>0</v>
      </c>
      <c r="J330" s="1692">
        <f t="shared" si="25"/>
        <v>0</v>
      </c>
      <c r="K330" s="1692">
        <f>SUM(K319:K329)</f>
        <v>769331</v>
      </c>
      <c r="L330" s="1692">
        <f>SUM(L319:L329)</f>
        <v>875150</v>
      </c>
      <c r="M330" s="666"/>
      <c r="N330" s="666"/>
    </row>
    <row r="331" spans="1:14" s="675" customFormat="1" ht="12.75" customHeight="1" thickTop="1" x14ac:dyDescent="0.2">
      <c r="A331" s="1854" t="s">
        <v>1959</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433218</v>
      </c>
      <c r="D342" s="1692">
        <f>SUM(D330)</f>
        <v>74501</v>
      </c>
      <c r="E342" s="1692">
        <f>SUM(E330)</f>
        <v>242354</v>
      </c>
      <c r="F342" s="1692">
        <f>SUM(F330)</f>
        <v>4800</v>
      </c>
      <c r="G342" s="1692">
        <f>SUM(G330)</f>
        <v>0</v>
      </c>
      <c r="H342" s="1692">
        <f>SUM(H330,H334,H340)</f>
        <v>14458</v>
      </c>
      <c r="I342" s="1692">
        <f>SUM(I330)</f>
        <v>0</v>
      </c>
      <c r="J342" s="1692">
        <f>SUM(J330)</f>
        <v>0</v>
      </c>
      <c r="K342" s="1692">
        <f>SUM(K330,K334,K340)</f>
        <v>769331</v>
      </c>
      <c r="L342" s="1699">
        <f>SUM(L330,L340,L341)</f>
        <v>875150</v>
      </c>
    </row>
    <row r="343" spans="1:14" ht="12.75" customHeight="1" thickTop="1" x14ac:dyDescent="0.2">
      <c r="A343" s="2186" t="s">
        <v>1053</v>
      </c>
      <c r="B343" s="2187"/>
      <c r="C343" s="617"/>
      <c r="D343" s="617"/>
      <c r="E343" s="617"/>
      <c r="F343" s="617"/>
      <c r="G343" s="617"/>
      <c r="H343" s="617"/>
      <c r="I343" s="617"/>
      <c r="J343" s="617"/>
      <c r="K343" s="1706">
        <f>'Revenues 9-14'!J275-'Expenditures 15-22'!K342</f>
        <v>85669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1200</v>
      </c>
      <c r="F348" s="466"/>
      <c r="G348" s="466"/>
      <c r="H348" s="466"/>
      <c r="I348" s="467"/>
      <c r="J348" s="467"/>
      <c r="K348" s="1693">
        <f>SUM(C348:J348)</f>
        <v>1200</v>
      </c>
      <c r="L348" s="466">
        <v>10000</v>
      </c>
    </row>
    <row r="349" spans="1:14" x14ac:dyDescent="0.2">
      <c r="A349" s="1526" t="s">
        <v>206</v>
      </c>
      <c r="B349" s="615">
        <v>2540</v>
      </c>
      <c r="C349" s="466"/>
      <c r="D349" s="466"/>
      <c r="E349" s="466">
        <v>27024</v>
      </c>
      <c r="F349" s="466"/>
      <c r="G349" s="466">
        <v>24587</v>
      </c>
      <c r="H349" s="466"/>
      <c r="I349" s="467"/>
      <c r="J349" s="467"/>
      <c r="K349" s="1693">
        <f>SUM(C349:J349)</f>
        <v>51611</v>
      </c>
      <c r="L349" s="466">
        <v>131000</v>
      </c>
    </row>
    <row r="350" spans="1:14" ht="12.75" customHeight="1" thickBot="1" x14ac:dyDescent="0.25">
      <c r="A350" s="1690" t="s">
        <v>743</v>
      </c>
      <c r="B350" s="1691" t="s">
        <v>35</v>
      </c>
      <c r="C350" s="1692">
        <f>SUM(C348:C349)</f>
        <v>0</v>
      </c>
      <c r="D350" s="1692">
        <f t="shared" ref="D350:L350" si="26">SUM(D348:D349)</f>
        <v>0</v>
      </c>
      <c r="E350" s="1692">
        <f t="shared" si="26"/>
        <v>28224</v>
      </c>
      <c r="F350" s="1692">
        <f t="shared" si="26"/>
        <v>0</v>
      </c>
      <c r="G350" s="1692">
        <f t="shared" si="26"/>
        <v>24587</v>
      </c>
      <c r="H350" s="1692">
        <f t="shared" si="26"/>
        <v>0</v>
      </c>
      <c r="I350" s="1692">
        <f t="shared" si="26"/>
        <v>0</v>
      </c>
      <c r="J350" s="1692">
        <f t="shared" si="26"/>
        <v>0</v>
      </c>
      <c r="K350" s="1692">
        <f t="shared" si="26"/>
        <v>52811</v>
      </c>
      <c r="L350" s="1692">
        <f t="shared" si="26"/>
        <v>141000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28224</v>
      </c>
      <c r="F352" s="1692">
        <f t="shared" si="27"/>
        <v>0</v>
      </c>
      <c r="G352" s="1692">
        <f t="shared" si="27"/>
        <v>24587</v>
      </c>
      <c r="H352" s="1692">
        <f t="shared" si="27"/>
        <v>0</v>
      </c>
      <c r="I352" s="1692">
        <f t="shared" si="27"/>
        <v>0</v>
      </c>
      <c r="J352" s="1692">
        <f t="shared" si="27"/>
        <v>0</v>
      </c>
      <c r="K352" s="1692">
        <f t="shared" si="27"/>
        <v>52811</v>
      </c>
      <c r="L352" s="1692">
        <f t="shared" si="27"/>
        <v>141000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28224</v>
      </c>
      <c r="F367" s="1692">
        <f t="shared" si="28"/>
        <v>0</v>
      </c>
      <c r="G367" s="1692">
        <f t="shared" si="28"/>
        <v>24587</v>
      </c>
      <c r="H367" s="1692">
        <f t="shared" si="28"/>
        <v>0</v>
      </c>
      <c r="I367" s="1692">
        <f t="shared" si="28"/>
        <v>0</v>
      </c>
      <c r="J367" s="1692">
        <f t="shared" si="28"/>
        <v>0</v>
      </c>
      <c r="K367" s="1692">
        <f t="shared" si="28"/>
        <v>52811</v>
      </c>
      <c r="L367" s="1692">
        <f t="shared" si="28"/>
        <v>141000</v>
      </c>
    </row>
    <row r="368" spans="1:14" ht="13.5" thickTop="1" x14ac:dyDescent="0.2">
      <c r="A368" s="2200" t="s">
        <v>1053</v>
      </c>
      <c r="B368" s="2201"/>
      <c r="C368" s="655"/>
      <c r="D368" s="655"/>
      <c r="E368" s="627"/>
      <c r="F368" s="627"/>
      <c r="G368" s="627"/>
      <c r="H368" s="627"/>
      <c r="I368" s="627"/>
      <c r="J368" s="624"/>
      <c r="K368" s="1693">
        <f>'Revenues 9-14'!K275-'Expenditures 15-22'!K367</f>
        <v>38473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schemas.microsoft.com/office/infopath/2007/PartnerControls"/>
    <ds:schemaRef ds:uri="6ce3111e-7420-4802-b50a-75d4e9a0b980"/>
    <ds:schemaRef ds:uri="http://purl.org/dc/elements/1.1/"/>
    <ds:schemaRef ds:uri="4d435f69-8686-490b-bd6d-b153bf22ab50"/>
    <ds:schemaRef ds:uri="http://www.w3.org/XML/1998/namespace"/>
    <ds:schemaRef ds:uri="http://schemas.microsoft.com/office/2006/metadata/properties"/>
    <ds:schemaRef ds:uri="http://schemas.openxmlformats.org/package/2006/metadata/core-properties"/>
    <ds:schemaRef ds:uri="http://schemas.microsoft.com/sharepoint/v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(2)</vt:lpstr>
      <vt:lpstr> SEFA (3)</vt:lpstr>
      <vt:lpstr> SEFA</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2018-11-13T19:44:34Z</cp:lastPrinted>
  <dcterms:created xsi:type="dcterms:W3CDTF">2003-10-29T19:06:34Z</dcterms:created>
  <dcterms:modified xsi:type="dcterms:W3CDTF">2018-11-27T15:52:38Z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