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SEFA'!$B$1:$M$45</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NOTES'!$A$1:$F$42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D17" i="171" l="1"/>
  <c r="K14" i="185" l="1"/>
  <c r="K16" i="185" s="1"/>
  <c r="J14" i="185"/>
  <c r="J16" i="185" s="1"/>
  <c r="I14" i="185"/>
  <c r="H14" i="185"/>
  <c r="H16" i="185" s="1"/>
  <c r="G14" i="185"/>
  <c r="F14" i="185"/>
  <c r="E14" i="185"/>
  <c r="E16" i="185" s="1"/>
  <c r="K24" i="184"/>
  <c r="J24" i="184"/>
  <c r="I24" i="184"/>
  <c r="H24" i="184"/>
  <c r="G24" i="184"/>
  <c r="F24" i="184"/>
  <c r="E24" i="184"/>
  <c r="K19" i="184"/>
  <c r="J19" i="184"/>
  <c r="I19" i="184"/>
  <c r="I16" i="185" s="1"/>
  <c r="H19" i="184"/>
  <c r="G19" i="184"/>
  <c r="G16" i="185" s="1"/>
  <c r="F19" i="184"/>
  <c r="E19" i="184"/>
  <c r="K26" i="183"/>
  <c r="J26" i="183"/>
  <c r="I26" i="183"/>
  <c r="H26" i="183"/>
  <c r="G26" i="183"/>
  <c r="F26" i="183"/>
  <c r="E26" i="183"/>
  <c r="K14" i="183"/>
  <c r="K19" i="183" s="1"/>
  <c r="K18" i="185" s="1"/>
  <c r="J14" i="183"/>
  <c r="I14" i="183"/>
  <c r="I19" i="183" s="1"/>
  <c r="H14" i="183"/>
  <c r="G14" i="183"/>
  <c r="G19" i="183" s="1"/>
  <c r="G18" i="185" s="1"/>
  <c r="F14" i="183"/>
  <c r="E14" i="183"/>
  <c r="E19" i="183" s="1"/>
  <c r="E18" i="185" s="1"/>
  <c r="L12" i="183"/>
  <c r="K25" i="179"/>
  <c r="J25" i="179"/>
  <c r="J19" i="183" s="1"/>
  <c r="I25" i="179"/>
  <c r="H25" i="179"/>
  <c r="H19" i="183" s="1"/>
  <c r="G25" i="179"/>
  <c r="F25" i="179"/>
  <c r="F19" i="183" s="1"/>
  <c r="E25" i="179"/>
  <c r="H18" i="185" l="1"/>
  <c r="J18" i="185"/>
  <c r="F16" i="185"/>
  <c r="I18" i="185"/>
  <c r="F18" i="185"/>
  <c r="D35" i="171" s="1"/>
  <c r="L13" i="185"/>
  <c r="L12" i="185"/>
  <c r="L14" i="185" s="1"/>
  <c r="B4" i="185"/>
  <c r="L23" i="184"/>
  <c r="L22" i="184"/>
  <c r="L18" i="184"/>
  <c r="L17" i="184"/>
  <c r="L16" i="184"/>
  <c r="L14" i="184"/>
  <c r="B4" i="184"/>
  <c r="L24" i="183"/>
  <c r="L23" i="183"/>
  <c r="L26" i="183" s="1"/>
  <c r="L17" i="183"/>
  <c r="L13" i="183"/>
  <c r="L14" i="183" s="1"/>
  <c r="B4" i="183"/>
  <c r="L19" i="184" l="1"/>
  <c r="L24" i="184"/>
  <c r="D182" i="34"/>
  <c r="L16" i="185"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F22" i="181"/>
  <c r="G22" i="181" s="1"/>
  <c r="E22" i="181"/>
  <c r="E21" i="181"/>
  <c r="F21" i="181" s="1"/>
  <c r="G21" i="181" s="1"/>
  <c r="E20" i="181"/>
  <c r="F20" i="181" s="1"/>
  <c r="G20" i="181" s="1"/>
  <c r="F19" i="181"/>
  <c r="G19" i="181" s="1"/>
  <c r="E19" i="181"/>
  <c r="F18" i="181"/>
  <c r="G18" i="181" s="1"/>
  <c r="E18" i="181"/>
  <c r="F17" i="181"/>
  <c r="G17" i="181" s="1"/>
  <c r="E17" i="181"/>
  <c r="D32" i="181" l="1"/>
  <c r="D80" i="36" l="1"/>
  <c r="B7797" i="106"/>
  <c r="E32" i="181"/>
  <c r="E16" i="181"/>
  <c r="F16" i="181" l="1"/>
  <c r="G16" i="181" s="1"/>
  <c r="G32" i="181"/>
  <c r="G40" i="108" l="1"/>
  <c r="B7799" i="106"/>
  <c r="F32" i="181"/>
  <c r="B7798" i="106" s="1"/>
  <c r="E40" i="108"/>
  <c r="B4" i="179" l="1"/>
  <c r="L24" i="179" l="1"/>
  <c r="L23" i="179"/>
  <c r="L25" i="179" s="1"/>
  <c r="L20" i="179"/>
  <c r="L19" i="179"/>
  <c r="L18" i="179"/>
  <c r="L15" i="179"/>
  <c r="L14" i="179"/>
  <c r="L13" i="179"/>
  <c r="L19" i="183" l="1"/>
  <c r="L18" i="185" s="1"/>
  <c r="D14" i="171"/>
  <c r="D12" i="171"/>
  <c r="A10" i="169"/>
  <c r="A16" i="169"/>
  <c r="A15" i="169"/>
  <c r="A14" i="169"/>
  <c r="K18" i="169"/>
  <c r="G18" i="169"/>
  <c r="G15" i="169"/>
  <c r="I13" i="169"/>
  <c r="G11" i="169"/>
  <c r="G10" i="169"/>
  <c r="G9" i="169"/>
  <c r="G7" i="169"/>
  <c r="E7" i="169"/>
  <c r="A7" i="169"/>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5"/>
  <c r="B2" i="183"/>
  <c r="A2" i="170"/>
  <c r="B1" i="185"/>
  <c r="B1" i="183"/>
  <c r="B1" i="184"/>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K28" i="118" l="1"/>
  <c r="O27" i="118" s="1"/>
  <c r="O29" i="118" s="1"/>
  <c r="L15" i="11"/>
  <c r="B3459" i="106" s="1"/>
  <c r="D3459" i="106" s="1"/>
  <c r="F72" i="34"/>
  <c r="F68" i="34"/>
  <c r="K24" i="12"/>
  <c r="D69" i="36"/>
  <c r="F19" i="7"/>
  <c r="B1807" i="106" s="1"/>
  <c r="D1807" i="106" s="1"/>
  <c r="B1126" i="106"/>
  <c r="D1126" i="106" s="1"/>
  <c r="D6103" i="106"/>
  <c r="F21" i="8"/>
  <c r="L312" i="29"/>
  <c r="L13" i="11"/>
  <c r="B2060" i="106" s="1"/>
  <c r="D2060" i="106" s="1"/>
  <c r="L367" i="29"/>
  <c r="L34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L16" i="11" l="1"/>
  <c r="B2061" i="106" s="1"/>
  <c r="D2061" i="106" s="1"/>
  <c r="B7733" i="106"/>
  <c r="D7733" i="106" s="1"/>
  <c r="K26" i="12"/>
  <c r="B7743" i="106" s="1"/>
  <c r="D7743" i="106" s="1"/>
  <c r="D44" i="36"/>
  <c r="B1879" i="106"/>
  <c r="D1879" i="106" s="1"/>
  <c r="H22" i="37"/>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F24" i="37" l="1"/>
  <c r="J17" i="4"/>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<sst xmlns="http://schemas.openxmlformats.org/spreadsheetml/2006/main" count="5402" uniqueCount="2229">
  <si>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</si>
  <si>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</si>
  <si>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</si>
  <si>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</si>
  <si>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</si>
  <si>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</si>
  <si>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</si>
  <si>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</si>
  <si>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</si>
  <si>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</si>
  <si>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</si>
  <si>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</si>
  <si>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</si>
  <si>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</si>
  <si>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</si>
  <si>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</si>
  <si>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</si>
  <si>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</si>
  <si>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</si>
  <si>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</si>
  <si>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</si>
  <si>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</si>
  <si>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</si>
  <si>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</si>
  <si>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</si>
  <si>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</si>
  <si>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</si>
  <si>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</si>
  <si>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</si>
  <si>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</si>
  <si>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</si>
  <si>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</si>
  <si>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</si>
  <si>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</si>
  <si>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</si>
  <si>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</si>
  <si>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</si>
  <si>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</si>
  <si>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</si>
  <si>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</si>
  <si>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</si>
  <si>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</si>
  <si>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</si>
  <si>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</si>
  <si>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</si>
  <si>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</si>
  <si>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</si>
  <si>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</si>
  <si>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</si>
  <si>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</si>
  <si>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</si>
  <si>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</si>
  <si>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</si>
  <si>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</si>
  <si>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</si>
  <si>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</si>
  <si>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</si>
  <si>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</si>
  <si>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</si>
  <si>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</si>
  <si>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</si>
  <si>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</si>
  <si>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</si>
  <si>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</si>
  <si>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</si>
  <si>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</si>
  <si>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</si>
  <si>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</si>
  <si>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</si>
  <si>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</si>
  <si>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</si>
  <si>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</si>
  <si>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</si>
  <si>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</si>
  <si>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</si>
  <si>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</si>
  <si>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</si>
  <si>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</si>
  <si>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</si>
  <si>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</si>
  <si>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</si>
  <si>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</si>
  <si>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</si>
  <si>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</si>
  <si>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</si>
  <si>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</si>
  <si>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</si>
  <si>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</si>
  <si>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</si>
  <si>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</si>
  <si>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</si>
  <si>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</si>
  <si>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</si>
  <si>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</si>
  <si>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</si>
  <si>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</si>
  <si>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</si>
  <si>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</si>
  <si>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</si>
  <si>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</si>
  <si>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</si>
  <si>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</si>
  <si>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</si>
  <si>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</si>
  <si>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</si>
  <si>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</si>
  <si>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</si>
  <si>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</si>
  <si>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</si>
  <si>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</si>
  <si>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</si>
  <si>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</si>
  <si>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</si>
  <si>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</si>
  <si>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</si>
  <si>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</si>
  <si>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</si>
  <si>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</si>
  <si>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</si>
  <si>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</si>
  <si>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</si>
  <si>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</si>
  <si>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</si>
  <si>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</si>
  <si>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</si>
  <si>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</si>
  <si>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</si>
  <si>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</si>
  <si>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</si>
  <si>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</si>
  <si>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</si>
  <si>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</si>
  <si>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</si>
  <si>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</si>
  <si>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</si>
  <si>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</si>
  <si>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</si>
  <si>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</si>
  <si>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</si>
  <si>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</si>
  <si>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</si>
  <si>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</si>
  <si>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</si>
  <si>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</si>
  <si>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</si>
  <si>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</si>
  <si>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</si>
  <si>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</si>
  <si>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</si>
  <si>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</si>
  <si>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</si>
  <si>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</si>
  <si>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</si>
  <si>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</si>
  <si>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</si>
  <si>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</si>
  <si>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</si>
  <si>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</si>
  <si>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</si>
  <si>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</si>
  <si>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</si>
  <si>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</si>
  <si>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</si>
  <si>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</si>
  <si>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</si>
  <si>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</si>
  <si>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</si>
  <si>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</si>
  <si>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</si>
  <si>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</si>
  <si>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</si>
  <si>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</si>
  <si>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</si>
  <si>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</si>
  <si>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</si>
  <si>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</si>
  <si>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</si>
  <si>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</si>
  <si>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</si>
  <si>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</si>
  <si>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</si>
  <si>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</si>
  <si>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</si>
  <si>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</si>
  <si>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</si>
  <si>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</si>
  <si>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</si>
  <si>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</si>
  <si>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</si>
  <si>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</si>
  <si>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</si>
  <si>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</si>
  <si>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</si>
  <si>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</si>
  <si>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</si>
  <si>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</si>
  <si>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</si>
  <si>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</si>
  <si>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</si>
  <si>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</si>
  <si>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</si>
  <si>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</si>
  <si>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</si>
  <si>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</si>
  <si>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</si>
  <si>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</si>
  <si>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</si>
  <si>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</si>
  <si>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</si>
  <si>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</si>
  <si>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</si>
  <si>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</si>
  <si>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</si>
  <si>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</si>
  <si>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</si>
  <si>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</si>
  <si>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</si>
  <si>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</si>
  <si>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</si>
  <si>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</si>
  <si>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</si>
  <si>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</si>
  <si>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</si>
  <si>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</si>
  <si>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</si>
  <si>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</si>
  <si>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</si>
  <si>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</si>
  <si>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</si>
  <si>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</si>
  <si>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</si>
  <si>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</si>
  <si>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</si>
  <si>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</si>
  <si>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</si>
  <si>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</si>
  <si>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</si>
  <si>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</si>
  <si>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</si>
  <si>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</si>
  <si>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</si>
  <si>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</si>
  <si>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</si>
  <si>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</si>
  <si>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</si>
  <si>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</si>
  <si>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</si>
  <si>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</si>
  <si>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</si>
  <si>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</si>
  <si>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</si>
  <si>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</si>
  <si>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</si>
  <si>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</si>
  <si>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</si>
  <si>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</si>
  <si>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</si>
  <si>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</si>
  <si>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</si>
  <si>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</si>
  <si>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</si>
  <si>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</si>
  <si>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</si>
  <si>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</si>
  <si>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</si>
  <si>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</si>
  <si>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</si>
  <si>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</si>
  <si>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</si>
  <si>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</si>
  <si>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</si>
  <si>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</si>
  <si>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</si>
  <si>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</si>
  <si>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</si>
  <si>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</si>
  <si>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</si>
  <si>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</si>
  <si>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</si>
  <si>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</si>
  <si>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</si>
  <si>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</si>
  <si>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</si>
  <si>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</si>
  <si>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</si>
  <si>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</si>
  <si>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</si>
  <si>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</si>
  <si>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</si>
  <si>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</si>
  <si>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</si>
  <si>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</si>
  <si>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</si>
  <si>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</si>
  <si>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</si>
  <si>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</si>
  <si>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</si>
  <si>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</si>
  <si>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</si>
  <si>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</si>
  <si>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</si>
  <si>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</si>
  <si>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</si>
  <si>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</si>
  <si>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</si>
  <si>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</si>
  <si>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</si>
  <si>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</si>
  <si>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</si>
  <si>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</si>
  <si>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</si>
  <si>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</si>
  <si>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</si>
  <si>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</si>
  <si>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</si>
  <si>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</si>
  <si>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</si>
  <si>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</si>
  <si>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</si>
  <si>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</si>
  <si>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</si>
  <si>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</si>
  <si>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</si>
  <si>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</si>
  <si>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</si>
  <si>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</si>
  <si>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</si>
  <si>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</si>
  <si>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</si>
  <si>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</si>
  <si>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</si>
  <si>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</si>
  <si>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</si>
  <si>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</si>
  <si>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</si>
  <si>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</si>
  <si>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</si>
  <si>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</si>
  <si>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</si>
  <si>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</si>
  <si>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</si>
  <si>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</si>
  <si>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</si>
  <si>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</si>
  <si>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</si>
  <si>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</si>
  <si>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</si>
  <si>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</si>
  <si>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</si>
  <si>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</si>
  <si>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</si>
  <si>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</si>
  <si>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</si>
  <si>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</si>
  <si>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</si>
  <si>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</si>
  <si>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</si>
  <si>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</si>
  <si>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</si>
  <si>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</si>
  <si>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</si>
  <si>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</si>
  <si>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</si>
  <si>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</si>
  <si>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</si>
  <si>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</si>
  <si>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</si>
  <si>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</si>
  <si>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</si>
  <si>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</si>
  <si>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</si>
  <si>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</si>
  <si>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</si>
  <si>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</si>
  <si>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</si>
  <si>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</si>
  <si>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</si>
  <si>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</si>
  <si>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</si>
  <si>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</si>
  <si>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</si>
  <si>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</si>
  <si>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</si>
  <si>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</si>
  <si>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</si>
  <si>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</si>
  <si>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</si>
  <si>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</si>
  <si>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</si>
  <si>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</si>
  <si>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</si>
  <si>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</si>
  <si>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</si>
  <si>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</si>
  <si>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</si>
  <si>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</si>
  <si>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</si>
  <si>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</si>
  <si>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</si>
  <si>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</si>
  <si>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</si>
  <si>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</si>
  <si>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</si>
  <si>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</si>
  <si>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</si>
  <si>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</si>
  <si>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</si>
  <si>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</si>
  <si>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</si>
  <si>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</si>
  <si>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</si>
  <si>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</si>
  <si>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</si>
  <si>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</si>
  <si>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</si>
  <si>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</si>
  <si>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</si>
  <si>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</si>
  <si>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</si>
  <si>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</si>
  <si>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</si>
  <si>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</si>
  <si>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</si>
  <si>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</si>
  <si>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</si>
  <si>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</si>
  <si>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</si>
  <si>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</si>
  <si>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</si>
  <si>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</si>
  <si>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</si>
  <si>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</si>
  <si>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</si>
  <si>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</si>
  <si>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</si>
  <si>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</si>
  <si>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</si>
  <si>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</si>
  <si>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</si>
  <si>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</si>
  <si>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</si>
  <si>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</si>
  <si>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</si>
  <si>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</si>
  <si>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</si>
  <si>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</si>
  <si>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</si>
  <si>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</si>
  <si>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</si>
  <si>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</si>
  <si>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</si>
  <si>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</si>
  <si>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</si>
  <si>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</si>
  <si>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</si>
  <si>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</si>
  <si>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</si>
  <si>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</si>
  <si>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</si>
  <si>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</si>
  <si>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</si>
  <si>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</si>
  <si>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</si>
  <si>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</si>
  <si>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</si>
  <si>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</si>
  <si>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</si>
  <si>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</si>
  <si>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</si>
  <si>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</si>
  <si>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</si>
  <si>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</si>
  <si>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</si>
  <si>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</si>
  <si>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</si>
  <si>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</si>
  <si>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</si>
  <si>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</si>
  <si>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</si>
  <si>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</si>
  <si>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</si>
  <si>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</si>
  <si>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</si>
  <si>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</si>
  <si>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</si>
  <si>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</si>
  <si>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</si>
  <si>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</si>
  <si>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</si>
  <si>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</si>
  <si>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</si>
  <si>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</si>
  <si>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</si>
  <si>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</si>
  <si>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</si>
  <si>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</si>
  <si>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</si>
  <si>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</si>
  <si>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</si>
  <si>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</si>
  <si>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</si>
  <si>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</si>
  <si>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</si>
  <si>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</si>
  <si>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</si>
  <si>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</si>
  <si>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</si>
  <si>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</si>
  <si>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</si>
  <si>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</si>
  <si>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</si>
  <si>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</si>
  <si>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</si>
  <si>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</si>
  <si>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</si>
  <si>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</si>
  <si>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</si>
  <si>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</si>
  <si>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</si>
  <si>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</si>
  <si>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</si>
  <si>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</si>
  <si>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</si>
  <si>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</si>
  <si>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</si>
  <si>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</si>
  <si>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</si>
  <si>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</si>
  <si>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</si>
  <si>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</si>
  <si>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</si>
  <si>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</si>
  <si>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</si>
  <si>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</si>
  <si>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</si>
  <si>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</si>
  <si>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</si>
  <si>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</si>
  <si>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</si>
  <si>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</si>
  <si>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</si>
  <si>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</si>
  <si>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</si>
  <si>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</si>
  <si>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</si>
  <si>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</si>
  <si>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</si>
  <si>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</si>
  <si>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</si>
  <si>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</si>
  <si>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</si>
  <si>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</si>
  <si>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</si>
  <si>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</si>
  <si>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</si>
  <si>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</si>
  <si>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</si>
  <si>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</si>
  <si>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</si>
  <si>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</si>
  <si>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</si>
  <si>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</si>
  <si>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</si>
  <si>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</si>
  <si>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</si>
  <si>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</si>
  <si>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</si>
  <si>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</si>
  <si>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</si>
  <si>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</si>
  <si>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</si>
  <si>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</si>
  <si>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</si>
  <si>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</si>
  <si>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</si>
  <si>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</si>
  <si>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</si>
  <si>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</si>
  <si>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</si>
  <si>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</si>
  <si>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</si>
  <si>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</si>
  <si>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</si>
  <si>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</si>
  <si>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</si>
  <si>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</si>
  <si>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</si>
  <si>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</si>
  <si>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</si>
  <si>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</si>
  <si>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</si>
  <si>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</si>
  <si>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</si>
  <si>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</si>
  <si>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</si>
  <si>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</si>
  <si>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</si>
  <si>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</si>
  <si>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</si>
  <si>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</si>
  <si>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</si>
  <si>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</si>
  <si>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</si>
  <si>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</si>
  <si>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</si>
  <si>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</si>
  <si>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</si>
  <si>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</si>
  <si>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</si>
  <si>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</si>
  <si>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</si>
  <si>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</si>
  <si>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</si>
  <si>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</si>
  <si>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</si>
  <si>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</si>
  <si>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</si>
  <si>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</si>
  <si>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</si>
  <si>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</si>
  <si>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</si>
  <si>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</si>
  <si>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</si>
  <si>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</si>
  <si>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</si>
  <si>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</si>
  <si>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</si>
  <si>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</si>
  <si>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</si>
  <si>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</si>
  <si>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</si>
  <si>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</si>
  <si>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</si>
  <si>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</si>
  <si>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</si>
  <si>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</si>
  <si>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</si>
  <si>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</si>
  <si>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</si>
  <si>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</si>
  <si>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</si>
  <si>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</si>
  <si>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</si>
  <si>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</si>
  <si>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</si>
  <si>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</si>
  <si>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</si>
  <si>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</si>
  <si>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</si>
  <si>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</si>
  <si>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</si>
  <si>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</si>
  <si>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</si>
  <si>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</si>
  <si>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</si>
  <si>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</si>
  <si>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</si>
  <si>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</si>
  <si>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</si>
  <si>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</si>
  <si>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</si>
  <si>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</si>
  <si>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</si>
  <si>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</si>
  <si>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</si>
  <si>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</si>
  <si>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</si>
  <si>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</si>
  <si>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</si>
  <si>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</si>
  <si>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</si>
  <si>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</si>
  <si>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</si>
  <si>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</si>
  <si>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</si>
  <si>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</si>
  <si>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</si>
  <si>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</si>
  <si>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</si>
  <si>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</si>
  <si>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</si>
  <si>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</si>
  <si>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</si>
  <si>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</si>
  <si>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</si>
  <si>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</si>
  <si>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</si>
  <si>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</si>
  <si>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</si>
  <si>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</si>
  <si>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</si>
  <si>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</si>
  <si>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</si>
  <si>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</si>
  <si>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</si>
  <si>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</si>
  <si>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</si>
  <si>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</si>
  <si>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</si>
  <si>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</si>
  <si>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</si>
  <si>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</si>
  <si>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</si>
  <si>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</si>
  <si>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</si>
  <si>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</si>
  <si>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</si>
  <si>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</si>
  <si>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</si>
  <si>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</si>
  <si>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</si>
  <si>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</si>
  <si>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</si>
  <si>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</si>
  <si>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</si>
  <si>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</si>
  <si>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</si>
  <si>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</si>
  <si>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</si>
  <si>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</si>
  <si>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</si>
  <si>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</si>
  <si>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</si>
  <si>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</si>
  <si>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</si>
  <si>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</si>
  <si>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</si>
  <si>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</si>
  <si>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</si>
  <si>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</si>
  <si>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</si>
  <si>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</si>
  <si>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</si>
  <si>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</si>
  <si>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</si>
  <si>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</si>
  <si>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</si>
  <si>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</si>
  <si>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</si>
  <si>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</si>
  <si>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</si>
  <si>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</si>
  <si>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</si>
  <si>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</si>
  <si>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</si>
  <si>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</si>
  <si>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</si>
  <si>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</si>
  <si>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</si>
  <si>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</si>
  <si>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</si>
  <si>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</si>
  <si>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</si>
  <si>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</si>
  <si>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</si>
  <si>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</si>
  <si>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</si>
  <si>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</si>
  <si>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</si>
  <si>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</si>
  <si>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</si>
  <si>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</si>
  <si>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</si>
  <si>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</si>
  <si>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</si>
  <si>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</si>
  <si>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</si>
  <si>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</si>
  <si>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</si>
  <si>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</si>
  <si>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</si>
  <si>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</si>
  <si>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</si>
  <si>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</si>
  <si>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</si>
  <si>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</si>
  <si>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</si>
  <si>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</si>
  <si>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</si>
  <si>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</si>
  <si>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</si>
  <si>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</si>
  <si>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</si>
  <si>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</si>
  <si>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</si>
  <si>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</si>
  <si>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</si>
  <si>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</si>
  <si>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</si>
  <si>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</si>
  <si>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</si>
  <si>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</si>
  <si>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</si>
  <si>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</si>
  <si>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</si>
  <si>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</si>
  <si>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</si>
  <si>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</si>
  <si>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</si>
  <si>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</si>
  <si>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</si>
  <si>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</si>
  <si>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</si>
  <si>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</si>
  <si>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</si>
  <si>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</si>
  <si>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</si>
  <si>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</si>
  <si>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</si>
  <si>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</si>
  <si>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</si>
  <si>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</si>
  <si>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</si>
  <si>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</si>
  <si>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</si>
  <si>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</si>
  <si>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</si>
  <si>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</si>
  <si>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</si>
  <si>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</si>
  <si>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</si>
  <si>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</si>
  <si>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</si>
  <si>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</si>
  <si>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</si>
  <si>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</si>
  <si>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</si>
  <si>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</si>
  <si>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</si>
  <si>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</si>
  <si>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</si>
  <si>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</si>
  <si>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</si>
  <si>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</si>
  <si>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</si>
  <si>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</si>
  <si>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</si>
  <si>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</si>
  <si>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</si>
  <si>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</si>
  <si>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</si>
  <si>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</si>
  <si>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</si>
  <si>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</si>
  <si>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</si>
  <si>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</si>
  <si>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</si>
  <si>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</si>
  <si>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</si>
  <si>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</si>
  <si>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</si>
  <si>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</si>
  <si>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</si>
  <si>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</si>
  <si>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</si>
  <si>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</si>
  <si>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</si>
  <si>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</si>
  <si>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</si>
  <si>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</si>
  <si>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</si>
  <si>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</si>
  <si>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</si>
  <si>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</si>
  <si>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</si>
  <si>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</si>
  <si>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</si>
  <si>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</si>
  <si>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</si>
  <si>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</si>
  <si>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</si>
  <si>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</si>
  <si>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</si>
  <si>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</si>
  <si>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</si>
  <si>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</si>
  <si>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</si>
  <si>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</si>
  <si>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</si>
  <si>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</si>
  <si>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</si>
  <si>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</si>
  <si>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</si>
  <si>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</si>
  <si>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</si>
  <si>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</si>
  <si>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</si>
  <si>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</si>
  <si>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</si>
  <si>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</si>
  <si>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</si>
  <si>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</si>
  <si>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</si>
  <si>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</si>
  <si>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</si>
  <si>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</si>
  <si>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</si>
  <si>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</si>
  <si>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</si>
  <si>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</si>
  <si>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</si>
  <si>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</si>
  <si>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</si>
  <si>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</si>
  <si>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</si>
  <si>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</si>
  <si>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</si>
  <si>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</si>
  <si>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</si>
  <si>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</si>
  <si>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</si>
  <si>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</si>
  <si>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</si>
  <si>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</si>
  <si>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</si>
  <si>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</si>
  <si>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</si>
  <si>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</si>
  <si>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</si>
  <si>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</si>
  <si>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</si>
  <si>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</si>
  <si>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</si>
  <si>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</si>
  <si>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</si>
  <si>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</si>
  <si>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</si>
  <si>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</si>
  <si>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</si>
  <si>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</si>
  <si>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</si>
  <si>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</si>
  <si>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</si>
  <si>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</si>
  <si>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</si>
  <si>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</si>
  <si>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</si>
  <si>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</si>
  <si>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</si>
  <si>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</si>
  <si>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</si>
  <si>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</si>
  <si>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</si>
  <si>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</si>
  <si>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</si>
  <si>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</si>
  <si>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</si>
  <si>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</si>
  <si>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</si>
  <si>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</si>
  <si>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</si>
  <si>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</si>
  <si>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</si>
  <si>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</si>
  <si>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</si>
  <si>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</si>
  <si>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</si>
  <si>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</si>
  <si>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</si>
  <si>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</si>
  <si>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</si>
  <si>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</si>
  <si>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</si>
  <si>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</si>
  <si>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</si>
  <si>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</si>
  <si>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</si>
  <si>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</si>
  <si>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</si>
  <si>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</si>
  <si>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</si>
  <si>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</si>
  <si>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</si>
  <si>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</si>
  <si>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</si>
  <si>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</si>
  <si>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</si>
  <si>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</si>
  <si>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</si>
  <si>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</si>
  <si>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</si>
  <si>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</si>
  <si>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</si>
  <si>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</si>
  <si>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</si>
  <si>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</si>
  <si>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</si>
  <si>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</si>
  <si>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</si>
  <si>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</si>
  <si>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</si>
  <si>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</si>
  <si>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</si>
  <si>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</si>
  <si>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</si>
  <si>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</si>
  <si>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</si>
  <si>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</si>
  <si>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</si>
  <si>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</si>
  <si>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</si>
  <si>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</si>
  <si>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</si>
  <si>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</si>
  <si>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</si>
  <si>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</si>
  <si>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</si>
  <si>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</si>
  <si>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</si>
  <si>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</si>
  <si>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</si>
  <si>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</si>
  <si>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</si>
  <si>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</si>
  <si>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</si>
  <si>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</si>
  <si>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</si>
  <si>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</si>
  <si>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</si>
  <si>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</si>
  <si>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</si>
  <si>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</si>
  <si>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</si>
  <si>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</si>
  <si>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</si>
  <si>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</si>
  <si>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</si>
  <si>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</si>
  <si>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</si>
  <si>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</si>
  <si>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</si>
  <si>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</si>
  <si>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</si>
  <si>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</si>
  <si>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</si>
  <si>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</si>
  <si>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</si>
  <si>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</si>
  <si>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</si>
  <si>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</si>
  <si>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</si>
  <si>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</si>
  <si>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</si>
  <si>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</si>
  <si>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</si>
  <si>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</si>
  <si>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</si>
  <si>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</si>
  <si>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</si>
  <si>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</si>
  <si>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</si>
  <si>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</si>
  <si>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</si>
  <si>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</si>
  <si>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</si>
  <si>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</si>
  <si>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</si>
  <si>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</si>
  <si>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</si>
  <si>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</si>
  <si>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</si>
  <si>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</si>
  <si>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</si>
  <si>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</si>
  <si>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</si>
  <si>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</si>
  <si>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</si>
  <si>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</si>
  <si>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</si>
  <si>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</si>
  <si>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</si>
  <si>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</si>
  <si>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</si>
  <si>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</si>
  <si>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</si>
  <si>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</si>
  <si>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</si>
  <si>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</si>
  <si>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</si>
  <si>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</si>
  <si>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</si>
  <si>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</si>
  <si>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</si>
  <si>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</si>
  <si>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</si>
  <si>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</si>
  <si>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</si>
  <si>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</si>
  <si>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</si>
  <si>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</si>
  <si>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</si>
  <si>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</si>
  <si>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</si>
  <si>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</si>
  <si>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</si>
  <si>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</si>
  <si>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</si>
  <si>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</si>
  <si>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</si>
  <si>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</si>
  <si>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</si>
  <si>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</si>
  <si>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</si>
  <si>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</si>
  <si>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</si>
  <si>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</si>
  <si>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</si>
  <si>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</si>
  <si>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</si>
  <si>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</si>
  <si>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</si>
  <si>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</si>
  <si>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</si>
  <si>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</si>
  <si>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</si>
  <si>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</si>
  <si>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</si>
  <si>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</si>
  <si>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</si>
  <si>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</si>
  <si>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</si>
  <si>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</si>
  <si>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</si>
  <si>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</si>
  <si>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</si>
  <si>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</si>
  <si>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</si>
  <si>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</si>
  <si>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</si>
  <si>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</si>
  <si>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</si>
  <si>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</si>
  <si>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</si>
  <si>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</si>
  <si>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</si>
  <si>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</si>
  <si>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</si>
  <si>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</si>
  <si>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</si>
  <si>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</si>
  <si>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</si>
  <si>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</si>
  <si>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</si>
  <si>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</si>
  <si>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</si>
  <si>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</si>
  <si>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</si>
  <si>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</si>
  <si>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</si>
  <si>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</si>
  <si>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</si>
  <si>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</si>
  <si>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</si>
  <si>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</si>
  <si>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</si>
  <si>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</si>
  <si>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</si>
  <si>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</si>
  <si>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</si>
  <si>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</si>
  <si>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</si>
  <si>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</si>
  <si>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</si>
  <si>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</si>
  <si>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</si>
  <si>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</si>
  <si>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</si>
  <si>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</si>
  <si>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</si>
  <si>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</si>
  <si>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</si>
  <si>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</si>
  <si>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</si>
  <si>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</si>
  <si>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</si>
  <si>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</si>
  <si>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</si>
  <si>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</si>
  <si>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</si>
  <si>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</si>
  <si>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</si>
  <si>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</si>
  <si>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</si>
  <si>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</si>
  <si>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</si>
  <si>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</si>
  <si>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</si>
  <si>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</si>
  <si>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</si>
  <si>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</si>
  <si>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</si>
  <si>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</si>
  <si>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</si>
  <si>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</si>
  <si>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</si>
  <si>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</si>
  <si>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</si>
  <si>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</si>
  <si>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</si>
  <si>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</si>
  <si>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</si>
  <si>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</si>
  <si>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</si>
  <si>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</si>
  <si>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</si>
  <si>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</si>
  <si>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</si>
  <si>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</si>
  <si>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</si>
  <si>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</si>
  <si>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</si>
  <si>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</si>
  <si>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</si>
  <si>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</si>
  <si>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</si>
  <si>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</si>
  <si>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</si>
  <si>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</si>
  <si>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</si>
  <si>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</si>
  <si>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</si>
  <si>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</si>
  <si>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</si>
  <si>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</si>
  <si>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</si>
  <si>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</si>
  <si>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</si>
  <si>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</si>
  <si>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</si>
  <si>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</si>
  <si>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</si>
  <si>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</si>
  <si>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</si>
  <si>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</si>
  <si>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</si>
  <si>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</si>
  <si>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</si>
  <si>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</si>
  <si>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</si>
  <si>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</si>
  <si>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</si>
  <si>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</si>
  <si>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</si>
  <si>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</si>
  <si>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</si>
  <si>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</si>
  <si>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</si>
  <si>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</si>
  <si>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</si>
  <si>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</si>
  <si>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</si>
  <si>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</si>
  <si>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</si>
  <si>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</si>
  <si>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</si>
  <si>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</si>
  <si>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</si>
  <si>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</si>
  <si>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</si>
  <si>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</si>
  <si>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</si>
  <si>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</si>
  <si>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</si>
  <si>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</si>
  <si>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</si>
  <si>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</si>
  <si>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</si>
  <si>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</si>
  <si>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</si>
  <si>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</si>
  <si>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</si>
  <si>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</si>
  <si>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</si>
  <si>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</si>
  <si>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</si>
  <si>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</si>
  <si>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</si>
  <si>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</si>
  <si>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</si>
  <si>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</si>
  <si>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</si>
  <si>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</si>
  <si>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</si>
  <si>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</si>
  <si>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</si>
  <si>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</si>
  <si>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</si>
  <si>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</si>
  <si>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</si>
  <si>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</si>
  <si>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</si>
  <si>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</si>
  <si>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</si>
  <si>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</si>
  <si>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</si>
  <si>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</si>
  <si>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</si>
  <si>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</si>
  <si>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</si>
  <si>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</si>
  <si>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</si>
  <si>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</si>
  <si>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</si>
  <si>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</si>
  <si>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</si>
  <si>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</si>
  <si>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</si>
  <si>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</si>
  <si>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</si>
  <si>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</si>
  <si>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</si>
  <si>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</si>
  <si>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</si>
  <si>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</si>
  <si>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</si>
  <si>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</si>
  <si>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</si>
  <si>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</si>
  <si>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</si>
  <si>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</si>
  <si>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</si>
  <si>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</si>
  <si>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</si>
  <si>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</si>
  <si>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</si>
  <si>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</si>
  <si>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</si>
  <si>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</si>
  <si>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</si>
  <si>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</si>
  <si>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</si>
  <si>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</si>
  <si>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</si>
  <si>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</si>
  <si>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</si>
  <si>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</si>
  <si>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</si>
  <si>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</si>
  <si>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</si>
  <si>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</si>
  <si>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</si>
  <si>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</si>
  <si>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</si>
  <si>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</si>
  <si>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</si>
  <si>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</si>
  <si>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</si>
  <si>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</si>
  <si>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</si>
  <si>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</si>
  <si>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</si>
  <si>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</si>
  <si>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</si>
  <si>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</si>
  <si>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</si>
  <si>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</si>
  <si>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</si>
  <si>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</si>
  <si>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</si>
  <si>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</si>
  <si>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</si>
  <si>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</si>
  <si>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</si>
  <si>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</si>
  <si>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</si>
  <si>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</si>
  <si>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</si>
  <si>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</si>
  <si>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</si>
  <si>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</si>
  <si>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</si>
  <si>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</si>
  <si>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</si>
  <si>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</si>
  <si>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</si>
  <si>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</si>
  <si>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</si>
  <si>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</si>
  <si>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</si>
  <si>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</si>
  <si>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</si>
  <si>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</si>
  <si>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</si>
  <si>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</si>
  <si>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</si>
  <si>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</si>
  <si>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</si>
  <si>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</si>
  <si>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</si>
  <si>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</si>
  <si>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</si>
  <si>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</si>
  <si>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</si>
  <si>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</si>
  <si>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</si>
  <si>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</si>
  <si>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</si>
  <si>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</si>
  <si>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</si>
  <si>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</si>
  <si>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</si>
  <si>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</si>
  <si>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</si>
  <si>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</si>
  <si>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</si>
  <si>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</si>
  <si>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</si>
  <si>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</si>
  <si>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</si>
  <si>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</si>
  <si>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</si>
  <si>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</si>
  <si>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</si>
  <si>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</si>
  <si>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</si>
  <si>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</si>
  <si>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</si>
  <si>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</si>
  <si>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</si>
  <si>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</si>
  <si>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</si>
  <si>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</si>
  <si>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</si>
  <si>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</si>
  <si>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</si>
  <si>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</si>
  <si>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</si>
  <si>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</si>
  <si>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</si>
  <si>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</si>
  <si>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</si>
  <si>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</si>
  <si>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</si>
  <si>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</si>
  <si>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</si>
  <si>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</si>
  <si>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</si>
  <si>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</si>
  <si>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</si>
  <si>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</si>
  <si>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</si>
  <si>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</si>
  <si>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</si>
  <si>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</si>
  <si>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</si>
  <si>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</si>
  <si>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</si>
  <si>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</si>
  <si>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</si>
  <si>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</si>
  <si>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</si>
  <si>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</si>
  <si>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</si>
  <si>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</si>
  <si>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</si>
  <si>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</si>
  <si>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</si>
  <si>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</si>
  <si>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</si>
  <si>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</si>
  <si>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</si>
  <si>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</si>
  <si>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</si>
  <si>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</si>
  <si>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</si>
  <si>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</si>
  <si>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</si>
  <si>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</si>
  <si>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</si>
  <si>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</si>
  <si>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</si>
  <si>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</si>
  <si>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</si>
  <si>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</si>
  <si>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</si>
  <si>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</si>
  <si>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</si>
  <si>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</si>
  <si>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</si>
  <si>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</si>
  <si>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</si>
  <si>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</si>
  <si>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</si>
  <si>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</si>
  <si>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</si>
  <si>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</si>
  <si>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</si>
  <si>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</si>
  <si>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</si>
  <si>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</si>
  <si>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</si>
  <si>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</si>
  <si>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</si>
  <si>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</si>
  <si>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</si>
  <si>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</si>
  <si>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</si>
  <si>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</si>
  <si>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</si>
  <si>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</si>
  <si>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</si>
  <si>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</si>
  <si>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</si>
  <si>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</si>
  <si>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</si>
  <si>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</si>
  <si>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</si>
  <si>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</si>
  <si>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</si>
  <si>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</si>
  <si>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</si>
  <si>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</si>
  <si>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</si>
  <si>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</si>
  <si>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</si>
  <si>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</si>
  <si>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</si>
  <si>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</si>
  <si>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</si>
  <si>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</si>
  <si>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</si>
  <si>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</si>
  <si>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</si>
  <si>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</si>
  <si>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</si>
  <si>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</si>
  <si>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</si>
  <si>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</si>
  <si>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</si>
  <si>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</si>
  <si>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</si>
  <si>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</si>
  <si>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</si>
  <si>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</si>
  <si>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</si>
  <si>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</si>
  <si>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</si>
  <si>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</si>
  <si>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</si>
  <si>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</si>
  <si>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</si>
  <si>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</si>
  <si>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</si>
  <si>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</si>
  <si>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</si>
  <si>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</si>
  <si>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</si>
  <si>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</si>
  <si>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</si>
  <si>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</si>
  <si>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</si>
  <si>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</si>
  <si>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</si>
  <si>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</si>
  <si>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</si>
  <si>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</si>
  <si>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</si>
  <si>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</si>
  <si>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</si>
  <si>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</si>
  <si>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</si>
  <si>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</si>
  <si>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</si>
  <si>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</si>
  <si>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</si>
  <si>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</si>
  <si>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</si>
  <si>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</si>
  <si>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</si>
  <si>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</si>
  <si>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</si>
  <si>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</si>
  <si>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</si>
  <si>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</si>
  <si>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</si>
  <si>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</si>
  <si>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</si>
  <si>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</si>
  <si>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</si>
  <si>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</si>
  <si>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</si>
  <si>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</si>
  <si>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</si>
  <si>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</si>
  <si>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</si>
  <si>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</si>
  <si>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</si>
  <si>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</si>
  <si>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</si>
  <si>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</si>
  <si>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</si>
  <si>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</si>
  <si>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</si>
  <si>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</si>
  <si>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</si>
  <si>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</si>
  <si>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</si>
  <si>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</si>
  <si>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</si>
  <si>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</si>
  <si>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</si>
  <si>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</si>
  <si>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</si>
  <si>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</si>
  <si>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</si>
  <si>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</si>
  <si>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</si>
  <si>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</si>
  <si>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</si>
  <si>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</si>
  <si>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</si>
  <si>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</si>
  <si>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</si>
  <si>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</si>
  <si>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</si>
  <si>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</si>
  <si>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</si>
  <si>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</si>
  <si>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</si>
  <si>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</si>
  <si>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</si>
  <si>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</si>
  <si>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</si>
  <si>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</si>
  <si>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</si>
  <si>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</si>
  <si>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</si>
  <si>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</si>
  <si>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</si>
  <si>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</si>
  <si>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</si>
  <si>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</si>
  <si>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</si>
  <si>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</si>
  <si>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</si>
  <si>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</si>
  <si>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</si>
  <si>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</si>
  <si>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</si>
  <si>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</si>
  <si>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</si>
  <si>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</si>
  <si>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</si>
  <si>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</si>
  <si>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</si>
  <si>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</si>
  <si>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</si>
  <si>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</si>
  <si>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</si>
  <si>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</si>
  <si>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</si>
  <si>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</si>
  <si>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</si>
  <si>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</si>
  <si>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</si>
  <si>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</si>
  <si>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</si>
  <si>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</si>
  <si>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</si>
  <si>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</si>
  <si>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</si>
  <si>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</si>
  <si>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</si>
  <si>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</si>
  <si>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</si>
  <si>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</si>
  <si>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</si>
  <si>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</si>
  <si>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</si>
  <si>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</si>
  <si>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</si>
  <si>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</si>
  <si>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</si>
  <si>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</si>
  <si>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</si>
  <si>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</si>
  <si>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</si>
  <si>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</si>
  <si>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</si>
  <si>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</si>
  <si>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</si>
  <si>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</si>
  <si>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</si>
  <si>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</si>
  <si>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</si>
  <si>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</si>
  <si>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</si>
  <si>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</si>
  <si>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</si>
  <si>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</si>
  <si>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</si>
  <si>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</si>
  <si>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</si>
  <si>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</si>
  <si>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</si>
  <si>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</si>
  <si>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</si>
  <si>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</si>
  <si>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</si>
  <si>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</si>
  <si>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</si>
  <si>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</si>
  <si>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</si>
  <si>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</si>
  <si>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</si>
  <si>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</si>
  <si>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</si>
  <si>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</si>
  <si>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</si>
  <si>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</si>
  <si>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</si>
  <si>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</si>
  <si>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</si>
  <si>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</si>
  <si>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</si>
  <si>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</si>
  <si>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</si>
  <si>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</si>
  <si>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</si>
  <si>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</si>
  <si>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</si>
  <si>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</si>
  <si>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</si>
  <si>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</si>
  <si>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</si>
  <si>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</si>
  <si>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</si>
  <si>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</si>
  <si>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</si>
  <si>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</si>
  <si>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</si>
  <si>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</si>
  <si>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</si>
  <si>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</si>
  <si>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</si>
  <si>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</si>
  <si>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</si>
  <si>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</si>
  <si>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</si>
  <si>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</si>
  <si>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</si>
  <si>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</si>
  <si>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</si>
  <si>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</si>
  <si>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</si>
  <si>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</si>
  <si>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</si>
  <si>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</si>
  <si>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</si>
  <si>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</si>
  <si>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</si>
  <si>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</si>
  <si>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</si>
  <si>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</si>
  <si>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</si>
  <si>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</si>
  <si>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</si>
  <si>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</si>
  <si>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</si>
  <si>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</si>
  <si>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</si>
  <si>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</si>
  <si>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</si>
  <si>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</si>
  <si>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</si>
  <si>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</si>
  <si>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</si>
  <si>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</si>
  <si>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</si>
  <si>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</si>
  <si>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</si>
  <si>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</si>
  <si>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</si>
  <si>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</si>
  <si>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</si>
  <si>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</si>
  <si>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</si>
  <si>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</si>
  <si>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</si>
  <si>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</si>
  <si>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</si>
  <si>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</si>
  <si>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</si>
  <si>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</si>
  <si>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</si>
  <si>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</si>
  <si>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</si>
  <si>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</si>
  <si>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</si>
  <si>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</si>
  <si>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</si>
  <si>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</si>
  <si>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</si>
  <si>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</si>
  <si>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</si>
  <si>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</si>
  <si>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</si>
  <si>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</si>
  <si>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</si>
  <si>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</si>
  <si>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</si>
  <si>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</si>
  <si>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</si>
  <si>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</si>
  <si>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</si>
  <si>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</si>
  <si>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</si>
  <si>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</si>
  <si>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</si>
  <si>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</si>
  <si>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</si>
  <si>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</si>
  <si>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</si>
  <si>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</si>
  <si>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</si>
  <si>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</si>
  <si>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</si>
  <si>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</si>
  <si>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</si>
  <si>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</si>
  <si>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</si>
  <si>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</si>
  <si>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</si>
  <si>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</si>
  <si>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</si>
  <si>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</si>
  <si>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</si>
  <si>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</si>
  <si>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</si>
  <si>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</si>
  <si>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</si>
  <si>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</si>
  <si>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</si>
  <si>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</si>
  <si>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</si>
  <si>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</si>
  <si>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</si>
  <si>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</si>
  <si>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</si>
  <si>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</si>
  <si>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</si>
  <si>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</si>
  <si>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</si>
  <si>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</si>
  <si>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</si>
  <si>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</si>
  <si>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</si>
  <si>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</si>
  <si>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</si>
  <si>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</si>
  <si>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</si>
  <si>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</si>
  <si>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</si>
  <si>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</si>
  <si>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</si>
  <si>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</si>
  <si>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</si>
  <si>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</si>
  <si>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</si>
  <si>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</si>
  <si>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</si>
  <si>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</si>
  <si>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</si>
  <si>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</si>
  <si>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</si>
  <si>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</si>
  <si>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</si>
  <si>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</si>
  <si>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</si>
  <si>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</si>
  <si>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</si>
  <si>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</si>
  <si>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</si>
  <si>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</si>
  <si>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</si>
  <si>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</si>
  <si>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</si>
  <si>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</si>
  <si>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</si>
  <si>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</si>
  <si>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</si>
  <si>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</si>
  <si>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</si>
  <si>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</si>
  <si>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</si>
  <si>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</si>
  <si>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</si>
  <si>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</si>
  <si>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</si>
  <si>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</si>
  <si>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</si>
  <si>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</si>
  <si>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</si>
  <si>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</si>
  <si>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</si>
  <si>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</si>
  <si>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</si>
  <si>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</si>
  <si>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</si>
  <si>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</si>
  <si>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</si>
  <si>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</si>
  <si>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</si>
  <si>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</si>
  <si>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</si>
  <si>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</si>
  <si>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</si>
  <si>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</si>
  <si>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</si>
  <si>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</si>
  <si>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</si>
  <si>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</si>
  <si>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</si>
  <si>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</si>
  <si>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</si>
  <si>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</si>
  <si>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</si>
  <si>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</si>
  <si>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</si>
  <si>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</si>
  <si>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</si>
  <si>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</si>
  <si>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</si>
  <si>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</si>
  <si>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</si>
  <si>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</si>
  <si>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</si>
  <si>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</si>
  <si>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</si>
  <si>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</si>
  <si>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</si>
  <si>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</si>
  <si>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</si>
  <si>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</si>
  <si>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</si>
  <si>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</si>
  <si>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</si>
  <si>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</si>
  <si>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</si>
  <si>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</si>
  <si>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</si>
  <si>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</si>
  <si>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</si>
  <si>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</si>
  <si>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</si>
  <si>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</si>
  <si>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</si>
  <si>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</si>
  <si>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</si>
  <si>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</si>
  <si>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</si>
  <si>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</si>
  <si>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</si>
  <si>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</si>
  <si>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</si>
  <si>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</si>
  <si>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</si>
  <si>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</si>
  <si>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</si>
  <si>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</si>
  <si>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</si>
  <si>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</si>
  <si>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</si>
  <si>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</si>
  <si>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</si>
  <si>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</si>
  <si>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</si>
  <si>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</si>
  <si>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</si>
  <si>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</si>
  <si>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</si>
  <si>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</si>
  <si>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</si>
  <si>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</si>
  <si>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</si>
  <si>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</si>
  <si>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</si>
  <si>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</si>
  <si>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</si>
  <si>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</si>
  <si>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</si>
  <si>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</si>
  <si>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</si>
  <si>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</si>
  <si>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</si>
  <si>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</si>
  <si>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</si>
  <si>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</si>
  <si>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</si>
  <si>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</si>
  <si>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</si>
  <si>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</si>
  <si>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</si>
  <si>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</si>
  <si>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</si>
  <si>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</si>
  <si>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</si>
  <si>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</si>
  <si>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</si>
  <si>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</si>
  <si>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</si>
  <si>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</si>
  <si>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</si>
  <si>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</si>
  <si>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</si>
  <si>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</si>
  <si>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</si>
  <si>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</si>
  <si>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</si>
  <si>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</si>
  <si>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</si>
  <si>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</si>
  <si>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</si>
  <si>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</si>
  <si>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</si>
  <si>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</si>
  <si>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</si>
  <si>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</si>
  <si>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</si>
  <si>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</si>
  <si>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</si>
  <si>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</si>
  <si>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</si>
  <si>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</si>
  <si>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</si>
  <si>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</si>
  <si>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</si>
  <si>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</si>
  <si>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</si>
  <si>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</si>
  <si>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</si>
  <si>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</si>
  <si>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</si>
  <si>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</si>
  <si>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</si>
  <si>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</si>
  <si>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</si>
  <si>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</si>
  <si>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</si>
  <si>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</si>
  <si>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</si>
  <si>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</si>
  <si>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</si>
  <si>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</si>
  <si>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</si>
  <si>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</si>
  <si>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</si>
  <si>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</si>
  <si>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</si>
  <si>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</si>
  <si>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</si>
  <si>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</si>
  <si>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</si>
  <si>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</si>
  <si>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</si>
  <si>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</si>
  <si>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</si>
  <si>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</si>
  <si>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</si>
  <si>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</si>
  <si>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</si>
  <si>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</si>
  <si>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</si>
  <si>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</si>
  <si>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</si>
  <si>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</si>
  <si>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</si>
  <si>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</si>
  <si>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</si>
  <si>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</si>
  <si>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</si>
  <si>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</si>
  <si>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</si>
  <si>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</si>
  <si>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</si>
  <si>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</si>
  <si>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</si>
  <si>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</si>
  <si>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</si>
  <si>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</si>
  <si>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</si>
  <si>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23. Opinion is adverse due to regulatory basis presentation.</t>
  </si>
  <si>
    <t>217-774-9589</t>
  </si>
  <si>
    <t>FAYETTE</t>
  </si>
  <si>
    <t>1109 N. 8TH ST.</t>
  </si>
  <si>
    <t>VANDALIA</t>
  </si>
  <si>
    <t>jgarrison@vandals203.org</t>
  </si>
  <si>
    <t>618-283-4525</t>
  </si>
  <si>
    <t>618-283-4107</t>
  </si>
  <si>
    <t>JULIE WOLLERMAN</t>
  </si>
  <si>
    <t>juliewollerman@roe3.org</t>
  </si>
  <si>
    <t>618-283-5011</t>
  </si>
  <si>
    <t>618-283-5013</t>
  </si>
  <si>
    <t>U.S. Department of Education</t>
  </si>
  <si>
    <t>Passed through Illinois State Board of Education</t>
  </si>
  <si>
    <t xml:space="preserve">  (M) Title I - Low Income</t>
  </si>
  <si>
    <t>84.010A</t>
  </si>
  <si>
    <t>2017-4300</t>
  </si>
  <si>
    <t>2018-4300</t>
  </si>
  <si>
    <t xml:space="preserve">      Total Title I - Low Income</t>
  </si>
  <si>
    <t xml:space="preserve">  Title II - Teacher Quality</t>
  </si>
  <si>
    <t>84.367A</t>
  </si>
  <si>
    <t>2017-4932</t>
  </si>
  <si>
    <t>2018-4932</t>
  </si>
  <si>
    <t xml:space="preserve">      Total Title II - Teacher Quality</t>
  </si>
  <si>
    <t>Passed through Mid-State Special Education</t>
  </si>
  <si>
    <t xml:space="preserve">  Federal - Special Education - IDEA - Flow Through</t>
  </si>
  <si>
    <t>84.027A</t>
  </si>
  <si>
    <t>2017-4620</t>
  </si>
  <si>
    <t>2018-4620</t>
  </si>
  <si>
    <t xml:space="preserve">  (M) Federal - Special Education - IDEA - Flow Through</t>
  </si>
  <si>
    <t xml:space="preserve">     Total Federal - Special Education - IDEA - Flow      Through</t>
  </si>
  <si>
    <t xml:space="preserve">  Title VI - Rural Education Initiative Program</t>
  </si>
  <si>
    <t>84.358B</t>
  </si>
  <si>
    <t>2017-4107</t>
  </si>
  <si>
    <t>2018-4107</t>
  </si>
  <si>
    <t xml:space="preserve">     Total Title VI - Rural Education Initiative Program</t>
  </si>
  <si>
    <t xml:space="preserve">  Title IVA Student Support &amp; Academic Enrich</t>
  </si>
  <si>
    <t>84.424A</t>
  </si>
  <si>
    <t>2018-4400</t>
  </si>
  <si>
    <t>Total U.S. Department of Education</t>
  </si>
  <si>
    <t>U.S. Department of Health and Human Services</t>
  </si>
  <si>
    <t>Passed through Illinois Department of Healthcare and Family Services</t>
  </si>
  <si>
    <t xml:space="preserve">  Medicaid Matching Administrative Outreach</t>
  </si>
  <si>
    <t>2017-4991</t>
  </si>
  <si>
    <t>2018-4991</t>
  </si>
  <si>
    <t>Total U.S. Department of Health and Human Services</t>
  </si>
  <si>
    <t>U.S. Department of Agriculture</t>
  </si>
  <si>
    <t>Child Nutrition Cluster</t>
  </si>
  <si>
    <t>Passed through Department of Defense</t>
  </si>
  <si>
    <t xml:space="preserve">  Fresh Fruits and Vegetables (Non-Cash)</t>
  </si>
  <si>
    <t>2018-4250</t>
  </si>
  <si>
    <t xml:space="preserve">  Commodity Credit (Non-Cash)</t>
  </si>
  <si>
    <t xml:space="preserve">  National School Lunch</t>
  </si>
  <si>
    <t>2017-4210</t>
  </si>
  <si>
    <t>2018-4210</t>
  </si>
  <si>
    <t>N/A</t>
  </si>
  <si>
    <t xml:space="preserve">     Total National Scholl Lunch Program</t>
  </si>
  <si>
    <t xml:space="preserve">  School Breakfast Program</t>
  </si>
  <si>
    <t>2017-4220</t>
  </si>
  <si>
    <t>2018-4220</t>
  </si>
  <si>
    <t xml:space="preserve">     Total School Breakfast Program</t>
  </si>
  <si>
    <t xml:space="preserve">  Special Milk Program</t>
  </si>
  <si>
    <t>2017-4215</t>
  </si>
  <si>
    <t>2018-4215</t>
  </si>
  <si>
    <t xml:space="preserve">     Total Special Milk Program</t>
  </si>
  <si>
    <t>Total U.S. Department of Agriculture/Child Nutrition Cluster</t>
  </si>
  <si>
    <t>Total Federal Financial Assistance</t>
  </si>
  <si>
    <t>ROBIN R. YOCKEY</t>
  </si>
  <si>
    <t>x</t>
  </si>
  <si>
    <t>Refund Bonds, Series 2006</t>
  </si>
  <si>
    <t>GO Refunding School Bonds, Series 2014B</t>
  </si>
  <si>
    <t>GO School Bonds, Series 2015B</t>
  </si>
  <si>
    <t>GO Refunding School Bonds, Series 2015C</t>
  </si>
  <si>
    <t>GO School Bonds, Series 2016C</t>
  </si>
  <si>
    <t>GO School Bonds, Series 2016D</t>
  </si>
  <si>
    <t>GO School Bonds, Series 2017</t>
  </si>
  <si>
    <t>GO School Bonds, Series 2017A</t>
  </si>
  <si>
    <t>Bond County, Mulberry Grove, Ramsey &amp; St. Elmo CUSD's</t>
  </si>
  <si>
    <t>ROE 3</t>
  </si>
  <si>
    <t>Ramsey CUSD</t>
  </si>
  <si>
    <t>Mid-State Special Education</t>
  </si>
  <si>
    <t>Brownstown, Ramsey CUSD's</t>
  </si>
  <si>
    <t>Okaw Area Vocational Center</t>
  </si>
  <si>
    <t>None</t>
  </si>
  <si>
    <r>
      <t xml:space="preserve">The accompanying Schedule of Expenditures of Federal Awards includes the federal grant activity of Vandalia Community Unit School District 203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</si>
  <si>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Unmodified</t>
  </si>
  <si>
    <t>Federal - Special Education - IDEA - Flow Through</t>
  </si>
  <si>
    <t>Our tests did not reveal any noncompliance or internal control over compliance findings or questioned costs.</t>
  </si>
  <si>
    <t>This schedule is not applicable because the District did not have any prior year findings related to federal awards.</t>
  </si>
  <si>
    <t>Page5,  Line 12 "Other Current Assets"</t>
  </si>
  <si>
    <t>Prepaid Payroll Taxes   $6</t>
  </si>
  <si>
    <t>Page 10, Line 74 "Other Food Service"</t>
  </si>
  <si>
    <t>Miscellaneous Food Sales   $19,467</t>
  </si>
  <si>
    <t>Page 11, Line 107 "Other Local Revenues"</t>
  </si>
  <si>
    <t>Miscellaneous Reimbursements and Credit Card Fees   $15,809</t>
  </si>
  <si>
    <t>Reimbursements   $11,267</t>
  </si>
  <si>
    <t>Reimbursements   $17,837</t>
  </si>
  <si>
    <t>Reimbursements   $9,152</t>
  </si>
  <si>
    <t>Tort Fund</t>
  </si>
  <si>
    <t>Reimbursements   $15,701</t>
  </si>
  <si>
    <t>Page 12, Line 171 "Other Restricted Revenue from State Sources"</t>
  </si>
  <si>
    <t>Per Capita Library Grant   $1,500</t>
  </si>
  <si>
    <t>Page 18, Line 171 "Debt Service - Other"</t>
  </si>
  <si>
    <t>Debt Services Fund</t>
  </si>
  <si>
    <t>Purchased Services - Paying Agent Fees  $1,250</t>
  </si>
  <si>
    <t>Page 24, Line 27 "Total Other Short-Term Borrowing"</t>
  </si>
  <si>
    <t>Technology Capital Lease Purchase Agreement Issued  $65,184</t>
  </si>
  <si>
    <t>Technology Capital Lease Purchase Agreement Payment  $65,184</t>
  </si>
  <si>
    <t>Page 25, Line 10 "Other Receipts"</t>
  </si>
  <si>
    <t>Mobile Home Taxes $93</t>
  </si>
  <si>
    <t>DR. JENNIFER GARRISON</t>
  </si>
  <si>
    <t>Page 8, Line 30 "Other Changes in Fund Balance"</t>
  </si>
  <si>
    <t>Working Cash Fund</t>
  </si>
  <si>
    <t>Reclassification of 2017 Short-Term Liabilities as Long Term Liabilities (See Note 13) $175,000</t>
  </si>
  <si>
    <t>Cornerstone</t>
  </si>
  <si>
    <t>ED-Instruction-Other</t>
  </si>
  <si>
    <t>Ed-Instruction-Other</t>
  </si>
  <si>
    <t>Illinois Center for Autism</t>
  </si>
  <si>
    <t>Tort-Support Services-General Administration-Purchased Service</t>
  </si>
  <si>
    <t>80-2300-300</t>
  </si>
  <si>
    <t>Illinois Public Risk fund</t>
  </si>
  <si>
    <t>10-2560-400</t>
  </si>
  <si>
    <t>Ed-Food Services-Supplies</t>
  </si>
  <si>
    <t>Kohl Wholesale</t>
  </si>
  <si>
    <t>MIC Wright Specialty</t>
  </si>
  <si>
    <t>Ed-Payments to Other Govt Units-Other</t>
  </si>
  <si>
    <t>Ed-Payment to Other Govt. Units-Other</t>
  </si>
  <si>
    <t>OKAW Area Vocational Center</t>
  </si>
  <si>
    <t>S &amp; L Produce</t>
  </si>
  <si>
    <t>40-2550-400</t>
  </si>
  <si>
    <t>South Central F/S</t>
  </si>
  <si>
    <t>40-2550-300</t>
  </si>
  <si>
    <t>Special Educations Systems Inc.</t>
  </si>
  <si>
    <t>Trans-Pupil Transportation-Supplies</t>
  </si>
  <si>
    <t>Trans-Pupil Transportation-Purchased Services</t>
  </si>
  <si>
    <t>The Hope School</t>
  </si>
  <si>
    <t>Tueth, Keeney, Cooper Assoc</t>
  </si>
  <si>
    <t>Ed-General Admin-Purchased Services</t>
  </si>
  <si>
    <t>O &amp; M-Operation &amp; Maintenance Plant Services-Supplies</t>
  </si>
  <si>
    <t>Illini Supply</t>
  </si>
  <si>
    <t>20-2540-400</t>
  </si>
  <si>
    <t>10-2300-300</t>
  </si>
  <si>
    <t>Of the federal expenditures presented in the schedule, Vandalia Community Unit School District 203 provided federal awards to subrecipients as follows:</t>
  </si>
  <si>
    <r>
      <t xml:space="preserve">The following amounts were expended in the form of non-cash assistance by Vandalia Community Unit School District 203 and </t>
    </r>
    <r>
      <rPr>
        <b/>
        <sz val="9"/>
        <rFont val="Calibri"/>
        <family val="2"/>
        <scheme val="minor"/>
      </rPr>
      <t>should be</t>
    </r>
    <r>
      <rPr>
        <sz val="9"/>
        <rFont val="Calibri"/>
        <family val="2"/>
        <scheme val="minor"/>
      </rPr>
      <t xml:space="preserve"> included in the Schedule of Expenditures of Federal Awards:</t>
    </r>
  </si>
  <si>
    <t>Our tests did not reveal any internal control over financial reporting or compliance findings.</t>
  </si>
  <si>
    <t xml:space="preserve">  Title V - Rural Education Initiative Program</t>
  </si>
  <si>
    <t>Vandalia CUSD 203</t>
  </si>
  <si>
    <t>10-4000-600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</si>
</sst>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auto="1"/>
      </top>
      <bottom style="thin">
        <color auto="1"/>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61" fillId="0" borderId="22" xfId="3" applyNumberFormat="1" applyFont="1" applyBorder="1" applyAlignment="1" applyProtection="1">
      <alignment horizontal="left" vertical="center" wrapText="1"/>
      <protection locked="0"/>
    </xf>
    <xf numFmtId="3" fontId="59" fillId="0" borderId="45"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3" fontId="59" fillId="0" borderId="166" xfId="3" applyNumberFormat="1" applyFont="1" applyBorder="1" applyAlignment="1" applyProtection="1">
      <alignment horizontal="center"/>
      <protection locked="0"/>
    </xf>
    <xf numFmtId="3" fontId="59" fillId="0" borderId="167" xfId="3" applyNumberFormat="1" applyFont="1" applyBorder="1" applyAlignment="1" applyProtection="1">
      <alignment horizontal="center"/>
      <protection locked="0"/>
    </xf>
    <xf numFmtId="3" fontId="59" fillId="0" borderId="16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169" xfId="3" applyNumberFormat="1" applyFont="1" applyBorder="1" applyAlignment="1" applyProtection="1">
      <alignment horizontal="center"/>
      <protection locked="0"/>
    </xf>
    <xf numFmtId="166" fontId="54" fillId="0" borderId="0" xfId="0" applyNumberFormat="1" applyFont="1" applyAlignment="1">
      <alignment horizontal="left"/>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readingOrder="1"/>
      <protection locked="0"/>
    </xf>
    <xf numFmtId="0" fontId="10" fillId="0" borderId="129" xfId="0" applyNumberFormat="1" applyFont="1" applyBorder="1" applyAlignment="1" applyProtection="1">
      <alignment horizontal="left" vertical="center" readingOrder="1"/>
      <protection locked="0"/>
    </xf>
    <xf numFmtId="0" fontId="7" fillId="0" borderId="129" xfId="0" applyFont="1" applyBorder="1" applyAlignment="1" applyProtection="1">
      <alignment vertical="center" readingOrder="1"/>
      <protection locked="0"/>
    </xf>
    <xf numFmtId="0" fontId="7" fillId="0" borderId="127"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1" fillId="0" borderId="0" xfId="3" applyFont="1" applyAlignment="1" applyProtection="1">
      <alignment horizontal="center"/>
    </xf>
    <xf numFmtId="0" fontId="51" fillId="0" borderId="78" xfId="3" applyFont="1" applyBorder="1" applyAlignment="1" applyProtection="1">
      <alignment horizontal="center"/>
    </xf>
    <xf numFmtId="3" fontId="52" fillId="0" borderId="77" xfId="3" applyNumberFormat="1" applyFont="1" applyBorder="1" applyAlignment="1" applyProtection="1">
      <alignment horizontal="right" indent="1"/>
      <protection locked="0"/>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xf numFmtId="179" fontId="54" fillId="0" borderId="0" xfId="3" applyNumberFormat="1" applyFont="1" applyBorder="1" applyAlignment="1" applyProtection="1">
      <alignment horizontal="left"/>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104775</xdr:rowOff>
        </xdr:from>
        <xdr:to>
          <xdr:col>1</xdr:col>
          <xdr:colOff>914400</xdr:colOff>
          <xdr:row>4</xdr:row>
          <xdr:rowOff>142875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104775</xdr:rowOff>
        </xdr:from>
        <xdr:to>
          <xdr:col>1</xdr:col>
          <xdr:colOff>1914525</xdr:colOff>
          <xdr:row>4</xdr:row>
          <xdr:rowOff>142875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3009900</xdr:colOff>
          <xdr:row>0</xdr:row>
          <xdr:rowOff>114300</xdr:rowOff>
        </xdr:from>
        <xdr:to>
          <xdr:col>1</xdr:col>
          <xdr:colOff>3924300</xdr:colOff>
          <xdr:row>4</xdr:row>
          <xdr:rowOff>152400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114300</xdr:rowOff>
        </xdr:from>
        <xdr:to>
          <xdr:col>1</xdr:col>
          <xdr:colOff>2914650</xdr:colOff>
          <xdr:row>4</xdr:row>
          <xdr:rowOff>152400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85725</xdr:rowOff>
        </xdr:from>
        <xdr:to>
          <xdr:col>1</xdr:col>
          <xdr:colOff>933450</xdr:colOff>
          <xdr:row>9</xdr:row>
          <xdr:rowOff>123825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5</xdr:row>
          <xdr:rowOff>85725</xdr:rowOff>
        </xdr:from>
        <xdr:to>
          <xdr:col>1</xdr:col>
          <xdr:colOff>2952750</xdr:colOff>
          <xdr:row>9</xdr:row>
          <xdr:rowOff>123825</xdr:rowOff>
        </xdr:to>
        <xdr:sp macro="" textlink="">
          <xdr:nvSpPr>
            <xdr:cNvPr id="35850" name="Object 10" hidden="1">
              <a:extLst>
                <a:ext uri="{63B3BB69-23CF-44E3-9099-C40C66FF867C}">
                  <a14:compatExt spid="_x0000_s358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57150</xdr:rowOff>
        </xdr:from>
        <xdr:to>
          <xdr:col>1</xdr:col>
          <xdr:colOff>1924050</xdr:colOff>
          <xdr:row>9</xdr:row>
          <xdr:rowOff>95250</xdr:rowOff>
        </xdr:to>
        <xdr:sp macro="" textlink="">
          <xdr:nvSpPr>
            <xdr:cNvPr id="35853" name="Object 13" hidden="1">
              <a:extLst>
                <a:ext uri="{63B3BB69-23CF-44E3-9099-C40C66FF867C}">
                  <a14:compatExt spid="_x0000_s358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4" t="s">
        <v>424</v>
      </c>
      <c r="J1" s="2005"/>
      <c r="K1" s="2005"/>
      <c r="L1" s="2005"/>
      <c r="M1" s="2005"/>
      <c r="N1" s="2005"/>
      <c r="O1" s="2005"/>
      <c r="P1" s="2005"/>
      <c r="Q1" s="2005"/>
      <c r="R1" s="2005"/>
      <c r="S1" s="2005"/>
    </row>
    <row r="2" spans="1:28" ht="12" customHeight="1" x14ac:dyDescent="0.2">
      <c r="A2" s="47" t="s">
        <v>1683</v>
      </c>
      <c r="D2" s="48"/>
      <c r="I2" s="2006" t="s">
        <v>1035</v>
      </c>
      <c r="J2" s="2005"/>
      <c r="K2" s="2005"/>
      <c r="L2" s="2005"/>
      <c r="M2" s="2005"/>
      <c r="N2" s="2005"/>
      <c r="O2" s="2005"/>
      <c r="P2" s="2005"/>
      <c r="Q2" s="2005"/>
      <c r="R2" s="2005"/>
      <c r="S2" s="2005"/>
    </row>
    <row r="3" spans="1:28" ht="12" customHeight="1" x14ac:dyDescent="0.2">
      <c r="A3" s="155" t="s">
        <v>1684</v>
      </c>
      <c r="B3" s="156"/>
      <c r="C3" s="156"/>
      <c r="D3" s="157"/>
      <c r="I3" s="2006" t="s">
        <v>54</v>
      </c>
      <c r="J3" s="2005"/>
      <c r="K3" s="2005"/>
      <c r="L3" s="2005"/>
      <c r="M3" s="2005"/>
      <c r="N3" s="2005"/>
      <c r="O3" s="2005"/>
      <c r="P3" s="2005"/>
      <c r="Q3" s="2005"/>
      <c r="R3" s="2005"/>
      <c r="S3" s="2005"/>
    </row>
    <row r="4" spans="1:28" ht="12" customHeight="1" x14ac:dyDescent="0.2">
      <c r="A4" s="37"/>
      <c r="I4" s="2006" t="s">
        <v>544</v>
      </c>
      <c r="J4" s="2005"/>
      <c r="K4" s="2005"/>
      <c r="L4" s="2005"/>
      <c r="M4" s="2005"/>
      <c r="N4" s="2005"/>
      <c r="O4" s="2005"/>
      <c r="P4" s="2005"/>
      <c r="Q4" s="2005"/>
      <c r="R4" s="2005"/>
      <c r="S4" s="2005"/>
    </row>
    <row r="5" spans="1:28" ht="14.1" customHeight="1" x14ac:dyDescent="0.2">
      <c r="B5" s="104" t="s">
        <v>2080</v>
      </c>
      <c r="C5" s="26" t="s">
        <v>965</v>
      </c>
      <c r="D5" s="84"/>
      <c r="E5" s="84"/>
      <c r="H5" s="38"/>
      <c r="I5" s="2014" t="s">
        <v>700</v>
      </c>
      <c r="J5" s="2013"/>
      <c r="K5" s="2013"/>
      <c r="L5" s="2013"/>
      <c r="M5" s="2013"/>
      <c r="N5" s="2013"/>
      <c r="O5" s="2013"/>
      <c r="P5" s="2013"/>
      <c r="Q5" s="2013"/>
      <c r="R5" s="2013"/>
      <c r="S5" s="2013"/>
    </row>
    <row r="6" spans="1:28" ht="14.1" customHeight="1" x14ac:dyDescent="0.2">
      <c r="B6" s="104"/>
      <c r="C6" s="26" t="s">
        <v>966</v>
      </c>
      <c r="D6" s="84"/>
      <c r="E6" s="84"/>
      <c r="I6" s="2012" t="s">
        <v>937</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694</v>
      </c>
      <c r="J9" s="2010"/>
      <c r="K9" s="2010"/>
      <c r="L9" s="2010"/>
      <c r="M9" s="2010"/>
      <c r="N9" s="2010"/>
      <c r="O9" s="2010"/>
      <c r="P9" s="2010"/>
      <c r="Q9" s="2010"/>
      <c r="R9" s="2010"/>
      <c r="S9" s="2011"/>
      <c r="T9" s="2025" t="s">
        <v>553</v>
      </c>
      <c r="U9" s="2026"/>
      <c r="V9" s="2026"/>
      <c r="W9" s="2026"/>
      <c r="X9" s="2026"/>
      <c r="Y9" s="2026"/>
      <c r="Z9" s="2026"/>
      <c r="AA9" s="2027"/>
    </row>
    <row r="10" spans="1:28" ht="13.5" customHeight="1" x14ac:dyDescent="0.2">
      <c r="A10" s="2032" t="s">
        <v>695</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1011</v>
      </c>
      <c r="B11" s="2036"/>
      <c r="C11" s="2036"/>
      <c r="D11" s="2036"/>
      <c r="E11" s="2036"/>
      <c r="F11" s="2036"/>
      <c r="G11" s="2036"/>
      <c r="H11" s="2037"/>
      <c r="I11" s="27"/>
      <c r="J11" s="74"/>
      <c r="K11" s="27"/>
      <c r="O11" s="148" t="s">
        <v>2080</v>
      </c>
      <c r="P11" s="100" t="s">
        <v>210</v>
      </c>
      <c r="Q11" s="30"/>
      <c r="R11" s="28"/>
      <c r="S11" s="27"/>
      <c r="T11" s="2029"/>
      <c r="U11" s="2030"/>
      <c r="V11" s="2030"/>
      <c r="W11" s="2030"/>
      <c r="X11" s="2030"/>
      <c r="Y11" s="2030"/>
      <c r="Z11" s="2030"/>
      <c r="AA11" s="203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9">
        <v>3026203026</v>
      </c>
      <c r="B13" s="2040"/>
      <c r="C13" s="2040"/>
      <c r="D13" s="2040"/>
      <c r="E13" s="2040"/>
      <c r="F13" s="2040"/>
      <c r="G13" s="2040"/>
      <c r="H13" s="2041"/>
      <c r="I13" s="31"/>
      <c r="J13" s="30"/>
      <c r="K13" s="28"/>
      <c r="L13" s="30"/>
      <c r="M13" s="30"/>
      <c r="N13" s="30"/>
      <c r="O13" s="30"/>
      <c r="P13" s="30"/>
      <c r="Q13" s="30"/>
      <c r="R13" s="30"/>
      <c r="S13" s="30"/>
      <c r="T13" s="2044" t="s">
        <v>2073</v>
      </c>
      <c r="U13" s="2045"/>
      <c r="V13" s="2045"/>
      <c r="W13" s="2045"/>
      <c r="X13" s="2045"/>
      <c r="Y13" s="2046"/>
      <c r="Z13" s="2046"/>
      <c r="AA13" s="204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8" t="s">
        <v>2083</v>
      </c>
      <c r="B15" s="2042"/>
      <c r="C15" s="2042"/>
      <c r="D15" s="2042"/>
      <c r="E15" s="2042"/>
      <c r="F15" s="2042"/>
      <c r="G15" s="2042"/>
      <c r="H15" s="2043"/>
      <c r="T15" s="2048" t="s">
        <v>2148</v>
      </c>
      <c r="U15" s="1992"/>
      <c r="V15" s="1992"/>
      <c r="W15" s="1992"/>
      <c r="X15" s="1992"/>
      <c r="Y15" s="2049"/>
      <c r="Z15" s="2049"/>
      <c r="AA15" s="205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8" t="s">
        <v>2227</v>
      </c>
      <c r="B17" s="1999"/>
      <c r="C17" s="1999"/>
      <c r="D17" s="1999"/>
      <c r="E17" s="1999"/>
      <c r="F17" s="1999"/>
      <c r="G17" s="1999"/>
      <c r="H17" s="2024"/>
      <c r="T17" s="2055" t="s">
        <v>2074</v>
      </c>
      <c r="U17" s="2056"/>
      <c r="V17" s="2056"/>
      <c r="W17" s="2056"/>
      <c r="X17" s="2056"/>
      <c r="Y17" s="2056"/>
      <c r="Z17" s="2056"/>
      <c r="AA17" s="2057"/>
    </row>
    <row r="18" spans="1:27" ht="13.5" customHeight="1" x14ac:dyDescent="0.2">
      <c r="A18" s="85" t="s">
        <v>550</v>
      </c>
      <c r="B18" s="76"/>
      <c r="C18" s="72"/>
      <c r="D18" s="76"/>
      <c r="E18" s="76"/>
      <c r="F18" s="76"/>
      <c r="G18" s="76"/>
      <c r="H18" s="56"/>
      <c r="I18" s="2023" t="s">
        <v>696</v>
      </c>
      <c r="J18" s="1974"/>
      <c r="K18" s="1974"/>
      <c r="L18" s="1974"/>
      <c r="M18" s="1974"/>
      <c r="N18" s="1974"/>
      <c r="O18" s="1974"/>
      <c r="P18" s="1974"/>
      <c r="Q18" s="1974"/>
      <c r="R18" s="1974"/>
      <c r="S18" s="1975"/>
      <c r="T18" s="85" t="s">
        <v>734</v>
      </c>
      <c r="U18" s="51"/>
      <c r="V18" s="72"/>
      <c r="W18" s="50"/>
      <c r="X18" s="85" t="s">
        <v>283</v>
      </c>
      <c r="Y18" s="81"/>
      <c r="Z18" s="159" t="s">
        <v>697</v>
      </c>
      <c r="AA18" s="46"/>
    </row>
    <row r="19" spans="1:27" ht="13.5" customHeight="1" x14ac:dyDescent="0.2">
      <c r="A19" s="2038" t="s">
        <v>2084</v>
      </c>
      <c r="B19" s="1984"/>
      <c r="C19" s="1984"/>
      <c r="D19" s="1984"/>
      <c r="E19" s="1984"/>
      <c r="F19" s="1984"/>
      <c r="G19" s="1984"/>
      <c r="H19" s="1964"/>
      <c r="I19" s="30"/>
      <c r="J19" s="99"/>
      <c r="K19" s="40"/>
      <c r="L19" s="38"/>
      <c r="M19" s="112" t="s">
        <v>332</v>
      </c>
      <c r="P19" s="27"/>
      <c r="Q19" s="27"/>
      <c r="R19" s="27"/>
      <c r="S19" s="31"/>
      <c r="T19" s="2038" t="s">
        <v>2075</v>
      </c>
      <c r="U19" s="1963"/>
      <c r="V19" s="1963"/>
      <c r="W19" s="1964"/>
      <c r="X19" s="2053" t="s">
        <v>2076</v>
      </c>
      <c r="Y19" s="2054"/>
      <c r="Z19" s="2051">
        <v>62565</v>
      </c>
      <c r="AA19" s="205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2" t="s">
        <v>2085</v>
      </c>
      <c r="B21" s="1963"/>
      <c r="C21" s="1963"/>
      <c r="D21" s="1963"/>
      <c r="E21" s="1963"/>
      <c r="F21" s="1963"/>
      <c r="G21" s="1963"/>
      <c r="H21" s="1964"/>
      <c r="I21" s="2018" t="s">
        <v>698</v>
      </c>
      <c r="J21" s="2013"/>
      <c r="K21" s="2013"/>
      <c r="L21" s="2013"/>
      <c r="M21" s="2013"/>
      <c r="N21" s="2013"/>
      <c r="O21" s="2013"/>
      <c r="P21" s="2013"/>
      <c r="Q21" s="2013"/>
      <c r="R21" s="2013"/>
      <c r="S21" s="2019"/>
      <c r="T21" s="2062" t="s">
        <v>2077</v>
      </c>
      <c r="U21" s="2063"/>
      <c r="V21" s="2063"/>
      <c r="W21" s="2063"/>
      <c r="X21" s="2068" t="s">
        <v>2082</v>
      </c>
      <c r="Y21" s="2069"/>
      <c r="Z21" s="2069"/>
      <c r="AA21" s="2070"/>
    </row>
    <row r="22" spans="1:27" ht="13.5" customHeight="1" x14ac:dyDescent="0.2">
      <c r="A22" s="87" t="s">
        <v>551</v>
      </c>
      <c r="B22" s="59"/>
      <c r="C22" s="59"/>
      <c r="D22" s="59"/>
      <c r="E22" s="59"/>
      <c r="F22" s="59"/>
      <c r="G22" s="59"/>
      <c r="H22" s="60"/>
      <c r="I22" s="2020" t="s">
        <v>1503</v>
      </c>
      <c r="J22" s="2021"/>
      <c r="K22" s="2021"/>
      <c r="L22" s="2021"/>
      <c r="M22" s="2021"/>
      <c r="N22" s="2021"/>
      <c r="O22" s="2021"/>
      <c r="P22" s="2021"/>
      <c r="Q22" s="2021"/>
      <c r="R22" s="2021"/>
      <c r="S22" s="2022"/>
      <c r="T22" s="85" t="s">
        <v>1595</v>
      </c>
      <c r="U22" s="51"/>
      <c r="V22" s="72"/>
      <c r="W22" s="51"/>
      <c r="X22" s="160" t="s">
        <v>1384</v>
      </c>
      <c r="Z22" s="45"/>
      <c r="AA22" s="46"/>
    </row>
    <row r="23" spans="1:27" ht="13.5" customHeight="1" x14ac:dyDescent="0.2">
      <c r="A23" s="2015" t="s">
        <v>2086</v>
      </c>
      <c r="B23" s="2016"/>
      <c r="C23" s="2016"/>
      <c r="D23" s="2016"/>
      <c r="E23" s="2016"/>
      <c r="F23" s="2016"/>
      <c r="G23" s="2016"/>
      <c r="H23" s="2017"/>
      <c r="T23" s="1998" t="s">
        <v>2078</v>
      </c>
      <c r="U23" s="2061"/>
      <c r="V23" s="2061"/>
      <c r="W23" s="2061"/>
      <c r="X23" s="2065">
        <v>43434</v>
      </c>
      <c r="Y23" s="2066"/>
      <c r="Z23" s="2066"/>
      <c r="AA23" s="2067"/>
    </row>
    <row r="24" spans="1:27" ht="14.1" customHeight="1" x14ac:dyDescent="0.2">
      <c r="A24" s="88" t="s">
        <v>697</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551</v>
      </c>
      <c r="U24" s="106"/>
      <c r="V24" s="106"/>
      <c r="W24" s="106"/>
      <c r="X24" s="107"/>
      <c r="Y24" s="107"/>
      <c r="Z24" s="107"/>
      <c r="AA24" s="108"/>
    </row>
    <row r="25" spans="1:27" ht="14.1" customHeight="1" x14ac:dyDescent="0.2">
      <c r="A25" s="1962">
        <v>62471</v>
      </c>
      <c r="B25" s="1963"/>
      <c r="C25" s="1963"/>
      <c r="D25" s="1963"/>
      <c r="E25" s="1963"/>
      <c r="F25" s="1963"/>
      <c r="G25" s="1963"/>
      <c r="H25" s="1964"/>
      <c r="I25" s="113"/>
      <c r="J25" s="1987"/>
      <c r="K25" s="1987"/>
      <c r="L25" s="1987"/>
      <c r="M25" s="1987"/>
      <c r="N25" s="1987"/>
      <c r="O25" s="1987"/>
      <c r="P25" s="1987"/>
      <c r="Q25" s="1987"/>
      <c r="R25" s="1987"/>
      <c r="S25" s="1988"/>
      <c r="T25" s="2058" t="s">
        <v>2079</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3" t="s">
        <v>1590</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2080</v>
      </c>
      <c r="F29" s="141" t="s">
        <v>1382</v>
      </c>
      <c r="G29" s="114"/>
      <c r="I29" s="54"/>
      <c r="J29" s="148" t="s">
        <v>2080</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2080</v>
      </c>
      <c r="C30" s="124" t="s">
        <v>1225</v>
      </c>
      <c r="D30" s="28"/>
      <c r="E30" s="28"/>
      <c r="F30" s="140"/>
      <c r="G30" s="114"/>
      <c r="H30" s="114"/>
      <c r="I30" s="54"/>
      <c r="J30" s="148" t="s">
        <v>2080</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2080</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8" t="s">
        <v>2191</v>
      </c>
      <c r="B38" s="1999"/>
      <c r="C38" s="1999"/>
      <c r="D38" s="1999"/>
      <c r="E38" s="1999"/>
      <c r="F38" s="1963"/>
      <c r="G38" s="1963"/>
      <c r="H38" s="1964"/>
      <c r="I38" s="1991"/>
      <c r="J38" s="1992"/>
      <c r="K38" s="1992"/>
      <c r="L38" s="1992"/>
      <c r="M38" s="1992"/>
      <c r="N38" s="1992"/>
      <c r="O38" s="1992"/>
      <c r="P38" s="1993"/>
      <c r="Q38" s="1993"/>
      <c r="R38" s="1993"/>
      <c r="S38" s="1994"/>
      <c r="T38" s="2048" t="s">
        <v>2089</v>
      </c>
      <c r="U38" s="1992"/>
      <c r="V38" s="1992"/>
      <c r="W38" s="1992"/>
      <c r="X38" s="1993"/>
      <c r="Y38" s="1993"/>
      <c r="Z38" s="1993"/>
      <c r="AA38" s="1994"/>
    </row>
    <row r="39" spans="1:27" ht="12" customHeight="1" x14ac:dyDescent="0.2">
      <c r="A39" s="1968" t="s">
        <v>551</v>
      </c>
      <c r="B39" s="1969"/>
      <c r="C39" s="72"/>
      <c r="D39" s="69"/>
      <c r="E39" s="69"/>
      <c r="F39" s="79"/>
      <c r="G39" s="69"/>
      <c r="H39" s="56"/>
      <c r="I39" s="1968" t="s">
        <v>551</v>
      </c>
      <c r="J39" s="1969"/>
      <c r="K39" s="1969"/>
      <c r="L39" s="1969"/>
      <c r="M39" s="1969"/>
      <c r="N39" s="67"/>
      <c r="O39" s="72"/>
      <c r="P39" s="72"/>
      <c r="Q39" s="78"/>
      <c r="R39" s="72"/>
      <c r="S39" s="56"/>
      <c r="T39" s="72" t="s">
        <v>551</v>
      </c>
      <c r="U39" s="51"/>
      <c r="V39" s="72"/>
      <c r="W39" s="50"/>
      <c r="X39" s="78"/>
      <c r="Y39" s="45"/>
      <c r="Z39" s="45"/>
      <c r="AA39" s="46"/>
    </row>
    <row r="40" spans="1:27" ht="13.5" customHeight="1" x14ac:dyDescent="0.2">
      <c r="A40" s="1976" t="s">
        <v>2086</v>
      </c>
      <c r="B40" s="1977"/>
      <c r="C40" s="1978"/>
      <c r="D40" s="1978"/>
      <c r="E40" s="1978"/>
      <c r="F40" s="1979"/>
      <c r="G40" s="1979"/>
      <c r="H40" s="1980"/>
      <c r="I40" s="2001"/>
      <c r="J40" s="2002"/>
      <c r="K40" s="2002"/>
      <c r="L40" s="2002"/>
      <c r="M40" s="2002"/>
      <c r="N40" s="2002"/>
      <c r="O40" s="2002"/>
      <c r="P40" s="2002"/>
      <c r="Q40" s="2002"/>
      <c r="R40" s="2002"/>
      <c r="S40" s="2003"/>
      <c r="T40" s="2001" t="s">
        <v>2090</v>
      </c>
      <c r="U40" s="2064"/>
      <c r="V40" s="2002"/>
      <c r="W40" s="2002"/>
      <c r="X40" s="2002"/>
      <c r="Y40" s="2002"/>
      <c r="Z40" s="2002"/>
      <c r="AA40" s="200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0" t="s">
        <v>2087</v>
      </c>
      <c r="B42" s="1982"/>
      <c r="C42" s="1983"/>
      <c r="D42" s="1981" t="s">
        <v>2088</v>
      </c>
      <c r="E42" s="1982"/>
      <c r="F42" s="1982"/>
      <c r="G42" s="1982"/>
      <c r="H42" s="1983"/>
      <c r="I42" s="1965"/>
      <c r="J42" s="1966"/>
      <c r="K42" s="1966"/>
      <c r="L42" s="1966"/>
      <c r="M42" s="1966"/>
      <c r="N42" s="1966"/>
      <c r="O42" s="1967"/>
      <c r="P42" s="2000"/>
      <c r="Q42" s="1966"/>
      <c r="R42" s="1966"/>
      <c r="S42" s="1967"/>
      <c r="T42" s="1965" t="s">
        <v>2091</v>
      </c>
      <c r="U42" s="1966"/>
      <c r="V42" s="1966"/>
      <c r="W42" s="1967"/>
      <c r="X42" s="2000" t="s">
        <v>2092</v>
      </c>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G7" sqref="G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204" t="s">
        <v>1901</v>
      </c>
      <c r="B2" s="1547" t="s">
        <v>2033</v>
      </c>
      <c r="C2" s="714" t="s">
        <v>1906</v>
      </c>
      <c r="D2" s="714" t="s">
        <v>1907</v>
      </c>
      <c r="E2" s="714" t="s">
        <v>1908</v>
      </c>
      <c r="F2" s="714" t="s">
        <v>1909</v>
      </c>
    </row>
    <row r="3" spans="1:6" ht="12" customHeight="1" x14ac:dyDescent="0.2">
      <c r="A3" s="2205"/>
      <c r="B3" s="1544"/>
      <c r="C3" s="1545"/>
      <c r="D3" s="1546" t="s">
        <v>274</v>
      </c>
      <c r="E3" s="1545"/>
      <c r="F3" s="1546" t="s">
        <v>275</v>
      </c>
    </row>
    <row r="4" spans="1:6" ht="13.7" customHeight="1" x14ac:dyDescent="0.2">
      <c r="A4" s="715" t="s">
        <v>1216</v>
      </c>
      <c r="B4" s="1764">
        <f>'Revenues 9-14'!C5</f>
        <v>2086086</v>
      </c>
      <c r="C4" s="1543">
        <v>0</v>
      </c>
      <c r="D4" s="1767">
        <f>B4-C4</f>
        <v>2086086</v>
      </c>
      <c r="E4" s="1543">
        <v>2158165</v>
      </c>
      <c r="F4" s="1767">
        <f>E4-C4</f>
        <v>2158165</v>
      </c>
    </row>
    <row r="5" spans="1:6" ht="13.7" customHeight="1" x14ac:dyDescent="0.2">
      <c r="A5" s="715" t="s">
        <v>924</v>
      </c>
      <c r="B5" s="1765">
        <f>'Revenues 9-14'!D5</f>
        <v>566703</v>
      </c>
      <c r="C5" s="585">
        <v>0</v>
      </c>
      <c r="D5" s="1768">
        <f t="shared" ref="D5:D18" si="0">B5-C5</f>
        <v>566703</v>
      </c>
      <c r="E5" s="585">
        <v>586459</v>
      </c>
      <c r="F5" s="1768">
        <f>E5-C5</f>
        <v>586459</v>
      </c>
    </row>
    <row r="6" spans="1:6" ht="13.7" customHeight="1" x14ac:dyDescent="0.2">
      <c r="A6" s="715" t="s">
        <v>430</v>
      </c>
      <c r="B6" s="1765">
        <f>'Revenues 9-14'!E5</f>
        <v>1469674</v>
      </c>
      <c r="C6" s="585">
        <v>0</v>
      </c>
      <c r="D6" s="1768">
        <f t="shared" si="0"/>
        <v>1469674</v>
      </c>
      <c r="E6" s="585">
        <v>1509174</v>
      </c>
      <c r="F6" s="1768">
        <f t="shared" ref="F6:F18" si="1">E6-C6</f>
        <v>1509174</v>
      </c>
    </row>
    <row r="7" spans="1:6" ht="13.7" customHeight="1" x14ac:dyDescent="0.2">
      <c r="A7" s="715" t="s">
        <v>157</v>
      </c>
      <c r="B7" s="1765">
        <f>'Revenues 9-14'!F5</f>
        <v>226681</v>
      </c>
      <c r="C7" s="585">
        <v>0</v>
      </c>
      <c r="D7" s="1768">
        <f t="shared" si="0"/>
        <v>226681</v>
      </c>
      <c r="E7" s="585">
        <v>234588</v>
      </c>
      <c r="F7" s="1768">
        <f t="shared" si="1"/>
        <v>234588</v>
      </c>
    </row>
    <row r="8" spans="1:6" ht="13.7" customHeight="1" x14ac:dyDescent="0.2">
      <c r="A8" s="715" t="s">
        <v>1240</v>
      </c>
      <c r="B8" s="1765">
        <f>'Revenues 9-14'!G5</f>
        <v>200662</v>
      </c>
      <c r="C8" s="585">
        <v>0</v>
      </c>
      <c r="D8" s="1768">
        <f t="shared" si="0"/>
        <v>200662</v>
      </c>
      <c r="E8" s="585">
        <v>219478</v>
      </c>
      <c r="F8" s="1768">
        <f t="shared" si="1"/>
        <v>219478</v>
      </c>
    </row>
    <row r="9" spans="1:6" ht="13.7" customHeight="1" x14ac:dyDescent="0.2">
      <c r="A9" s="715" t="s">
        <v>427</v>
      </c>
      <c r="B9" s="1765">
        <f>'Revenues 9-14'!H5</f>
        <v>0</v>
      </c>
      <c r="C9" s="585">
        <v>0</v>
      </c>
      <c r="D9" s="1768">
        <f t="shared" si="0"/>
        <v>0</v>
      </c>
      <c r="E9" s="585">
        <v>0</v>
      </c>
      <c r="F9" s="1768">
        <f t="shared" si="1"/>
        <v>0</v>
      </c>
    </row>
    <row r="10" spans="1:6" ht="13.7" customHeight="1" x14ac:dyDescent="0.2">
      <c r="A10" s="715" t="s">
        <v>426</v>
      </c>
      <c r="B10" s="1765">
        <f>'Revenues 9-14'!I5</f>
        <v>56670</v>
      </c>
      <c r="C10" s="585">
        <v>0</v>
      </c>
      <c r="D10" s="1768">
        <f t="shared" si="0"/>
        <v>56670</v>
      </c>
      <c r="E10" s="585">
        <v>58647</v>
      </c>
      <c r="F10" s="1768">
        <f t="shared" si="1"/>
        <v>58647</v>
      </c>
    </row>
    <row r="11" spans="1:6" x14ac:dyDescent="0.2">
      <c r="A11" s="715" t="s">
        <v>428</v>
      </c>
      <c r="B11" s="1765">
        <f>'Revenues 9-14'!J5</f>
        <v>902918</v>
      </c>
      <c r="C11" s="585">
        <v>0</v>
      </c>
      <c r="D11" s="1768">
        <f t="shared" si="0"/>
        <v>902918</v>
      </c>
      <c r="E11" s="585">
        <v>893776</v>
      </c>
      <c r="F11" s="1768">
        <f t="shared" si="1"/>
        <v>893776</v>
      </c>
    </row>
    <row r="12" spans="1:6" ht="13.7" customHeight="1" x14ac:dyDescent="0.2">
      <c r="A12" s="715" t="s">
        <v>159</v>
      </c>
      <c r="B12" s="1765">
        <f>'Revenues 9-14'!K5</f>
        <v>56670</v>
      </c>
      <c r="C12" s="585">
        <v>0</v>
      </c>
      <c r="D12" s="1768">
        <f t="shared" si="0"/>
        <v>56670</v>
      </c>
      <c r="E12" s="585">
        <v>58647</v>
      </c>
      <c r="F12" s="1768">
        <f t="shared" si="1"/>
        <v>58647</v>
      </c>
    </row>
    <row r="13" spans="1:6" ht="13.7" customHeight="1" x14ac:dyDescent="0.2">
      <c r="A13" s="715" t="s">
        <v>992</v>
      </c>
      <c r="B13" s="1765">
        <f>SUM('Revenues 9-14'!C6:D6)</f>
        <v>56670</v>
      </c>
      <c r="C13" s="585">
        <v>0</v>
      </c>
      <c r="D13" s="1768">
        <f t="shared" si="0"/>
        <v>56670</v>
      </c>
      <c r="E13" s="585">
        <v>58647</v>
      </c>
      <c r="F13" s="1768">
        <f t="shared" si="1"/>
        <v>58647</v>
      </c>
    </row>
    <row r="14" spans="1:6" ht="13.7" customHeight="1" x14ac:dyDescent="0.2">
      <c r="A14" s="715" t="s">
        <v>429</v>
      </c>
      <c r="B14" s="1765">
        <f>SUM('Revenues 9-14'!C7:D7,'Revenues 9-14'!F7:H7)</f>
        <v>45336</v>
      </c>
      <c r="C14" s="585">
        <v>0</v>
      </c>
      <c r="D14" s="1768">
        <f t="shared" si="0"/>
        <v>45336</v>
      </c>
      <c r="E14" s="585">
        <v>46918</v>
      </c>
      <c r="F14" s="1768">
        <f t="shared" si="1"/>
        <v>46918</v>
      </c>
    </row>
    <row r="15" spans="1:6" ht="13.7" customHeight="1" x14ac:dyDescent="0.2">
      <c r="A15" s="715" t="s">
        <v>1219</v>
      </c>
      <c r="B15" s="1765">
        <f>'Revenues 9-14'!E9</f>
        <v>0</v>
      </c>
      <c r="C15" s="585">
        <v>0</v>
      </c>
      <c r="D15" s="1768">
        <f t="shared" si="0"/>
        <v>0</v>
      </c>
      <c r="E15" s="585">
        <v>0</v>
      </c>
      <c r="F15" s="1768">
        <f t="shared" si="1"/>
        <v>0</v>
      </c>
    </row>
    <row r="16" spans="1:6" ht="13.7" customHeight="1" x14ac:dyDescent="0.2">
      <c r="A16" s="715" t="s">
        <v>1220</v>
      </c>
      <c r="B16" s="1765">
        <f>'Revenues 9-14'!G8</f>
        <v>200662</v>
      </c>
      <c r="C16" s="585">
        <v>0</v>
      </c>
      <c r="D16" s="1768">
        <f t="shared" si="0"/>
        <v>200662</v>
      </c>
      <c r="E16" s="585">
        <v>219478</v>
      </c>
      <c r="F16" s="1768">
        <f t="shared" si="1"/>
        <v>219478</v>
      </c>
    </row>
    <row r="17" spans="1:6" ht="13.7" customHeight="1" x14ac:dyDescent="0.2">
      <c r="A17" s="715" t="s">
        <v>1221</v>
      </c>
      <c r="B17" s="1765">
        <f>'Revenues 9-14'!C10</f>
        <v>0</v>
      </c>
      <c r="C17" s="585">
        <v>0</v>
      </c>
      <c r="D17" s="1768">
        <f t="shared" si="0"/>
        <v>0</v>
      </c>
      <c r="E17" s="585">
        <v>0</v>
      </c>
      <c r="F17" s="1768">
        <f t="shared" si="1"/>
        <v>0</v>
      </c>
    </row>
    <row r="18" spans="1:6" ht="13.7" customHeight="1" x14ac:dyDescent="0.2">
      <c r="A18" s="715" t="s">
        <v>785</v>
      </c>
      <c r="B18" s="1765">
        <f>SUM('Revenues 9-14'!C11:K11)</f>
        <v>0</v>
      </c>
      <c r="C18" s="585">
        <v>0</v>
      </c>
      <c r="D18" s="1768">
        <f t="shared" si="0"/>
        <v>0</v>
      </c>
      <c r="E18" s="585">
        <v>0</v>
      </c>
      <c r="F18" s="1768">
        <f t="shared" si="1"/>
        <v>0</v>
      </c>
    </row>
    <row r="19" spans="1:6" ht="13.7" customHeight="1" thickBot="1" x14ac:dyDescent="0.25">
      <c r="A19" s="1769" t="s">
        <v>1222</v>
      </c>
      <c r="B19" s="1766">
        <f>SUM(B4:B18)</f>
        <v>5868732</v>
      </c>
      <c r="C19" s="1766">
        <f>SUM(C4:C18)</f>
        <v>0</v>
      </c>
      <c r="D19" s="1766">
        <f>SUM(D4:D18)</f>
        <v>5868732</v>
      </c>
      <c r="E19" s="1766">
        <f>SUM(E4:E18)</f>
        <v>6043977</v>
      </c>
      <c r="F19" s="1766">
        <f>SUM(F4:F18)</f>
        <v>6043977</v>
      </c>
    </row>
    <row r="20" spans="1:6" ht="13.5" thickTop="1" x14ac:dyDescent="0.2">
      <c r="B20" s="713"/>
      <c r="F20" s="716"/>
    </row>
    <row r="21" spans="1:6" x14ac:dyDescent="0.2">
      <c r="A21" s="717" t="s">
        <v>1911</v>
      </c>
      <c r="B21" s="718"/>
      <c r="F21" s="716"/>
    </row>
    <row r="22" spans="1:6" x14ac:dyDescent="0.2">
      <c r="A22" s="719" t="s">
        <v>648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J39" sqref="J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649</v>
      </c>
      <c r="B1" s="2224"/>
      <c r="C1" s="721"/>
    </row>
    <row r="2" spans="1:7" ht="33.75" x14ac:dyDescent="0.2">
      <c r="A2" s="2231" t="s">
        <v>1901</v>
      </c>
      <c r="B2" s="2232"/>
      <c r="C2" s="1900" t="s">
        <v>2034</v>
      </c>
      <c r="D2" s="723" t="s">
        <v>2041</v>
      </c>
      <c r="E2" s="723" t="s">
        <v>2042</v>
      </c>
      <c r="F2" s="1900" t="s">
        <v>2035</v>
      </c>
    </row>
    <row r="3" spans="1:7" ht="15.75" customHeight="1" x14ac:dyDescent="0.2">
      <c r="A3" s="2233" t="s">
        <v>1175</v>
      </c>
      <c r="B3" s="2234"/>
      <c r="C3" s="2227"/>
      <c r="D3" s="2228"/>
      <c r="E3" s="2228"/>
      <c r="F3" s="2229"/>
    </row>
    <row r="4" spans="1:7" ht="12.75" customHeight="1" thickBot="1" x14ac:dyDescent="0.25">
      <c r="A4" s="2221" t="s">
        <v>650</v>
      </c>
      <c r="B4" s="2222"/>
      <c r="C4" s="581"/>
      <c r="D4" s="581"/>
      <c r="E4" s="581"/>
      <c r="F4" s="1770">
        <f>SUM(C4+D4)-E4</f>
        <v>0</v>
      </c>
    </row>
    <row r="5" spans="1:7" ht="15.75" customHeight="1" thickTop="1" x14ac:dyDescent="0.2">
      <c r="A5" s="2225" t="s">
        <v>1171</v>
      </c>
      <c r="B5" s="2220"/>
      <c r="C5" s="2214"/>
      <c r="D5" s="2215"/>
      <c r="E5" s="2215"/>
      <c r="F5" s="2216"/>
    </row>
    <row r="6" spans="1:7" ht="12.75" customHeight="1" thickBot="1" x14ac:dyDescent="0.25">
      <c r="A6" s="724" t="s">
        <v>66</v>
      </c>
      <c r="B6" s="725"/>
      <c r="C6" s="726"/>
      <c r="D6" s="585"/>
      <c r="E6" s="726"/>
      <c r="F6" s="1770">
        <f t="shared" ref="F6:F14" si="0">SUM(C6+D6)-E6</f>
        <v>0</v>
      </c>
    </row>
    <row r="7" spans="1:7" ht="12.75" customHeight="1" thickTop="1" thickBot="1" x14ac:dyDescent="0.25">
      <c r="A7" s="724" t="s">
        <v>6</v>
      </c>
      <c r="B7" s="725"/>
      <c r="C7" s="726"/>
      <c r="D7" s="585"/>
      <c r="E7" s="726"/>
      <c r="F7" s="1770">
        <f t="shared" si="0"/>
        <v>0</v>
      </c>
    </row>
    <row r="8" spans="1:7" ht="12.75" customHeight="1" thickTop="1" thickBot="1" x14ac:dyDescent="0.25">
      <c r="A8" s="724" t="s">
        <v>528</v>
      </c>
      <c r="B8" s="725"/>
      <c r="C8" s="726"/>
      <c r="D8" s="585"/>
      <c r="E8" s="726"/>
      <c r="F8" s="1770">
        <f t="shared" si="0"/>
        <v>0</v>
      </c>
    </row>
    <row r="9" spans="1:7" ht="12.75" customHeight="1" thickTop="1" thickBot="1" x14ac:dyDescent="0.25">
      <c r="A9" s="724" t="s">
        <v>529</v>
      </c>
      <c r="B9" s="725"/>
      <c r="C9" s="726"/>
      <c r="D9" s="585"/>
      <c r="E9" s="726"/>
      <c r="F9" s="1770">
        <f t="shared" si="0"/>
        <v>0</v>
      </c>
    </row>
    <row r="10" spans="1:7" ht="12.75" customHeight="1" thickTop="1" thickBot="1" x14ac:dyDescent="0.25">
      <c r="A10" s="724" t="s">
        <v>530</v>
      </c>
      <c r="B10" s="725"/>
      <c r="C10" s="726"/>
      <c r="D10" s="585"/>
      <c r="E10" s="726"/>
      <c r="F10" s="1770">
        <f t="shared" si="0"/>
        <v>0</v>
      </c>
    </row>
    <row r="11" spans="1:7" ht="12.75" customHeight="1" thickTop="1" thickBot="1" x14ac:dyDescent="0.25">
      <c r="A11" s="724" t="s">
        <v>358</v>
      </c>
      <c r="B11" s="725"/>
      <c r="C11" s="726"/>
      <c r="D11" s="585"/>
      <c r="E11" s="726"/>
      <c r="F11" s="1770">
        <f t="shared" si="0"/>
        <v>0</v>
      </c>
    </row>
    <row r="12" spans="1:7" ht="12.75" customHeight="1" thickTop="1" thickBot="1" x14ac:dyDescent="0.25">
      <c r="A12" s="724" t="s">
        <v>1218</v>
      </c>
      <c r="B12" s="725"/>
      <c r="C12" s="726"/>
      <c r="D12" s="585"/>
      <c r="E12" s="726"/>
      <c r="F12" s="1770">
        <f t="shared" si="0"/>
        <v>0</v>
      </c>
    </row>
    <row r="13" spans="1:7" ht="12.75" customHeight="1" thickTop="1" thickBot="1" x14ac:dyDescent="0.25">
      <c r="A13" s="724" t="s">
        <v>405</v>
      </c>
      <c r="B13" s="725"/>
      <c r="C13" s="726"/>
      <c r="D13" s="585"/>
      <c r="E13" s="726"/>
      <c r="F13" s="1770">
        <f t="shared" si="0"/>
        <v>0</v>
      </c>
    </row>
    <row r="14" spans="1:7" ht="12.75" customHeight="1" thickTop="1" thickBot="1" x14ac:dyDescent="0.25">
      <c r="A14" s="724" t="s">
        <v>467</v>
      </c>
      <c r="B14" s="725"/>
      <c r="C14" s="726"/>
      <c r="D14" s="585"/>
      <c r="E14" s="726"/>
      <c r="F14" s="1770">
        <f t="shared" si="0"/>
        <v>0</v>
      </c>
    </row>
    <row r="15" spans="1:7" ht="14.25" thickTop="1" thickBot="1" x14ac:dyDescent="0.25">
      <c r="A15" s="2217" t="s">
        <v>651</v>
      </c>
      <c r="B15" s="2218"/>
      <c r="C15" s="1770">
        <f>SUM(C6:C14)</f>
        <v>0</v>
      </c>
      <c r="D15" s="1770">
        <f>SUM(D6:D14)</f>
        <v>0</v>
      </c>
      <c r="E15" s="1770">
        <f>SUM(E6:E14)</f>
        <v>0</v>
      </c>
      <c r="F15" s="1770">
        <f>SUM(F6:F14)</f>
        <v>0</v>
      </c>
      <c r="G15" s="552"/>
    </row>
    <row r="16" spans="1:7" s="202" customFormat="1" ht="15.75" customHeight="1" thickTop="1" x14ac:dyDescent="0.2">
      <c r="A16" s="2230" t="s">
        <v>1172</v>
      </c>
      <c r="B16" s="2220"/>
      <c r="C16" s="2214"/>
      <c r="D16" s="2215"/>
      <c r="E16" s="2215"/>
      <c r="F16" s="2216"/>
    </row>
    <row r="17" spans="1:11" ht="12.75" customHeight="1" thickBot="1" x14ac:dyDescent="0.25">
      <c r="A17" s="2212" t="s">
        <v>66</v>
      </c>
      <c r="B17" s="2213"/>
      <c r="C17" s="726"/>
      <c r="D17" s="585"/>
      <c r="E17" s="726"/>
      <c r="F17" s="1770">
        <f>SUM(C17+D17)-E17</f>
        <v>0</v>
      </c>
    </row>
    <row r="18" spans="1:11" ht="12.75" customHeight="1" thickTop="1" thickBot="1" x14ac:dyDescent="0.25">
      <c r="A18" s="2212" t="s">
        <v>6</v>
      </c>
      <c r="B18" s="2213"/>
      <c r="C18" s="726"/>
      <c r="D18" s="585"/>
      <c r="E18" s="726"/>
      <c r="F18" s="1770">
        <f>SUM(C18+D18)-E18</f>
        <v>0</v>
      </c>
    </row>
    <row r="19" spans="1:11" ht="12.75" customHeight="1" thickTop="1" thickBot="1" x14ac:dyDescent="0.25">
      <c r="A19" s="2212" t="s">
        <v>405</v>
      </c>
      <c r="B19" s="2213"/>
      <c r="C19" s="726"/>
      <c r="D19" s="585"/>
      <c r="E19" s="726"/>
      <c r="F19" s="1770">
        <f>SUM(C19+D19)-E19</f>
        <v>0</v>
      </c>
    </row>
    <row r="20" spans="1:11" ht="12.75" customHeight="1" thickTop="1" thickBot="1" x14ac:dyDescent="0.25">
      <c r="A20" s="2212" t="s">
        <v>467</v>
      </c>
      <c r="B20" s="2213"/>
      <c r="C20" s="726"/>
      <c r="D20" s="585"/>
      <c r="E20" s="726"/>
      <c r="F20" s="1770">
        <f>SUM(C20+D20)-E20</f>
        <v>0</v>
      </c>
    </row>
    <row r="21" spans="1:11" ht="14.25" thickTop="1" thickBot="1" x14ac:dyDescent="0.25">
      <c r="A21" s="2217" t="s">
        <v>652</v>
      </c>
      <c r="B21" s="2218"/>
      <c r="C21" s="1770">
        <f>SUM(C17:C20)</f>
        <v>0</v>
      </c>
      <c r="D21" s="1770">
        <f>SUM(D17:D20)</f>
        <v>0</v>
      </c>
      <c r="E21" s="1770">
        <f>SUM(E17:E20)</f>
        <v>0</v>
      </c>
      <c r="F21" s="1770">
        <f>SUM(F17:F20)</f>
        <v>0</v>
      </c>
      <c r="G21" s="552"/>
    </row>
    <row r="22" spans="1:11" ht="15.75" customHeight="1" thickTop="1" x14ac:dyDescent="0.2">
      <c r="A22" s="2219" t="s">
        <v>1173</v>
      </c>
      <c r="B22" s="2220"/>
      <c r="C22" s="2214"/>
      <c r="D22" s="2215"/>
      <c r="E22" s="2215"/>
      <c r="F22" s="2216"/>
    </row>
    <row r="23" spans="1:11" ht="13.5" thickBot="1" x14ac:dyDescent="0.25">
      <c r="A23" s="2221" t="s">
        <v>653</v>
      </c>
      <c r="B23" s="2222"/>
      <c r="C23" s="581"/>
      <c r="D23" s="581"/>
      <c r="E23" s="581"/>
      <c r="F23" s="1770">
        <f>SUM(C23+D23)-E23</f>
        <v>0</v>
      </c>
      <c r="G23" s="552"/>
    </row>
    <row r="24" spans="1:11" ht="15.75" customHeight="1" thickTop="1" x14ac:dyDescent="0.2">
      <c r="A24" s="2219" t="s">
        <v>1174</v>
      </c>
      <c r="B24" s="2220"/>
      <c r="C24" s="2214"/>
      <c r="D24" s="2215"/>
      <c r="E24" s="2215"/>
      <c r="F24" s="2216"/>
    </row>
    <row r="25" spans="1:11" ht="13.5" thickBot="1" x14ac:dyDescent="0.25">
      <c r="A25" s="2221" t="s">
        <v>654</v>
      </c>
      <c r="B25" s="2222"/>
      <c r="C25" s="581"/>
      <c r="D25" s="581"/>
      <c r="E25" s="581"/>
      <c r="F25" s="1770">
        <f>SUM(C25+D25)-E25</f>
        <v>0</v>
      </c>
      <c r="G25" s="552"/>
    </row>
    <row r="26" spans="1:11" ht="15.75" customHeight="1" thickTop="1" x14ac:dyDescent="0.2">
      <c r="A26" s="2225" t="s">
        <v>677</v>
      </c>
      <c r="B26" s="2220"/>
      <c r="C26" s="727"/>
      <c r="D26" s="727"/>
      <c r="E26" s="727"/>
      <c r="F26" s="728"/>
    </row>
    <row r="27" spans="1:11" ht="13.5" thickBot="1" x14ac:dyDescent="0.25">
      <c r="A27" s="2217" t="s">
        <v>1129</v>
      </c>
      <c r="B27" s="2218"/>
      <c r="C27" s="585">
        <v>0</v>
      </c>
      <c r="D27" s="585">
        <v>65184</v>
      </c>
      <c r="E27" s="585">
        <v>65184</v>
      </c>
      <c r="F27" s="1770">
        <f>SUM(C27+D27)-E27</f>
        <v>0</v>
      </c>
      <c r="G27" s="552"/>
    </row>
    <row r="28" spans="1:11" ht="7.5" customHeight="1" thickTop="1" x14ac:dyDescent="0.2">
      <c r="A28" s="594"/>
    </row>
    <row r="29" spans="1:11" ht="23.25" customHeight="1" x14ac:dyDescent="0.2">
      <c r="A29" s="2223" t="s">
        <v>602</v>
      </c>
      <c r="B29" s="2224"/>
      <c r="C29" s="729"/>
      <c r="D29" s="729"/>
      <c r="E29" s="729"/>
      <c r="F29" s="729"/>
      <c r="G29" s="729"/>
      <c r="H29" s="729"/>
      <c r="I29" s="729"/>
      <c r="J29" s="729"/>
    </row>
    <row r="30" spans="1:11" ht="33.75" x14ac:dyDescent="0.2">
      <c r="A30" s="1548" t="s">
        <v>1130</v>
      </c>
      <c r="B30" s="730" t="s">
        <v>1185</v>
      </c>
      <c r="C30" s="1901" t="s">
        <v>603</v>
      </c>
      <c r="D30" s="1901" t="s">
        <v>1771</v>
      </c>
      <c r="E30" s="1901" t="s">
        <v>2036</v>
      </c>
      <c r="F30" s="1901" t="s">
        <v>2037</v>
      </c>
      <c r="G30" s="1901" t="s">
        <v>2040</v>
      </c>
      <c r="H30" s="1901" t="s">
        <v>2038</v>
      </c>
      <c r="I30" s="1901" t="s">
        <v>2039</v>
      </c>
      <c r="J30" s="1902" t="s">
        <v>2</v>
      </c>
      <c r="K30" s="731"/>
    </row>
    <row r="31" spans="1:11" ht="12" customHeight="1" x14ac:dyDescent="0.2">
      <c r="A31" s="732" t="s">
        <v>2150</v>
      </c>
      <c r="B31" s="733">
        <v>39066</v>
      </c>
      <c r="C31" s="734">
        <v>7185000</v>
      </c>
      <c r="D31" s="735">
        <v>3</v>
      </c>
      <c r="E31" s="734">
        <v>1075000</v>
      </c>
      <c r="F31" s="734"/>
      <c r="G31" s="734"/>
      <c r="H31" s="734">
        <v>515000</v>
      </c>
      <c r="I31" s="1771">
        <f>((E31+F31)-H31)+G31</f>
        <v>560000</v>
      </c>
      <c r="J31" s="734">
        <v>511030</v>
      </c>
      <c r="K31" s="736"/>
    </row>
    <row r="32" spans="1:11" ht="12" customHeight="1" x14ac:dyDescent="0.2">
      <c r="A32" s="732" t="s">
        <v>2151</v>
      </c>
      <c r="B32" s="733">
        <v>41885</v>
      </c>
      <c r="C32" s="734">
        <v>1230000</v>
      </c>
      <c r="D32" s="735">
        <v>3</v>
      </c>
      <c r="E32" s="734">
        <v>1075000</v>
      </c>
      <c r="F32" s="734"/>
      <c r="G32" s="734"/>
      <c r="H32" s="734"/>
      <c r="I32" s="1771">
        <f>((E32+F32)-H32)+G32</f>
        <v>1075000</v>
      </c>
      <c r="J32" s="734">
        <v>1075000</v>
      </c>
      <c r="K32" s="736"/>
    </row>
    <row r="33" spans="1:11" ht="12" customHeight="1" x14ac:dyDescent="0.2">
      <c r="A33" s="732" t="s">
        <v>2152</v>
      </c>
      <c r="B33" s="733">
        <v>42164</v>
      </c>
      <c r="C33" s="734">
        <v>560400</v>
      </c>
      <c r="D33" s="735">
        <v>4</v>
      </c>
      <c r="E33" s="734">
        <v>413600</v>
      </c>
      <c r="F33" s="734"/>
      <c r="G33" s="734"/>
      <c r="H33" s="734">
        <v>147200</v>
      </c>
      <c r="I33" s="1771">
        <f t="shared" ref="I33:I48" si="1">((E33+F33)-H33)+G33</f>
        <v>266400</v>
      </c>
      <c r="J33" s="734">
        <v>266400</v>
      </c>
      <c r="K33" s="736"/>
    </row>
    <row r="34" spans="1:11" ht="12" customHeight="1" x14ac:dyDescent="0.2">
      <c r="A34" s="732" t="s">
        <v>2153</v>
      </c>
      <c r="B34" s="733">
        <v>42256</v>
      </c>
      <c r="C34" s="734">
        <v>1852700</v>
      </c>
      <c r="D34" s="735">
        <v>3</v>
      </c>
      <c r="E34" s="734">
        <v>1852700</v>
      </c>
      <c r="F34" s="734"/>
      <c r="G34" s="734"/>
      <c r="H34" s="734"/>
      <c r="I34" s="1771">
        <f t="shared" si="1"/>
        <v>1852700</v>
      </c>
      <c r="J34" s="734">
        <v>1852700</v>
      </c>
      <c r="K34" s="737"/>
    </row>
    <row r="35" spans="1:11" ht="12" customHeight="1" x14ac:dyDescent="0.2">
      <c r="A35" s="732" t="s">
        <v>2154</v>
      </c>
      <c r="B35" s="733">
        <v>42620</v>
      </c>
      <c r="C35" s="738">
        <v>1925000</v>
      </c>
      <c r="D35" s="735">
        <v>2</v>
      </c>
      <c r="E35" s="738">
        <v>1380000</v>
      </c>
      <c r="F35" s="738"/>
      <c r="G35" s="738"/>
      <c r="H35" s="738">
        <v>360000</v>
      </c>
      <c r="I35" s="1771">
        <f t="shared" si="1"/>
        <v>1020000</v>
      </c>
      <c r="J35" s="738">
        <v>1020000</v>
      </c>
      <c r="K35" s="737"/>
    </row>
    <row r="36" spans="1:11" ht="12" customHeight="1" x14ac:dyDescent="0.2">
      <c r="A36" s="732" t="s">
        <v>2155</v>
      </c>
      <c r="B36" s="733">
        <v>42620</v>
      </c>
      <c r="C36" s="734">
        <v>9615000</v>
      </c>
      <c r="D36" s="735">
        <v>3</v>
      </c>
      <c r="E36" s="734">
        <v>9615000</v>
      </c>
      <c r="F36" s="734"/>
      <c r="G36" s="734"/>
      <c r="H36" s="734"/>
      <c r="I36" s="1771">
        <f t="shared" si="1"/>
        <v>9615000</v>
      </c>
      <c r="J36" s="734">
        <v>9615000</v>
      </c>
      <c r="K36" s="739"/>
    </row>
    <row r="37" spans="1:11" ht="12" customHeight="1" x14ac:dyDescent="0.2">
      <c r="A37" s="732" t="s">
        <v>2156</v>
      </c>
      <c r="B37" s="733">
        <v>42793</v>
      </c>
      <c r="C37" s="467">
        <v>175000</v>
      </c>
      <c r="D37" s="740">
        <v>1</v>
      </c>
      <c r="E37" s="467">
        <v>175000</v>
      </c>
      <c r="F37" s="467"/>
      <c r="G37" s="467"/>
      <c r="H37" s="467">
        <v>175000</v>
      </c>
      <c r="I37" s="1771">
        <f t="shared" si="1"/>
        <v>0</v>
      </c>
      <c r="J37" s="467"/>
      <c r="K37" s="737"/>
    </row>
    <row r="38" spans="1:11" ht="12" customHeight="1" x14ac:dyDescent="0.2">
      <c r="A38" s="732" t="s">
        <v>2157</v>
      </c>
      <c r="B38" s="733">
        <v>42948</v>
      </c>
      <c r="C38" s="734">
        <v>226800</v>
      </c>
      <c r="D38" s="741">
        <v>1</v>
      </c>
      <c r="E38" s="742"/>
      <c r="F38" s="742">
        <v>226800</v>
      </c>
      <c r="G38" s="742"/>
      <c r="H38" s="742"/>
      <c r="I38" s="1771">
        <f t="shared" si="1"/>
        <v>226800</v>
      </c>
      <c r="J38" s="743">
        <v>226800</v>
      </c>
      <c r="K38" s="744"/>
    </row>
    <row r="39" spans="1:11" ht="12" customHeight="1" x14ac:dyDescent="0.2">
      <c r="A39" s="732"/>
      <c r="B39" s="733"/>
      <c r="C39" s="734"/>
      <c r="D39" s="741"/>
      <c r="E39" s="742"/>
      <c r="F39" s="742"/>
      <c r="G39" s="742"/>
      <c r="H39" s="742"/>
      <c r="I39" s="1771">
        <f t="shared" si="1"/>
        <v>0</v>
      </c>
      <c r="J39" s="743"/>
      <c r="K39" s="744"/>
    </row>
    <row r="40" spans="1:11" ht="12" customHeight="1" x14ac:dyDescent="0.2">
      <c r="A40" s="732"/>
      <c r="B40" s="733"/>
      <c r="C40" s="734"/>
      <c r="D40" s="741"/>
      <c r="E40" s="742"/>
      <c r="F40" s="742"/>
      <c r="G40" s="742"/>
      <c r="H40" s="742"/>
      <c r="I40" s="1771">
        <f t="shared" si="1"/>
        <v>0</v>
      </c>
      <c r="J40" s="743"/>
      <c r="K40" s="744"/>
    </row>
    <row r="41" spans="1:11" ht="12" customHeight="1" x14ac:dyDescent="0.2">
      <c r="A41" s="732"/>
      <c r="B41" s="733"/>
      <c r="C41" s="734"/>
      <c r="D41" s="741"/>
      <c r="E41" s="742"/>
      <c r="F41" s="742"/>
      <c r="G41" s="742"/>
      <c r="H41" s="742"/>
      <c r="I41" s="1771">
        <f t="shared" si="1"/>
        <v>0</v>
      </c>
      <c r="J41" s="743"/>
      <c r="K41" s="744"/>
    </row>
    <row r="42" spans="1:11" ht="12" customHeight="1" x14ac:dyDescent="0.2">
      <c r="A42" s="732"/>
      <c r="B42" s="733"/>
      <c r="C42" s="734"/>
      <c r="D42" s="741"/>
      <c r="E42" s="742"/>
      <c r="F42" s="742"/>
      <c r="G42" s="742"/>
      <c r="H42" s="742"/>
      <c r="I42" s="1771">
        <f t="shared" si="1"/>
        <v>0</v>
      </c>
      <c r="J42" s="743"/>
      <c r="K42" s="744"/>
    </row>
    <row r="43" spans="1:11" ht="12" customHeight="1" x14ac:dyDescent="0.2">
      <c r="A43" s="732"/>
      <c r="B43" s="733"/>
      <c r="C43" s="734"/>
      <c r="D43" s="741"/>
      <c r="E43" s="742"/>
      <c r="F43" s="742"/>
      <c r="G43" s="742"/>
      <c r="H43" s="742"/>
      <c r="I43" s="1771">
        <f t="shared" si="1"/>
        <v>0</v>
      </c>
      <c r="J43" s="743"/>
      <c r="K43" s="744"/>
    </row>
    <row r="44" spans="1:11" ht="12" customHeight="1" x14ac:dyDescent="0.2">
      <c r="A44" s="732"/>
      <c r="B44" s="733"/>
      <c r="C44" s="734"/>
      <c r="D44" s="735"/>
      <c r="E44" s="734"/>
      <c r="F44" s="734"/>
      <c r="G44" s="734"/>
      <c r="H44" s="734"/>
      <c r="I44" s="1771">
        <f t="shared" si="1"/>
        <v>0</v>
      </c>
      <c r="J44" s="734"/>
      <c r="K44" s="737"/>
    </row>
    <row r="45" spans="1:11" ht="12" customHeight="1" x14ac:dyDescent="0.2">
      <c r="A45" s="732"/>
      <c r="B45" s="733"/>
      <c r="C45" s="734"/>
      <c r="D45" s="735"/>
      <c r="E45" s="734"/>
      <c r="F45" s="734"/>
      <c r="G45" s="734"/>
      <c r="H45" s="734"/>
      <c r="I45" s="1771">
        <f t="shared" si="1"/>
        <v>0</v>
      </c>
      <c r="J45" s="734"/>
      <c r="K45" s="737"/>
    </row>
    <row r="46" spans="1:11" ht="12" customHeight="1" x14ac:dyDescent="0.2">
      <c r="A46" s="732"/>
      <c r="B46" s="733"/>
      <c r="C46" s="734"/>
      <c r="D46" s="735"/>
      <c r="E46" s="734"/>
      <c r="F46" s="734"/>
      <c r="G46" s="734"/>
      <c r="H46" s="734"/>
      <c r="I46" s="1771">
        <f t="shared" si="1"/>
        <v>0</v>
      </c>
      <c r="J46" s="734"/>
      <c r="K46" s="737"/>
    </row>
    <row r="47" spans="1:11" ht="12" customHeight="1" x14ac:dyDescent="0.2">
      <c r="A47" s="732"/>
      <c r="B47" s="733"/>
      <c r="C47" s="738"/>
      <c r="D47" s="735"/>
      <c r="E47" s="738"/>
      <c r="F47" s="738"/>
      <c r="G47" s="738"/>
      <c r="H47" s="738"/>
      <c r="I47" s="1771">
        <f t="shared" si="1"/>
        <v>0</v>
      </c>
      <c r="J47" s="738"/>
      <c r="K47" s="737"/>
    </row>
    <row r="48" spans="1:11" ht="12" customHeight="1" x14ac:dyDescent="0.2">
      <c r="A48" s="732"/>
      <c r="B48" s="733"/>
      <c r="C48" s="734"/>
      <c r="D48" s="735"/>
      <c r="E48" s="734"/>
      <c r="F48" s="734"/>
      <c r="G48" s="734"/>
      <c r="H48" s="734"/>
      <c r="I48" s="1771">
        <f t="shared" si="1"/>
        <v>0</v>
      </c>
      <c r="J48" s="734"/>
      <c r="K48" s="737"/>
    </row>
    <row r="49" spans="1:11" ht="12" customHeight="1" x14ac:dyDescent="0.2">
      <c r="A49" s="732"/>
      <c r="B49" s="733"/>
      <c r="C49" s="1771">
        <f>SUM(C31:C48)</f>
        <v>22769900</v>
      </c>
      <c r="D49" s="745"/>
      <c r="E49" s="1771">
        <f t="shared" ref="E49:J49" si="2">SUM(E31:E48)</f>
        <v>15586300</v>
      </c>
      <c r="F49" s="1771">
        <f t="shared" si="2"/>
        <v>226800</v>
      </c>
      <c r="G49" s="1771">
        <f t="shared" si="2"/>
        <v>0</v>
      </c>
      <c r="H49" s="1771">
        <f t="shared" si="2"/>
        <v>1197200</v>
      </c>
      <c r="I49" s="1771">
        <f t="shared" si="2"/>
        <v>14615900</v>
      </c>
      <c r="J49" s="1771">
        <f t="shared" si="2"/>
        <v>14566930</v>
      </c>
      <c r="K49" s="737"/>
    </row>
    <row r="50" spans="1:11" ht="6" customHeight="1" x14ac:dyDescent="0.2">
      <c r="A50" s="746"/>
      <c r="B50" s="736"/>
      <c r="C50" s="736"/>
      <c r="D50" s="736"/>
      <c r="E50" s="736"/>
      <c r="F50" s="736"/>
      <c r="G50" s="736"/>
      <c r="H50" s="736"/>
      <c r="I50" s="736"/>
      <c r="J50" s="746"/>
    </row>
    <row r="51" spans="1:11" x14ac:dyDescent="0.2">
      <c r="A51" s="747" t="s">
        <v>1910</v>
      </c>
      <c r="B51" s="746"/>
      <c r="C51" s="737"/>
      <c r="D51" s="737"/>
      <c r="E51" s="737"/>
      <c r="F51" s="737"/>
      <c r="G51" s="737"/>
      <c r="H51" s="736"/>
      <c r="I51" s="736"/>
      <c r="J51" s="746"/>
    </row>
    <row r="52" spans="1:11" ht="11.25" customHeight="1" x14ac:dyDescent="0.2">
      <c r="A52" s="748" t="s">
        <v>967</v>
      </c>
      <c r="B52" s="2206" t="s">
        <v>604</v>
      </c>
      <c r="C52" s="2207"/>
      <c r="D52" s="2207"/>
      <c r="E52" s="749" t="s">
        <v>899</v>
      </c>
      <c r="F52" s="2208"/>
      <c r="G52" s="2209"/>
      <c r="H52" s="736"/>
      <c r="I52" s="736"/>
      <c r="J52" s="746"/>
    </row>
    <row r="53" spans="1:11" ht="11.25" customHeight="1" x14ac:dyDescent="0.2">
      <c r="A53" s="750" t="s">
        <v>968</v>
      </c>
      <c r="B53" s="751" t="s">
        <v>1007</v>
      </c>
      <c r="C53" s="746"/>
      <c r="D53" s="737"/>
      <c r="E53" s="749" t="s">
        <v>517</v>
      </c>
      <c r="F53" s="2210"/>
      <c r="G53" s="2211"/>
      <c r="H53" s="736"/>
      <c r="I53" s="736"/>
      <c r="J53" s="746"/>
    </row>
    <row r="54" spans="1:11" ht="11.25" customHeight="1" x14ac:dyDescent="0.2">
      <c r="A54" s="752" t="s">
        <v>969</v>
      </c>
      <c r="B54" s="747" t="s">
        <v>1008</v>
      </c>
      <c r="C54" s="746"/>
      <c r="D54" s="737"/>
      <c r="E54" s="749" t="s">
        <v>518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0" sqref="H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910</v>
      </c>
      <c r="B1" s="2236"/>
      <c r="C1" s="2236"/>
      <c r="D1" s="2236"/>
      <c r="E1" s="2236"/>
      <c r="F1" s="2236"/>
      <c r="G1" s="2237"/>
      <c r="H1" s="1549"/>
      <c r="I1" s="760"/>
      <c r="J1" s="433"/>
    </row>
    <row r="2" spans="1:11" ht="26.25" x14ac:dyDescent="0.2">
      <c r="A2" s="2254" t="s">
        <v>1775</v>
      </c>
      <c r="B2" s="2255"/>
      <c r="C2" s="2255"/>
      <c r="D2" s="2255"/>
      <c r="E2" s="2256"/>
      <c r="F2" s="761" t="s">
        <v>959</v>
      </c>
      <c r="G2" s="762" t="s">
        <v>1772</v>
      </c>
      <c r="H2" s="762" t="s">
        <v>429</v>
      </c>
      <c r="I2" s="762" t="s">
        <v>1219</v>
      </c>
      <c r="J2" s="762" t="s">
        <v>1915</v>
      </c>
      <c r="K2" s="762" t="s">
        <v>140</v>
      </c>
    </row>
    <row r="3" spans="1:11" x14ac:dyDescent="0.2">
      <c r="A3" s="2257" t="s">
        <v>1697</v>
      </c>
      <c r="B3" s="2258"/>
      <c r="C3" s="2258"/>
      <c r="D3" s="2258"/>
      <c r="E3" s="2259"/>
      <c r="F3" s="763"/>
      <c r="G3" s="764"/>
      <c r="H3" s="764"/>
      <c r="I3" s="764"/>
      <c r="J3" s="765"/>
      <c r="K3" s="765"/>
    </row>
    <row r="4" spans="1:11" x14ac:dyDescent="0.2">
      <c r="A4" s="2260" t="s">
        <v>386</v>
      </c>
      <c r="B4" s="2261"/>
      <c r="C4" s="2261"/>
      <c r="D4" s="2261"/>
      <c r="E4" s="2207"/>
      <c r="F4" s="766"/>
      <c r="G4" s="767"/>
      <c r="H4" s="768"/>
      <c r="I4" s="767"/>
      <c r="J4" s="769"/>
      <c r="K4" s="769"/>
    </row>
    <row r="5" spans="1:11" x14ac:dyDescent="0.2">
      <c r="A5" s="2238" t="s">
        <v>1128</v>
      </c>
      <c r="B5" s="2239"/>
      <c r="C5" s="2239"/>
      <c r="D5" s="2239"/>
      <c r="E5" s="2240"/>
      <c r="F5" s="770" t="s">
        <v>902</v>
      </c>
      <c r="G5" s="771"/>
      <c r="H5" s="764">
        <v>45336</v>
      </c>
      <c r="I5" s="772"/>
      <c r="J5" s="773"/>
      <c r="K5" s="773"/>
    </row>
    <row r="6" spans="1:11" x14ac:dyDescent="0.2">
      <c r="A6" s="774" t="s">
        <v>743</v>
      </c>
      <c r="B6" s="775"/>
      <c r="C6" s="775"/>
      <c r="D6" s="775"/>
      <c r="E6" s="776"/>
      <c r="F6" s="777" t="s">
        <v>903</v>
      </c>
      <c r="G6" s="764"/>
      <c r="H6" s="764"/>
      <c r="I6" s="764"/>
      <c r="J6" s="765">
        <v>5</v>
      </c>
      <c r="K6" s="765"/>
    </row>
    <row r="7" spans="1:11" x14ac:dyDescent="0.2">
      <c r="A7" s="778" t="s">
        <v>264</v>
      </c>
      <c r="B7" s="779"/>
      <c r="C7" s="779"/>
      <c r="D7" s="779"/>
      <c r="E7" s="780"/>
      <c r="F7" s="770" t="s">
        <v>904</v>
      </c>
      <c r="G7" s="767"/>
      <c r="H7" s="767"/>
      <c r="I7" s="767"/>
      <c r="J7" s="781"/>
      <c r="K7" s="765">
        <v>1050</v>
      </c>
    </row>
    <row r="8" spans="1:11" x14ac:dyDescent="0.2">
      <c r="A8" s="778" t="s">
        <v>362</v>
      </c>
      <c r="B8" s="779"/>
      <c r="C8" s="779"/>
      <c r="D8" s="779"/>
      <c r="E8" s="780"/>
      <c r="F8" s="770" t="s">
        <v>905</v>
      </c>
      <c r="G8" s="782"/>
      <c r="H8" s="782"/>
      <c r="I8" s="782"/>
      <c r="J8" s="765">
        <v>6175</v>
      </c>
      <c r="K8" s="769"/>
    </row>
    <row r="9" spans="1:11" x14ac:dyDescent="0.2">
      <c r="A9" s="778" t="s">
        <v>140</v>
      </c>
      <c r="B9" s="779"/>
      <c r="C9" s="779"/>
      <c r="D9" s="779"/>
      <c r="E9" s="780"/>
      <c r="F9" s="777" t="s">
        <v>907</v>
      </c>
      <c r="G9" s="782"/>
      <c r="H9" s="771"/>
      <c r="I9" s="771"/>
      <c r="J9" s="781"/>
      <c r="K9" s="765">
        <v>20809</v>
      </c>
    </row>
    <row r="10" spans="1:11" x14ac:dyDescent="0.2">
      <c r="A10" s="2238" t="s">
        <v>1916</v>
      </c>
      <c r="B10" s="2239"/>
      <c r="C10" s="2239"/>
      <c r="D10" s="2239"/>
      <c r="E10" s="2241"/>
      <c r="F10" s="783" t="s">
        <v>916</v>
      </c>
      <c r="G10" s="782"/>
      <c r="H10" s="784">
        <v>93</v>
      </c>
      <c r="I10" s="764"/>
      <c r="J10" s="765"/>
      <c r="K10" s="765"/>
    </row>
    <row r="11" spans="1:11" x14ac:dyDescent="0.2">
      <c r="A11" s="2238" t="s">
        <v>162</v>
      </c>
      <c r="B11" s="2239"/>
      <c r="C11" s="2239"/>
      <c r="D11" s="2239"/>
      <c r="E11" s="2240"/>
      <c r="F11" s="770" t="s">
        <v>906</v>
      </c>
      <c r="G11" s="771"/>
      <c r="H11" s="764"/>
      <c r="I11" s="764"/>
      <c r="J11" s="765"/>
      <c r="K11" s="773"/>
    </row>
    <row r="12" spans="1:11" ht="13.5" thickBot="1" x14ac:dyDescent="0.25">
      <c r="A12" s="2265" t="s">
        <v>960</v>
      </c>
      <c r="B12" s="2266"/>
      <c r="C12" s="2266"/>
      <c r="D12" s="2266"/>
      <c r="E12" s="2267"/>
      <c r="F12" s="1772"/>
      <c r="G12" s="1773">
        <f>SUM(G5:G11)</f>
        <v>0</v>
      </c>
      <c r="H12" s="1773">
        <f>SUM(H5:H11)</f>
        <v>45429</v>
      </c>
      <c r="I12" s="1773">
        <f>SUM(I5:I11)</f>
        <v>0</v>
      </c>
      <c r="J12" s="1773">
        <f>SUM(J5:J11)</f>
        <v>6180</v>
      </c>
      <c r="K12" s="1773">
        <f>SUM(K5:K11)</f>
        <v>21859</v>
      </c>
    </row>
    <row r="13" spans="1:11" ht="13.5" thickTop="1" x14ac:dyDescent="0.2">
      <c r="A13" s="2262" t="s">
        <v>387</v>
      </c>
      <c r="B13" s="2263"/>
      <c r="C13" s="2263"/>
      <c r="D13" s="2263"/>
      <c r="E13" s="2264"/>
      <c r="F13" s="785"/>
      <c r="G13" s="786"/>
      <c r="H13" s="787"/>
      <c r="I13" s="788"/>
      <c r="J13" s="788"/>
      <c r="K13" s="788"/>
    </row>
    <row r="14" spans="1:11" x14ac:dyDescent="0.2">
      <c r="A14" s="2245" t="s">
        <v>475</v>
      </c>
      <c r="B14" s="2245"/>
      <c r="C14" s="2245"/>
      <c r="D14" s="2245"/>
      <c r="E14" s="2246"/>
      <c r="F14" s="789" t="s">
        <v>908</v>
      </c>
      <c r="G14" s="782"/>
      <c r="H14" s="764">
        <v>45429</v>
      </c>
      <c r="I14" s="771"/>
      <c r="J14" s="773"/>
      <c r="K14" s="765">
        <v>21859</v>
      </c>
    </row>
    <row r="15" spans="1:11" x14ac:dyDescent="0.2">
      <c r="A15" s="2239" t="s">
        <v>4</v>
      </c>
      <c r="B15" s="2239"/>
      <c r="C15" s="2239"/>
      <c r="D15" s="2239"/>
      <c r="E15" s="2240"/>
      <c r="F15" s="789" t="s">
        <v>909</v>
      </c>
      <c r="G15" s="771"/>
      <c r="H15" s="764"/>
      <c r="I15" s="764"/>
      <c r="J15" s="765"/>
      <c r="K15" s="765"/>
    </row>
    <row r="16" spans="1:11" x14ac:dyDescent="0.2">
      <c r="A16" s="2239" t="s">
        <v>315</v>
      </c>
      <c r="B16" s="2239"/>
      <c r="C16" s="2239"/>
      <c r="D16" s="2239"/>
      <c r="E16" s="2240"/>
      <c r="F16" s="789" t="s">
        <v>979</v>
      </c>
      <c r="G16" s="772"/>
      <c r="H16" s="767"/>
      <c r="I16" s="767"/>
      <c r="J16" s="769"/>
      <c r="K16" s="769"/>
    </row>
    <row r="17" spans="1:11" x14ac:dyDescent="0.2">
      <c r="A17" s="2270" t="s">
        <v>991</v>
      </c>
      <c r="B17" s="2270"/>
      <c r="C17" s="2270"/>
      <c r="D17" s="2270"/>
      <c r="E17" s="2271"/>
      <c r="F17" s="790"/>
      <c r="G17" s="791"/>
      <c r="H17" s="792"/>
      <c r="I17" s="792"/>
      <c r="J17" s="793"/>
      <c r="K17" s="794"/>
    </row>
    <row r="18" spans="1:11" x14ac:dyDescent="0.2">
      <c r="A18" s="2249" t="s">
        <v>385</v>
      </c>
      <c r="B18" s="2250"/>
      <c r="C18" s="2250"/>
      <c r="D18" s="2250"/>
      <c r="E18" s="2251"/>
      <c r="F18" s="789" t="s">
        <v>988</v>
      </c>
      <c r="G18" s="782"/>
      <c r="H18" s="782"/>
      <c r="I18" s="782"/>
      <c r="J18" s="765"/>
      <c r="K18" s="795"/>
    </row>
    <row r="19" spans="1:11" ht="21.75" customHeight="1" x14ac:dyDescent="0.2">
      <c r="A19" s="2247" t="s">
        <v>1912</v>
      </c>
      <c r="B19" s="2247"/>
      <c r="C19" s="2247"/>
      <c r="D19" s="2247"/>
      <c r="E19" s="2248"/>
      <c r="F19" s="789" t="s">
        <v>989</v>
      </c>
      <c r="G19" s="782"/>
      <c r="H19" s="782"/>
      <c r="I19" s="782"/>
      <c r="J19" s="765"/>
      <c r="K19" s="795"/>
    </row>
    <row r="20" spans="1:11" x14ac:dyDescent="0.2">
      <c r="A20" s="2249" t="s">
        <v>1917</v>
      </c>
      <c r="B20" s="2250"/>
      <c r="C20" s="2250"/>
      <c r="D20" s="2250"/>
      <c r="E20" s="2251"/>
      <c r="F20" s="789" t="s">
        <v>990</v>
      </c>
      <c r="G20" s="782"/>
      <c r="H20" s="782"/>
      <c r="I20" s="782"/>
      <c r="J20" s="765"/>
      <c r="K20" s="795"/>
    </row>
    <row r="21" spans="1:11" ht="13.5" thickBot="1" x14ac:dyDescent="0.25">
      <c r="A21" s="2268" t="s">
        <v>658</v>
      </c>
      <c r="B21" s="2268"/>
      <c r="C21" s="2268"/>
      <c r="D21" s="2268"/>
      <c r="E21" s="2268"/>
      <c r="F21" s="1774"/>
      <c r="G21" s="792"/>
      <c r="H21" s="796"/>
      <c r="I21" s="796"/>
      <c r="J21" s="1775">
        <f>SUM(J18:J20)</f>
        <v>0</v>
      </c>
      <c r="K21" s="793"/>
    </row>
    <row r="22" spans="1:11" ht="13.5" thickTop="1" x14ac:dyDescent="0.2">
      <c r="A22" s="2239" t="s">
        <v>1918</v>
      </c>
      <c r="B22" s="2239"/>
      <c r="C22" s="2239"/>
      <c r="D22" s="2239"/>
      <c r="E22" s="2240"/>
      <c r="F22" s="789" t="s">
        <v>916</v>
      </c>
      <c r="G22" s="782"/>
      <c r="H22" s="764"/>
      <c r="I22" s="764"/>
      <c r="J22" s="797"/>
      <c r="K22" s="765"/>
    </row>
    <row r="23" spans="1:11" ht="13.5" thickBot="1" x14ac:dyDescent="0.25">
      <c r="A23" s="2269" t="s">
        <v>961</v>
      </c>
      <c r="B23" s="2268"/>
      <c r="C23" s="2268"/>
      <c r="D23" s="2268"/>
      <c r="E23" s="2268"/>
      <c r="F23" s="1776"/>
      <c r="G23" s="1773">
        <f>SUM(G14:G16,G21,G22)</f>
        <v>0</v>
      </c>
      <c r="H23" s="1773">
        <f>SUM(H14:H16,H21,H22)</f>
        <v>45429</v>
      </c>
      <c r="I23" s="1773">
        <f>SUM(I14:I16,I21,I22)</f>
        <v>0</v>
      </c>
      <c r="J23" s="1773">
        <f>SUM(J14:J16,J21,J22)</f>
        <v>0</v>
      </c>
      <c r="K23" s="1773">
        <f>SUM(K14:K16,K21,K22)</f>
        <v>21859</v>
      </c>
    </row>
    <row r="24" spans="1:11" ht="14.25" thickTop="1" thickBot="1" x14ac:dyDescent="0.25">
      <c r="A24" s="2269" t="s">
        <v>2022</v>
      </c>
      <c r="B24" s="2268"/>
      <c r="C24" s="2268"/>
      <c r="D24" s="2268"/>
      <c r="E24" s="2268"/>
      <c r="F24" s="1777"/>
      <c r="G24" s="1778">
        <f>SUM(G3,G12)-G23</f>
        <v>0</v>
      </c>
      <c r="H24" s="1778">
        <f>SUM(H3,H12)-H23</f>
        <v>0</v>
      </c>
      <c r="I24" s="1778">
        <f>SUM(I3,I12)-I23</f>
        <v>0</v>
      </c>
      <c r="J24" s="1778">
        <f>SUM(J3,J12)-J23</f>
        <v>6180</v>
      </c>
      <c r="K24" s="1778">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3">
        <f>G24-G25</f>
        <v>0</v>
      </c>
      <c r="H26" s="1773">
        <f>H24-H25</f>
        <v>0</v>
      </c>
      <c r="I26" s="1773">
        <f>I24-I25</f>
        <v>0</v>
      </c>
      <c r="J26" s="1773">
        <f>J24-J25</f>
        <v>6180</v>
      </c>
      <c r="K26" s="1773">
        <f>K24-K25</f>
        <v>0</v>
      </c>
    </row>
    <row r="27" spans="1:11" ht="5.25" customHeight="1" thickTop="1" x14ac:dyDescent="0.2">
      <c r="I27" s="202"/>
      <c r="J27" s="202"/>
    </row>
    <row r="28" spans="1:11" ht="29.25" customHeight="1" x14ac:dyDescent="0.2">
      <c r="A28" s="1896" t="s">
        <v>2032</v>
      </c>
      <c r="B28" s="1897"/>
      <c r="C28" s="1897"/>
      <c r="D28" s="1897"/>
      <c r="E28" s="1898"/>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42"/>
      <c r="I31" s="2243"/>
      <c r="J31" s="2243"/>
      <c r="K31" s="2243"/>
    </row>
    <row r="32" spans="1:11" x14ac:dyDescent="0.2">
      <c r="A32" s="809"/>
      <c r="B32" s="237"/>
      <c r="C32" s="237"/>
      <c r="D32" s="237"/>
      <c r="E32" s="805"/>
      <c r="F32" s="811" t="s">
        <v>560</v>
      </c>
      <c r="G32" s="764"/>
      <c r="H32" s="2244"/>
      <c r="I32" s="2243"/>
      <c r="J32" s="2243"/>
      <c r="K32" s="2243"/>
    </row>
    <row r="33" spans="1:11" ht="1.5" customHeight="1" x14ac:dyDescent="0.2">
      <c r="A33" s="812" t="s">
        <v>1230</v>
      </c>
      <c r="B33" s="364"/>
      <c r="C33" s="364"/>
      <c r="D33" s="364"/>
      <c r="E33" s="364"/>
      <c r="F33" s="364"/>
      <c r="G33" s="813"/>
      <c r="H33" s="2244"/>
      <c r="I33" s="2243"/>
      <c r="J33" s="2243"/>
      <c r="K33" s="2243"/>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39" t="s">
        <v>561</v>
      </c>
      <c r="B41" s="2252"/>
      <c r="C41" s="2252"/>
      <c r="D41" s="2252"/>
      <c r="E41" s="2252"/>
      <c r="F41" s="2253"/>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0" t="s">
        <v>1913</v>
      </c>
      <c r="B46" s="408" t="s">
        <v>1773</v>
      </c>
    </row>
    <row r="47" spans="1:11" s="823" customFormat="1" ht="12.75" customHeight="1" x14ac:dyDescent="0.2">
      <c r="A47" s="821"/>
      <c r="B47" s="822" t="s">
        <v>1774</v>
      </c>
      <c r="E47" s="822"/>
      <c r="K47" s="824"/>
    </row>
    <row r="48" spans="1:11" ht="12.75" customHeight="1" x14ac:dyDescent="0.2">
      <c r="A48" s="1551"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K16" sqref="K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2031</v>
      </c>
      <c r="B1" s="2275"/>
      <c r="C1" s="2276"/>
      <c r="D1" s="826"/>
      <c r="E1" s="827"/>
      <c r="F1" s="827"/>
      <c r="G1" s="828"/>
      <c r="H1" s="829"/>
      <c r="I1" s="830"/>
      <c r="J1" s="2272"/>
      <c r="K1" s="2273"/>
      <c r="L1" s="2273"/>
    </row>
    <row r="2" spans="1:14" ht="69.75" customHeight="1" x14ac:dyDescent="0.2">
      <c r="A2" s="831" t="s">
        <v>1776</v>
      </c>
      <c r="B2" s="832" t="s">
        <v>395</v>
      </c>
      <c r="C2" s="833" t="s">
        <v>2026</v>
      </c>
      <c r="D2" s="833" t="s">
        <v>2023</v>
      </c>
      <c r="E2" s="833" t="s">
        <v>2024</v>
      </c>
      <c r="F2" s="833" t="s">
        <v>2025</v>
      </c>
      <c r="G2" s="833" t="s">
        <v>625</v>
      </c>
      <c r="H2" s="833" t="s">
        <v>2027</v>
      </c>
      <c r="I2" s="833" t="s">
        <v>2028</v>
      </c>
      <c r="J2" s="833" t="s">
        <v>2043</v>
      </c>
      <c r="K2" s="833" t="s">
        <v>2029</v>
      </c>
      <c r="L2" s="833" t="s">
        <v>2030</v>
      </c>
      <c r="M2" s="834"/>
      <c r="N2" s="834"/>
    </row>
    <row r="3" spans="1:14" ht="13.5" thickBot="1" x14ac:dyDescent="0.25">
      <c r="A3" s="1648" t="s">
        <v>947</v>
      </c>
      <c r="B3" s="1649">
        <v>210</v>
      </c>
      <c r="C3" s="835"/>
      <c r="D3" s="835"/>
      <c r="E3" s="835"/>
      <c r="F3" s="1775">
        <f>(C3+D3)-E3</f>
        <v>0</v>
      </c>
      <c r="G3" s="836"/>
      <c r="H3" s="835"/>
      <c r="I3" s="835"/>
      <c r="J3" s="835"/>
      <c r="K3" s="1784">
        <f>(H3+I3)-J3</f>
        <v>0</v>
      </c>
      <c r="L3" s="1784">
        <f>F3-K3</f>
        <v>0</v>
      </c>
      <c r="M3" s="834"/>
      <c r="N3" s="834"/>
    </row>
    <row r="4" spans="1:14" ht="15" customHeight="1" thickTop="1" x14ac:dyDescent="0.2">
      <c r="A4" s="1650" t="s">
        <v>160</v>
      </c>
      <c r="B4" s="1649">
        <v>220</v>
      </c>
      <c r="C4" s="781"/>
      <c r="D4" s="781"/>
      <c r="E4" s="781"/>
      <c r="F4" s="773"/>
      <c r="G4" s="837"/>
      <c r="H4" s="838"/>
      <c r="I4" s="838"/>
      <c r="J4" s="838"/>
      <c r="K4" s="839"/>
      <c r="L4" s="773"/>
    </row>
    <row r="5" spans="1:14" ht="13.5" thickBot="1" x14ac:dyDescent="0.25">
      <c r="A5" s="778" t="s">
        <v>948</v>
      </c>
      <c r="B5" s="840">
        <v>221</v>
      </c>
      <c r="C5" s="841">
        <v>143601</v>
      </c>
      <c r="D5" s="841"/>
      <c r="E5" s="841"/>
      <c r="F5" s="1775">
        <f>(C5+D5)-E5</f>
        <v>143601</v>
      </c>
      <c r="G5" s="837"/>
      <c r="H5" s="842"/>
      <c r="I5" s="842"/>
      <c r="J5" s="842"/>
      <c r="K5" s="793"/>
      <c r="L5" s="1784">
        <f>F5-K5</f>
        <v>143601</v>
      </c>
    </row>
    <row r="6" spans="1:14" ht="14.25" thickTop="1" thickBot="1" x14ac:dyDescent="0.25">
      <c r="A6" s="778" t="s">
        <v>1178</v>
      </c>
      <c r="B6" s="840">
        <v>222</v>
      </c>
      <c r="C6" s="765"/>
      <c r="D6" s="765"/>
      <c r="E6" s="765"/>
      <c r="F6" s="1775">
        <f>(C6+D6)-E6</f>
        <v>0</v>
      </c>
      <c r="G6" s="837">
        <v>50</v>
      </c>
      <c r="H6" s="765"/>
      <c r="I6" s="765"/>
      <c r="J6" s="765"/>
      <c r="K6" s="1784">
        <f>(H6+I6)-J6</f>
        <v>0</v>
      </c>
      <c r="L6" s="1784">
        <f>F6-K6</f>
        <v>0</v>
      </c>
    </row>
    <row r="7" spans="1:14" ht="15" customHeight="1" thickTop="1" x14ac:dyDescent="0.2">
      <c r="A7" s="1650" t="s">
        <v>161</v>
      </c>
      <c r="B7" s="1649">
        <v>230</v>
      </c>
      <c r="C7" s="781"/>
      <c r="D7" s="781"/>
      <c r="E7" s="781"/>
      <c r="F7" s="773"/>
      <c r="G7" s="843"/>
      <c r="H7" s="781"/>
      <c r="I7" s="781"/>
      <c r="J7" s="781"/>
      <c r="K7" s="773"/>
      <c r="L7" s="773"/>
    </row>
    <row r="8" spans="1:14" ht="13.5" thickBot="1" x14ac:dyDescent="0.25">
      <c r="A8" s="778" t="s">
        <v>1179</v>
      </c>
      <c r="B8" s="840">
        <v>231</v>
      </c>
      <c r="C8" s="844">
        <v>26348660</v>
      </c>
      <c r="D8" s="844">
        <v>414202</v>
      </c>
      <c r="E8" s="844"/>
      <c r="F8" s="1775">
        <f>(C8+D8)-E8</f>
        <v>26762862</v>
      </c>
      <c r="G8" s="843">
        <v>50</v>
      </c>
      <c r="H8" s="765">
        <v>10158547</v>
      </c>
      <c r="I8" s="765">
        <v>473391</v>
      </c>
      <c r="J8" s="765"/>
      <c r="K8" s="1784">
        <f>(H8+I8)-J8</f>
        <v>10631938</v>
      </c>
      <c r="L8" s="1784">
        <f>F8-K8</f>
        <v>16130924</v>
      </c>
    </row>
    <row r="9" spans="1:14" ht="14.25" thickTop="1" thickBot="1" x14ac:dyDescent="0.25">
      <c r="A9" s="778" t="s">
        <v>1180</v>
      </c>
      <c r="B9" s="840">
        <v>232</v>
      </c>
      <c r="C9" s="765"/>
      <c r="D9" s="765"/>
      <c r="E9" s="765"/>
      <c r="F9" s="1775">
        <f>(C9+D9)-E9</f>
        <v>0</v>
      </c>
      <c r="G9" s="843">
        <v>20</v>
      </c>
      <c r="H9" s="765">
        <v>0</v>
      </c>
      <c r="I9" s="765"/>
      <c r="J9" s="765"/>
      <c r="K9" s="1784">
        <f>(H9+I9)-J9</f>
        <v>0</v>
      </c>
      <c r="L9" s="1784">
        <f>F9-K9</f>
        <v>0</v>
      </c>
    </row>
    <row r="10" spans="1:14" ht="24" thickTop="1" thickBot="1" x14ac:dyDescent="0.25">
      <c r="A10" s="845" t="s">
        <v>1181</v>
      </c>
      <c r="B10" s="840">
        <v>240</v>
      </c>
      <c r="C10" s="846">
        <v>2545958</v>
      </c>
      <c r="D10" s="846"/>
      <c r="E10" s="846"/>
      <c r="F10" s="1779">
        <f>(C10+D10)-E10</f>
        <v>2545958</v>
      </c>
      <c r="G10" s="843">
        <v>20</v>
      </c>
      <c r="H10" s="847">
        <v>1570193</v>
      </c>
      <c r="I10" s="847">
        <v>98780</v>
      </c>
      <c r="J10" s="847"/>
      <c r="K10" s="1784">
        <f>(H10+I10)-J10</f>
        <v>1668973</v>
      </c>
      <c r="L10" s="1784">
        <f>F10-K10</f>
        <v>876985</v>
      </c>
    </row>
    <row r="11" spans="1:14" ht="13.5" thickTop="1" x14ac:dyDescent="0.2">
      <c r="A11" s="1651" t="s">
        <v>1197</v>
      </c>
      <c r="B11" s="1649">
        <v>250</v>
      </c>
      <c r="C11" s="781"/>
      <c r="D11" s="781"/>
      <c r="E11" s="781"/>
      <c r="F11" s="773"/>
      <c r="G11" s="843"/>
      <c r="H11" s="781"/>
      <c r="I11" s="781"/>
      <c r="J11" s="781"/>
      <c r="K11" s="773"/>
      <c r="L11" s="773"/>
    </row>
    <row r="12" spans="1:14" ht="13.5" thickBot="1" x14ac:dyDescent="0.25">
      <c r="A12" s="848" t="s">
        <v>1182</v>
      </c>
      <c r="B12" s="840">
        <v>251</v>
      </c>
      <c r="C12" s="844">
        <v>1726106</v>
      </c>
      <c r="D12" s="844">
        <v>392832</v>
      </c>
      <c r="E12" s="844"/>
      <c r="F12" s="1775">
        <f>(C12+D12)-E12</f>
        <v>2118938</v>
      </c>
      <c r="G12" s="843">
        <v>10</v>
      </c>
      <c r="H12" s="765">
        <v>753588</v>
      </c>
      <c r="I12" s="765">
        <v>211894</v>
      </c>
      <c r="J12" s="765"/>
      <c r="K12" s="1784">
        <f>(H12+I12)-J12</f>
        <v>965482</v>
      </c>
      <c r="L12" s="1784">
        <f>F12-K12</f>
        <v>1153456</v>
      </c>
    </row>
    <row r="13" spans="1:14" ht="14.25" thickTop="1" thickBot="1" x14ac:dyDescent="0.25">
      <c r="A13" s="848" t="s">
        <v>1183</v>
      </c>
      <c r="B13" s="840">
        <v>252</v>
      </c>
      <c r="C13" s="844">
        <v>1551061</v>
      </c>
      <c r="D13" s="844"/>
      <c r="E13" s="844"/>
      <c r="F13" s="1775">
        <f>(C13+D13)-E13</f>
        <v>1551061</v>
      </c>
      <c r="G13" s="843">
        <v>5</v>
      </c>
      <c r="H13" s="765">
        <v>1271084</v>
      </c>
      <c r="I13" s="765">
        <v>101954</v>
      </c>
      <c r="J13" s="765"/>
      <c r="K13" s="1784">
        <f>(H13+I13)-J13</f>
        <v>1373038</v>
      </c>
      <c r="L13" s="1784">
        <f>F13-K13</f>
        <v>178023</v>
      </c>
    </row>
    <row r="14" spans="1:14" ht="14.25" thickTop="1" thickBot="1" x14ac:dyDescent="0.25">
      <c r="A14" s="848" t="s">
        <v>1184</v>
      </c>
      <c r="B14" s="840">
        <v>253</v>
      </c>
      <c r="C14" s="765">
        <v>53345</v>
      </c>
      <c r="D14" s="765"/>
      <c r="E14" s="765"/>
      <c r="F14" s="1775">
        <f>(C14+D14)-E14</f>
        <v>53345</v>
      </c>
      <c r="G14" s="843">
        <v>3</v>
      </c>
      <c r="H14" s="765">
        <v>51102</v>
      </c>
      <c r="I14" s="765">
        <v>1098</v>
      </c>
      <c r="J14" s="765"/>
      <c r="K14" s="1784">
        <f>(H14+I14)-J14</f>
        <v>52200</v>
      </c>
      <c r="L14" s="1784">
        <f>F14-K14</f>
        <v>1145</v>
      </c>
    </row>
    <row r="15" spans="1:14" ht="15" customHeight="1" thickTop="1" thickBot="1" x14ac:dyDescent="0.25">
      <c r="A15" s="1650" t="s">
        <v>548</v>
      </c>
      <c r="B15" s="1649">
        <v>260</v>
      </c>
      <c r="C15" s="844"/>
      <c r="D15" s="844"/>
      <c r="E15" s="844"/>
      <c r="F15" s="1775">
        <f>(C15+D15)-E15</f>
        <v>0</v>
      </c>
      <c r="G15" s="849" t="s">
        <v>916</v>
      </c>
      <c r="H15" s="781"/>
      <c r="I15" s="781"/>
      <c r="J15" s="781"/>
      <c r="K15" s="781"/>
      <c r="L15" s="1784">
        <f>F15-K15</f>
        <v>0</v>
      </c>
    </row>
    <row r="16" spans="1:14" ht="15" customHeight="1" thickTop="1" thickBot="1" x14ac:dyDescent="0.25">
      <c r="A16" s="1780" t="s">
        <v>663</v>
      </c>
      <c r="B16" s="1781">
        <v>200</v>
      </c>
      <c r="C16" s="1775">
        <f>SUM(C3,C5:C6,C8:C10,C12:C15)</f>
        <v>32368731</v>
      </c>
      <c r="D16" s="1775">
        <f>SUM(D3,D5:D6,D8:D10,D12:D15)</f>
        <v>807034</v>
      </c>
      <c r="E16" s="1775">
        <f>SUM(E3,E5:E6,E8:E10,E12:E15)</f>
        <v>0</v>
      </c>
      <c r="F16" s="1775">
        <f>SUM(F3,F5:F6,F8:F10,F12:F15)</f>
        <v>33175765</v>
      </c>
      <c r="G16" s="843"/>
      <c r="H16" s="1775">
        <f>SUM(H3,H6,H8:H10,H12:H14,)</f>
        <v>13804514</v>
      </c>
      <c r="I16" s="1775">
        <f>SUM(I3,I6,I8:I10,I12:I14,)</f>
        <v>887117</v>
      </c>
      <c r="J16" s="1775">
        <f>SUM(J3,J6,J8:J10,J12:J14,)</f>
        <v>0</v>
      </c>
      <c r="K16" s="1775">
        <f>(H16+I16)-J16</f>
        <v>14691631</v>
      </c>
      <c r="L16" s="1775">
        <f>F16-K16</f>
        <v>18484134</v>
      </c>
    </row>
    <row r="17" spans="1:12" ht="15" customHeight="1" thickTop="1" thickBot="1" x14ac:dyDescent="0.25">
      <c r="A17" s="1652" t="s">
        <v>308</v>
      </c>
      <c r="B17" s="1649">
        <v>700</v>
      </c>
      <c r="C17" s="769"/>
      <c r="D17" s="769"/>
      <c r="E17" s="769"/>
      <c r="F17" s="1775">
        <f>SUM('Expenditures 15-22'!I114,'Expenditures 15-22'!I151,'Expenditures 15-22'!I210,'Expenditures 15-22'!I312,'Expenditures 15-22'!I342,'Expenditures 15-22'!I367)</f>
        <v>0</v>
      </c>
      <c r="G17" s="837">
        <v>10</v>
      </c>
      <c r="H17" s="769"/>
      <c r="I17" s="1784">
        <f>F17/G17</f>
        <v>0</v>
      </c>
      <c r="J17" s="769"/>
      <c r="K17" s="795"/>
      <c r="L17" s="795"/>
    </row>
    <row r="18" spans="1:12" ht="14.25" thickTop="1" thickBot="1" x14ac:dyDescent="0.25">
      <c r="A18" s="1782" t="s">
        <v>705</v>
      </c>
      <c r="B18" s="1783"/>
      <c r="C18" s="771"/>
      <c r="D18" s="771"/>
      <c r="E18" s="771"/>
      <c r="F18" s="850"/>
      <c r="G18" s="851"/>
      <c r="H18" s="773"/>
      <c r="I18" s="1775">
        <f>SUM(I16,I17)</f>
        <v>887117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1698</v>
      </c>
      <c r="B1" s="2281"/>
      <c r="C1" s="2281"/>
      <c r="D1" s="2281"/>
      <c r="E1" s="2281"/>
      <c r="F1" s="2282"/>
      <c r="G1" s="855"/>
    </row>
    <row r="2" spans="1:7" ht="15" customHeight="1" thickBot="1" x14ac:dyDescent="0.25">
      <c r="A2" s="2283" t="s">
        <v>497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6"/>
      <c r="B5" s="2287"/>
      <c r="C5" s="2287"/>
      <c r="D5" s="2287"/>
      <c r="E5" s="2287"/>
      <c r="F5" s="2287"/>
    </row>
    <row r="6" spans="1:7" ht="13.5" customHeight="1" thickBot="1" x14ac:dyDescent="0.25">
      <c r="A6" s="2277" t="s">
        <v>1165</v>
      </c>
      <c r="B6" s="2278"/>
      <c r="C6" s="2278"/>
      <c r="D6" s="2278"/>
      <c r="E6" s="2278"/>
      <c r="F6" s="2279"/>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5">
        <f>'Expenditures 15-22'!K114</f>
        <v>12067786</v>
      </c>
      <c r="G8" s="865"/>
    </row>
    <row r="9" spans="1:7" x14ac:dyDescent="0.2">
      <c r="A9" s="869" t="s">
        <v>479</v>
      </c>
      <c r="B9" s="870" t="s">
        <v>1985</v>
      </c>
      <c r="C9" s="871"/>
      <c r="D9" s="869" t="s">
        <v>521</v>
      </c>
      <c r="E9" s="868"/>
      <c r="F9" s="1926">
        <f>'Expenditures 15-22'!K151</f>
        <v>781133</v>
      </c>
      <c r="G9" s="872"/>
    </row>
    <row r="10" spans="1:7" x14ac:dyDescent="0.2">
      <c r="A10" s="869" t="s">
        <v>519</v>
      </c>
      <c r="B10" s="870" t="s">
        <v>1986</v>
      </c>
      <c r="C10" s="871"/>
      <c r="D10" s="869" t="s">
        <v>521</v>
      </c>
      <c r="E10" s="868"/>
      <c r="F10" s="1926">
        <f>'Expenditures 15-22'!K174</f>
        <v>1637123</v>
      </c>
      <c r="G10" s="872"/>
    </row>
    <row r="11" spans="1:7" x14ac:dyDescent="0.2">
      <c r="A11" s="869" t="s">
        <v>480</v>
      </c>
      <c r="B11" s="870" t="s">
        <v>1987</v>
      </c>
      <c r="C11" s="871"/>
      <c r="D11" s="869" t="s">
        <v>521</v>
      </c>
      <c r="E11" s="868"/>
      <c r="F11" s="1926">
        <f>'Expenditures 15-22'!K210</f>
        <v>620261</v>
      </c>
      <c r="G11" s="872"/>
    </row>
    <row r="12" spans="1:7" x14ac:dyDescent="0.2">
      <c r="A12" s="869" t="s">
        <v>481</v>
      </c>
      <c r="B12" s="870" t="s">
        <v>1988</v>
      </c>
      <c r="C12" s="871"/>
      <c r="D12" s="869" t="s">
        <v>521</v>
      </c>
      <c r="E12" s="868"/>
      <c r="F12" s="1926">
        <f>'Expenditures 15-22'!K295</f>
        <v>526923</v>
      </c>
      <c r="G12" s="872"/>
    </row>
    <row r="13" spans="1:7" x14ac:dyDescent="0.2">
      <c r="A13" s="869" t="s">
        <v>108</v>
      </c>
      <c r="B13" s="870" t="s">
        <v>1989</v>
      </c>
      <c r="C13" s="871"/>
      <c r="D13" s="869" t="s">
        <v>521</v>
      </c>
      <c r="E13" s="868"/>
      <c r="F13" s="1926">
        <f>'Expenditures 15-22'!K342</f>
        <v>904826</v>
      </c>
      <c r="G13" s="873"/>
    </row>
    <row r="14" spans="1:7" ht="12" customHeight="1" thickBot="1" x14ac:dyDescent="0.25">
      <c r="A14" s="1785"/>
      <c r="B14" s="1786"/>
      <c r="C14" s="1787"/>
      <c r="D14" s="1788" t="s">
        <v>521</v>
      </c>
      <c r="E14" s="1789" t="s">
        <v>1014</v>
      </c>
      <c r="F14" s="1790">
        <f>SUM(F8:F13)</f>
        <v>16538052</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27">
        <f>'Revenues 9-14'!F43</f>
        <v>0</v>
      </c>
      <c r="G18" s="865"/>
    </row>
    <row r="19" spans="1:7" x14ac:dyDescent="0.2">
      <c r="A19" s="869" t="s">
        <v>480</v>
      </c>
      <c r="B19" s="870" t="s">
        <v>1068</v>
      </c>
      <c r="C19" s="877">
        <f>'Revenues 9-14'!B47</f>
        <v>1421</v>
      </c>
      <c r="D19" s="878" t="str">
        <f>'Revenues 9-14'!A47</f>
        <v>Summer Sch - Transp. Fees from Pupils or Parents (In State)</v>
      </c>
      <c r="E19" s="879"/>
      <c r="F19" s="1928">
        <f>'Revenues 9-14'!F47</f>
        <v>0</v>
      </c>
      <c r="G19" s="865"/>
    </row>
    <row r="20" spans="1:7" x14ac:dyDescent="0.2">
      <c r="A20" s="869" t="s">
        <v>480</v>
      </c>
      <c r="B20" s="870" t="s">
        <v>1069</v>
      </c>
      <c r="C20" s="875">
        <f>'Revenues 9-14'!B48</f>
        <v>1422</v>
      </c>
      <c r="D20" s="876" t="str">
        <f>'Revenues 9-14'!A48</f>
        <v>Summer Sch - Transp. Fees from Other Districts (In State)</v>
      </c>
      <c r="E20" s="868"/>
      <c r="F20" s="1929">
        <f>'Revenues 9-14'!F48</f>
        <v>0</v>
      </c>
      <c r="G20" s="865"/>
    </row>
    <row r="21" spans="1:7" x14ac:dyDescent="0.2">
      <c r="A21" s="869" t="s">
        <v>480</v>
      </c>
      <c r="B21" s="870" t="s">
        <v>1070</v>
      </c>
      <c r="C21" s="877">
        <f>'Revenues 9-14'!B49</f>
        <v>1423</v>
      </c>
      <c r="D21" s="876" t="str">
        <f>'Revenues 9-14'!A49</f>
        <v>Summer Sch - Transp. Fees from Other Sources (In State)</v>
      </c>
      <c r="E21" s="868"/>
      <c r="F21" s="1930">
        <f>'Revenues 9-14'!F49</f>
        <v>0</v>
      </c>
      <c r="G21" s="865"/>
    </row>
    <row r="22" spans="1:7" x14ac:dyDescent="0.2">
      <c r="A22" s="869" t="s">
        <v>480</v>
      </c>
      <c r="B22" s="870" t="s">
        <v>1071</v>
      </c>
      <c r="C22" s="877">
        <f>'Revenues 9-14'!B50</f>
        <v>1424</v>
      </c>
      <c r="D22" s="876" t="str">
        <f>'Revenues 9-14'!A50</f>
        <v>Summer Sch - Transp. Fees from Other Sources (Out of State)</v>
      </c>
      <c r="E22" s="868"/>
      <c r="F22" s="1930">
        <f>'Revenues 9-14'!F50</f>
        <v>0</v>
      </c>
      <c r="G22" s="865"/>
    </row>
    <row r="23" spans="1:7" x14ac:dyDescent="0.2">
      <c r="A23" s="869" t="s">
        <v>480</v>
      </c>
      <c r="B23" s="870" t="s">
        <v>1072</v>
      </c>
      <c r="C23" s="875">
        <f>'Revenues 9-14'!B52</f>
        <v>1432</v>
      </c>
      <c r="D23" s="876" t="str">
        <f>'Revenues 9-14'!A52</f>
        <v>CTE - Transp Fees from Other Districts (In State)</v>
      </c>
      <c r="E23" s="868"/>
      <c r="F23" s="1930">
        <f>'Revenues 9-14'!F52</f>
        <v>0</v>
      </c>
      <c r="G23" s="865"/>
    </row>
    <row r="24" spans="1:7" x14ac:dyDescent="0.2">
      <c r="A24" s="869" t="s">
        <v>480</v>
      </c>
      <c r="B24" s="870" t="s">
        <v>1073</v>
      </c>
      <c r="C24" s="875">
        <f>'Revenues 9-14'!B56</f>
        <v>1442</v>
      </c>
      <c r="D24" s="876" t="str">
        <f>'Revenues 9-14'!A56</f>
        <v>Special Ed - Transp Fees from Other Districts (In State)</v>
      </c>
      <c r="E24" s="868"/>
      <c r="F24" s="1930">
        <f>'Revenues 9-14'!F56</f>
        <v>25034</v>
      </c>
      <c r="G24" s="865"/>
    </row>
    <row r="25" spans="1:7" x14ac:dyDescent="0.2">
      <c r="A25" s="869" t="s">
        <v>480</v>
      </c>
      <c r="B25" s="870" t="s">
        <v>1074</v>
      </c>
      <c r="C25" s="875">
        <f>'Revenues 9-14'!B59</f>
        <v>1451</v>
      </c>
      <c r="D25" s="876" t="str">
        <f>'Revenues 9-14'!A59</f>
        <v>Adult - Transp Fees from Pupils or Parents (In State)</v>
      </c>
      <c r="E25" s="868"/>
      <c r="F25" s="1930">
        <f>'Revenues 9-14'!F59</f>
        <v>0</v>
      </c>
      <c r="G25" s="865"/>
    </row>
    <row r="26" spans="1:7" x14ac:dyDescent="0.2">
      <c r="A26" s="869" t="s">
        <v>480</v>
      </c>
      <c r="B26" s="870" t="s">
        <v>1075</v>
      </c>
      <c r="C26" s="875">
        <f>'Revenues 9-14'!B60</f>
        <v>1452</v>
      </c>
      <c r="D26" s="876" t="str">
        <f>'Revenues 9-14'!A60</f>
        <v>Adult - Transp Fees from Other Districts (In State)</v>
      </c>
      <c r="E26" s="868"/>
      <c r="F26" s="1930">
        <f>'Revenues 9-14'!F60</f>
        <v>0</v>
      </c>
      <c r="G26" s="865"/>
    </row>
    <row r="27" spans="1:7" x14ac:dyDescent="0.2">
      <c r="A27" s="869" t="s">
        <v>480</v>
      </c>
      <c r="B27" s="870" t="s">
        <v>1076</v>
      </c>
      <c r="C27" s="875">
        <f>'Revenues 9-14'!B61</f>
        <v>1453</v>
      </c>
      <c r="D27" s="876" t="str">
        <f>'Revenues 9-14'!A61</f>
        <v>Adult - Transp Fees from Other Sources (In State)</v>
      </c>
      <c r="E27" s="868"/>
      <c r="F27" s="1930">
        <f>'Revenues 9-14'!F61</f>
        <v>0</v>
      </c>
      <c r="G27" s="865"/>
    </row>
    <row r="28" spans="1:7" x14ac:dyDescent="0.2">
      <c r="A28" s="869" t="s">
        <v>480</v>
      </c>
      <c r="B28" s="870" t="s">
        <v>1077</v>
      </c>
      <c r="C28" s="875">
        <f>'Revenues 9-14'!B62</f>
        <v>1454</v>
      </c>
      <c r="D28" s="876" t="str">
        <f>'Revenues 9-14'!A62</f>
        <v>Adult - Transp Fees from Other Sources (Out of State)</v>
      </c>
      <c r="E28" s="868"/>
      <c r="F28" s="1930">
        <f>'Revenues 9-14'!F62</f>
        <v>0</v>
      </c>
      <c r="G28" s="865"/>
    </row>
    <row r="29" spans="1:7" x14ac:dyDescent="0.2">
      <c r="A29" s="869" t="s">
        <v>1158</v>
      </c>
      <c r="B29" s="870" t="s">
        <v>1682</v>
      </c>
      <c r="C29" s="880">
        <f>'Revenues 9-14'!B148</f>
        <v>3410</v>
      </c>
      <c r="D29" s="881" t="str">
        <f>'Revenues 9-14'!A148</f>
        <v>Adult Ed (from ICCB)</v>
      </c>
      <c r="E29" s="868"/>
      <c r="F29" s="1930">
        <f>SUM('Revenues 9-14'!D148,F149)</f>
        <v>0</v>
      </c>
      <c r="G29" s="865"/>
    </row>
    <row r="30" spans="1:7" x14ac:dyDescent="0.2">
      <c r="A30" s="869" t="s">
        <v>1158</v>
      </c>
      <c r="B30" s="870" t="s">
        <v>860</v>
      </c>
      <c r="C30" s="880">
        <f>'Revenues 9-14'!B149</f>
        <v>3499</v>
      </c>
      <c r="D30" s="881" t="str">
        <f>'Revenues 9-14'!A149</f>
        <v>Adult Ed - Other (Describe &amp; Itemize)</v>
      </c>
      <c r="E30" s="868"/>
      <c r="F30" s="1931">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0">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0">
        <f>SUM('Revenues 9-14'!D219,'Revenues 9-14'!F219)</f>
        <v>0</v>
      </c>
      <c r="G32" s="865"/>
    </row>
    <row r="33" spans="1:7" x14ac:dyDescent="0.2">
      <c r="A33" s="869" t="s">
        <v>479</v>
      </c>
      <c r="B33" s="870" t="s">
        <v>800</v>
      </c>
      <c r="C33" s="875">
        <f>'Revenues 9-14'!B229</f>
        <v>4810</v>
      </c>
      <c r="D33" s="883" t="str">
        <f>'Revenues 9-14'!A229</f>
        <v>Federal - Adult Education</v>
      </c>
      <c r="E33" s="868"/>
      <c r="F33" s="1930">
        <f>'Revenues 9-14'!D229</f>
        <v>0</v>
      </c>
      <c r="G33" s="865"/>
    </row>
    <row r="34" spans="1:7" x14ac:dyDescent="0.2">
      <c r="A34" s="869" t="s">
        <v>478</v>
      </c>
      <c r="B34" s="869" t="s">
        <v>1544</v>
      </c>
      <c r="C34" s="886" t="str">
        <f>'Expenditures 15-22'!B7</f>
        <v>1125</v>
      </c>
      <c r="D34" s="887" t="str">
        <f>'Expenditures 15-22'!A7</f>
        <v>Pre-K Programs</v>
      </c>
      <c r="E34" s="868"/>
      <c r="F34" s="1930">
        <f>'Expenditures 15-22'!K7-SUM('Expenditures 15-22'!G7,'Expenditures 15-22'!I7)</f>
        <v>133405</v>
      </c>
      <c r="G34" s="865"/>
    </row>
    <row r="35" spans="1:7" x14ac:dyDescent="0.2">
      <c r="A35" s="869" t="s">
        <v>478</v>
      </c>
      <c r="B35" s="869" t="s">
        <v>1545</v>
      </c>
      <c r="C35" s="886" t="str">
        <f>'Expenditures 15-22'!B9</f>
        <v>1225</v>
      </c>
      <c r="D35" s="887" t="str">
        <f>'Expenditures 15-22'!A9</f>
        <v>Special Education Programs Pre-K</v>
      </c>
      <c r="E35" s="868"/>
      <c r="F35" s="1930">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30">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0">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0">
        <f>'Expenditures 15-22'!K15-SUM('Expenditures 15-22'!G15,'Expenditures 15-22'!I15)</f>
        <v>0</v>
      </c>
      <c r="G38" s="865"/>
    </row>
    <row r="39" spans="1:7" x14ac:dyDescent="0.2">
      <c r="A39" s="869" t="s">
        <v>478</v>
      </c>
      <c r="B39" s="869" t="s">
        <v>119</v>
      </c>
      <c r="C39" s="886" t="str">
        <f>'Expenditures 15-22'!B20</f>
        <v>1910</v>
      </c>
      <c r="D39" s="888" t="str">
        <f>'Expenditures 15-22'!A20</f>
        <v>Pre-K Programs - Private Tuition</v>
      </c>
      <c r="E39" s="868"/>
      <c r="F39" s="1930">
        <f>'Expenditures 15-22'!K20</f>
        <v>0</v>
      </c>
      <c r="G39" s="865"/>
    </row>
    <row r="40" spans="1:7" x14ac:dyDescent="0.2">
      <c r="A40" s="869" t="s">
        <v>478</v>
      </c>
      <c r="B40" s="869" t="s">
        <v>120</v>
      </c>
      <c r="C40" s="886" t="str">
        <f>'Expenditures 15-22'!B21</f>
        <v>1911</v>
      </c>
      <c r="D40" s="888" t="str">
        <f>'Expenditures 15-22'!A21</f>
        <v>Regular K-12 Programs - Private Tuition</v>
      </c>
      <c r="E40" s="868"/>
      <c r="F40" s="1930">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0">
        <f>'Expenditures 15-22'!K22</f>
        <v>432111</v>
      </c>
      <c r="G41" s="865"/>
    </row>
    <row r="42" spans="1:7" x14ac:dyDescent="0.2">
      <c r="A42" s="869" t="s">
        <v>478</v>
      </c>
      <c r="B42" s="869" t="s">
        <v>122</v>
      </c>
      <c r="C42" s="889" t="str">
        <f>'Expenditures 15-22'!B23</f>
        <v>1913</v>
      </c>
      <c r="D42" s="888" t="str">
        <f>'Expenditures 15-22'!A23</f>
        <v>Special Education Programs Pre-K - Tuition</v>
      </c>
      <c r="E42" s="868"/>
      <c r="F42" s="1930">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0">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0">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0">
        <f>'Expenditures 15-22'!K26</f>
        <v>0</v>
      </c>
      <c r="G45" s="865"/>
    </row>
    <row r="46" spans="1:7" x14ac:dyDescent="0.2">
      <c r="A46" s="869" t="s">
        <v>478</v>
      </c>
      <c r="B46" s="869" t="s">
        <v>126</v>
      </c>
      <c r="C46" s="886" t="str">
        <f>'Expenditures 15-22'!B27</f>
        <v>1917</v>
      </c>
      <c r="D46" s="888" t="str">
        <f>'Expenditures 15-22'!A27</f>
        <v>CTE Programs - Private Tuition</v>
      </c>
      <c r="E46" s="868"/>
      <c r="F46" s="1930">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0">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0">
        <f>'Expenditures 15-22'!K29</f>
        <v>0</v>
      </c>
      <c r="G48" s="865"/>
    </row>
    <row r="49" spans="1:7" x14ac:dyDescent="0.2">
      <c r="A49" s="869" t="s">
        <v>478</v>
      </c>
      <c r="B49" s="869" t="s">
        <v>129</v>
      </c>
      <c r="C49" s="886" t="str">
        <f>'Expenditures 15-22'!B30</f>
        <v>1920</v>
      </c>
      <c r="D49" s="888" t="str">
        <f>'Expenditures 15-22'!A30</f>
        <v>Gifted Programs - Private Tuition</v>
      </c>
      <c r="E49" s="868"/>
      <c r="F49" s="1930">
        <f>'Expenditures 15-22'!K30</f>
        <v>0</v>
      </c>
      <c r="G49" s="865"/>
    </row>
    <row r="50" spans="1:7" x14ac:dyDescent="0.2">
      <c r="A50" s="869" t="s">
        <v>478</v>
      </c>
      <c r="B50" s="869" t="s">
        <v>130</v>
      </c>
      <c r="C50" s="886" t="str">
        <f>'Expenditures 15-22'!B31</f>
        <v>1921</v>
      </c>
      <c r="D50" s="888" t="str">
        <f>'Expenditures 15-22'!A31</f>
        <v>Bilingual Programs - Private Tuition</v>
      </c>
      <c r="E50" s="868"/>
      <c r="F50" s="1930">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0">
        <f>'Expenditures 15-22'!K32</f>
        <v>0</v>
      </c>
      <c r="G51" s="865"/>
    </row>
    <row r="52" spans="1:7" x14ac:dyDescent="0.2">
      <c r="A52" s="869" t="s">
        <v>478</v>
      </c>
      <c r="B52" s="869" t="s">
        <v>1549</v>
      </c>
      <c r="C52" s="889" t="str">
        <f>'Expenditures 15-22'!B75</f>
        <v>3000</v>
      </c>
      <c r="D52" s="888" t="s">
        <v>468</v>
      </c>
      <c r="E52" s="868"/>
      <c r="F52" s="1930">
        <f>'Expenditures 15-22'!K75-SUM('Expenditures 15-22'!G75,'Expenditures 15-22'!I75)</f>
        <v>11169</v>
      </c>
      <c r="G52" s="865"/>
    </row>
    <row r="53" spans="1:7" x14ac:dyDescent="0.2">
      <c r="A53" s="869" t="s">
        <v>478</v>
      </c>
      <c r="B53" s="869" t="s">
        <v>1550</v>
      </c>
      <c r="C53" s="889">
        <f>'Expenditures 15-22'!B102</f>
        <v>4000</v>
      </c>
      <c r="D53" s="888" t="str">
        <f>'Expenditures 15-22'!A102</f>
        <v>Total Payments to Other Govt Units</v>
      </c>
      <c r="E53" s="868"/>
      <c r="F53" s="1930">
        <f>'Expenditures 15-22'!K102</f>
        <v>379578</v>
      </c>
      <c r="G53" s="865"/>
    </row>
    <row r="54" spans="1:7" x14ac:dyDescent="0.2">
      <c r="A54" s="869" t="s">
        <v>478</v>
      </c>
      <c r="B54" s="869" t="s">
        <v>1551</v>
      </c>
      <c r="C54" s="889" t="s">
        <v>1038</v>
      </c>
      <c r="D54" s="885" t="s">
        <v>1156</v>
      </c>
      <c r="E54" s="868"/>
      <c r="F54" s="1930">
        <f>'Expenditures 15-22'!G114</f>
        <v>86147</v>
      </c>
      <c r="G54" s="865"/>
    </row>
    <row r="55" spans="1:7" x14ac:dyDescent="0.2">
      <c r="A55" s="869" t="s">
        <v>478</v>
      </c>
      <c r="B55" s="869" t="s">
        <v>1552</v>
      </c>
      <c r="C55" s="889" t="s">
        <v>1038</v>
      </c>
      <c r="D55" s="885" t="s">
        <v>308</v>
      </c>
      <c r="E55" s="868"/>
      <c r="F55" s="1930">
        <f>'Expenditures 15-22'!I114</f>
        <v>0</v>
      </c>
      <c r="G55" s="865"/>
    </row>
    <row r="56" spans="1:7" x14ac:dyDescent="0.2">
      <c r="A56" s="869" t="s">
        <v>479</v>
      </c>
      <c r="B56" s="869" t="s">
        <v>1553</v>
      </c>
      <c r="C56" s="886" t="str">
        <f>'Expenditures 15-22'!B130</f>
        <v>3000</v>
      </c>
      <c r="D56" s="892" t="s">
        <v>468</v>
      </c>
      <c r="E56" s="868"/>
      <c r="F56" s="1930">
        <f>'Expenditures 15-22'!K130-SUM('Expenditures 15-22'!G130+'Expenditures 15-22'!I130)</f>
        <v>0</v>
      </c>
      <c r="G56" s="865"/>
    </row>
    <row r="57" spans="1:7" x14ac:dyDescent="0.2">
      <c r="A57" s="869" t="s">
        <v>479</v>
      </c>
      <c r="B57" s="869" t="s">
        <v>1990</v>
      </c>
      <c r="C57" s="889">
        <f>'Expenditures 15-22'!B139</f>
        <v>4000</v>
      </c>
      <c r="D57" s="887" t="str">
        <f>'Expenditures 15-22'!A139</f>
        <v>Total Payments to Other Govt Units</v>
      </c>
      <c r="E57" s="868"/>
      <c r="F57" s="1930">
        <f>'Expenditures 15-22'!K139</f>
        <v>0</v>
      </c>
      <c r="G57" s="865"/>
    </row>
    <row r="58" spans="1:7" x14ac:dyDescent="0.2">
      <c r="A58" s="869" t="s">
        <v>479</v>
      </c>
      <c r="B58" s="869" t="s">
        <v>1991</v>
      </c>
      <c r="C58" s="886" t="s">
        <v>1038</v>
      </c>
      <c r="D58" s="885" t="s">
        <v>1156</v>
      </c>
      <c r="E58" s="868"/>
      <c r="F58" s="1932">
        <f>'Expenditures 15-22'!G151</f>
        <v>209706</v>
      </c>
      <c r="G58" s="865"/>
    </row>
    <row r="59" spans="1:7" x14ac:dyDescent="0.2">
      <c r="A59" s="893" t="s">
        <v>479</v>
      </c>
      <c r="B59" s="856" t="s">
        <v>1992</v>
      </c>
      <c r="C59" s="894" t="s">
        <v>1038</v>
      </c>
      <c r="D59" s="856" t="s">
        <v>308</v>
      </c>
      <c r="F59" s="1933">
        <f>'Expenditures 15-22'!I151</f>
        <v>0</v>
      </c>
      <c r="G59" s="865"/>
    </row>
    <row r="60" spans="1:7" x14ac:dyDescent="0.2">
      <c r="A60" s="893" t="s">
        <v>519</v>
      </c>
      <c r="B60" s="856" t="s">
        <v>1993</v>
      </c>
      <c r="C60" s="894">
        <v>4000</v>
      </c>
      <c r="D60" s="856" t="s">
        <v>329</v>
      </c>
      <c r="F60" s="1931">
        <f>'Expenditures 15-22'!K160</f>
        <v>0</v>
      </c>
      <c r="G60" s="865"/>
    </row>
    <row r="61" spans="1:7" x14ac:dyDescent="0.2">
      <c r="A61" s="895" t="s">
        <v>519</v>
      </c>
      <c r="B61" s="895" t="s">
        <v>1994</v>
      </c>
      <c r="C61" s="896" t="str">
        <f>'Expenditures 15-22'!B170</f>
        <v>5300</v>
      </c>
      <c r="D61" s="897" t="s">
        <v>328</v>
      </c>
      <c r="E61" s="879"/>
      <c r="F61" s="1930">
        <f>'Expenditures 15-22'!K170</f>
        <v>1197200</v>
      </c>
      <c r="G61" s="865"/>
    </row>
    <row r="62" spans="1:7" x14ac:dyDescent="0.2">
      <c r="A62" s="869" t="s">
        <v>480</v>
      </c>
      <c r="B62" s="869" t="s">
        <v>1995</v>
      </c>
      <c r="C62" s="886">
        <f>'Expenditures 15-22'!B185</f>
        <v>3000</v>
      </c>
      <c r="D62" s="876" t="s">
        <v>468</v>
      </c>
      <c r="E62" s="868"/>
      <c r="F62" s="1930">
        <f>'Expenditures 15-22'!K185-SUM('Expenditures 15-22'!G185,'Expenditures 15-22'!I185)</f>
        <v>0</v>
      </c>
      <c r="G62" s="865"/>
    </row>
    <row r="63" spans="1:7" x14ac:dyDescent="0.2">
      <c r="A63" s="869" t="s">
        <v>480</v>
      </c>
      <c r="B63" s="869" t="s">
        <v>1996</v>
      </c>
      <c r="C63" s="886" t="str">
        <f>'Expenditures 15-22'!B196</f>
        <v>4000</v>
      </c>
      <c r="D63" s="887" t="str">
        <f>'Expenditures 15-22'!A196</f>
        <v>Total Payments to Other Govt Units</v>
      </c>
      <c r="E63" s="868"/>
      <c r="F63" s="1930">
        <f>'Expenditures 15-22'!K196</f>
        <v>0</v>
      </c>
      <c r="G63" s="865"/>
    </row>
    <row r="64" spans="1:7" x14ac:dyDescent="0.2">
      <c r="A64" s="895" t="s">
        <v>480</v>
      </c>
      <c r="B64" s="895" t="s">
        <v>1997</v>
      </c>
      <c r="C64" s="896" t="str">
        <f>'Expenditures 15-22'!B206</f>
        <v>5300</v>
      </c>
      <c r="D64" s="892" t="s">
        <v>328</v>
      </c>
      <c r="E64" s="868"/>
      <c r="F64" s="1930">
        <f>'Expenditures 15-22'!K206</f>
        <v>0</v>
      </c>
      <c r="G64" s="865"/>
    </row>
    <row r="65" spans="1:8" x14ac:dyDescent="0.2">
      <c r="A65" s="869" t="s">
        <v>480</v>
      </c>
      <c r="B65" s="869" t="s">
        <v>1998</v>
      </c>
      <c r="C65" s="886" t="s">
        <v>1038</v>
      </c>
      <c r="D65" s="885" t="s">
        <v>1156</v>
      </c>
      <c r="E65" s="868"/>
      <c r="F65" s="1930">
        <f>'Expenditures 15-22'!G210</f>
        <v>0</v>
      </c>
      <c r="G65" s="865"/>
    </row>
    <row r="66" spans="1:8" x14ac:dyDescent="0.2">
      <c r="A66" s="869" t="s">
        <v>480</v>
      </c>
      <c r="B66" s="869" t="s">
        <v>1999</v>
      </c>
      <c r="C66" s="886" t="s">
        <v>1038</v>
      </c>
      <c r="D66" s="885" t="s">
        <v>308</v>
      </c>
      <c r="E66" s="868"/>
      <c r="F66" s="1930">
        <f>'Expenditures 15-22'!I210</f>
        <v>0</v>
      </c>
      <c r="G66" s="865"/>
    </row>
    <row r="67" spans="1:8" x14ac:dyDescent="0.2">
      <c r="A67" s="869" t="s">
        <v>481</v>
      </c>
      <c r="B67" s="869" t="s">
        <v>2000</v>
      </c>
      <c r="C67" s="886" t="str">
        <f>'Expenditures 15-22'!B216</f>
        <v>1125</v>
      </c>
      <c r="D67" s="892" t="str">
        <f>'Expenditures 15-22'!A216</f>
        <v>Pre-K Programs</v>
      </c>
      <c r="E67" s="868"/>
      <c r="F67" s="1930">
        <f>'Expenditures 15-22'!K216</f>
        <v>9790</v>
      </c>
      <c r="G67" s="865"/>
    </row>
    <row r="68" spans="1:8" x14ac:dyDescent="0.2">
      <c r="A68" s="869" t="s">
        <v>481</v>
      </c>
      <c r="B68" s="869" t="s">
        <v>1554</v>
      </c>
      <c r="C68" s="886" t="str">
        <f>'Expenditures 15-22'!B218</f>
        <v>1225</v>
      </c>
      <c r="D68" s="892" t="str">
        <f>'Expenditures 15-22'!A218</f>
        <v>Special Education Programs - Pre-K</v>
      </c>
      <c r="E68" s="868"/>
      <c r="F68" s="1930">
        <f>'Expenditures 15-22'!K218</f>
        <v>0</v>
      </c>
      <c r="G68" s="865"/>
    </row>
    <row r="69" spans="1:8" x14ac:dyDescent="0.2">
      <c r="A69" s="869" t="s">
        <v>481</v>
      </c>
      <c r="B69" s="869" t="s">
        <v>2001</v>
      </c>
      <c r="C69" s="886" t="str">
        <f>'Expenditures 15-22'!B220</f>
        <v>1275</v>
      </c>
      <c r="D69" s="892" t="str">
        <f>'Expenditures 15-22'!A220</f>
        <v>Remedial and Supplemental Programs - Pre-K</v>
      </c>
      <c r="E69" s="868"/>
      <c r="F69" s="1930">
        <f>'Expenditures 15-22'!K220</f>
        <v>0</v>
      </c>
      <c r="G69" s="865"/>
    </row>
    <row r="70" spans="1:8" x14ac:dyDescent="0.2">
      <c r="A70" s="869" t="s">
        <v>481</v>
      </c>
      <c r="B70" s="869" t="s">
        <v>2002</v>
      </c>
      <c r="C70" s="886">
        <f>'Expenditures 15-22'!B221</f>
        <v>1300</v>
      </c>
      <c r="D70" s="887" t="str">
        <f>'Expenditures 15-22'!A221</f>
        <v>Adult/Continuing Education Programs</v>
      </c>
      <c r="E70" s="868"/>
      <c r="F70" s="1930">
        <f>'Expenditures 15-22'!K221</f>
        <v>0</v>
      </c>
      <c r="G70" s="865"/>
    </row>
    <row r="71" spans="1:8" x14ac:dyDescent="0.2">
      <c r="A71" s="869" t="s">
        <v>481</v>
      </c>
      <c r="B71" s="869" t="s">
        <v>2003</v>
      </c>
      <c r="C71" s="886">
        <f>'Expenditures 15-22'!B224</f>
        <v>1600</v>
      </c>
      <c r="D71" s="887" t="str">
        <f>'Expenditures 15-22'!A224</f>
        <v>Summer School Programs</v>
      </c>
      <c r="E71" s="868"/>
      <c r="F71" s="1930">
        <f>'Expenditures 15-22'!K224</f>
        <v>0</v>
      </c>
      <c r="G71" s="865"/>
    </row>
    <row r="72" spans="1:8" x14ac:dyDescent="0.2">
      <c r="A72" s="869" t="s">
        <v>481</v>
      </c>
      <c r="B72" s="869" t="s">
        <v>2004</v>
      </c>
      <c r="C72" s="886">
        <f>'Expenditures 15-22'!B280</f>
        <v>3000</v>
      </c>
      <c r="D72" s="876" t="s">
        <v>468</v>
      </c>
      <c r="E72" s="868"/>
      <c r="F72" s="1930">
        <f>'Expenditures 15-22'!K280</f>
        <v>162</v>
      </c>
      <c r="G72" s="865"/>
    </row>
    <row r="73" spans="1:8" x14ac:dyDescent="0.2">
      <c r="A73" s="869" t="s">
        <v>481</v>
      </c>
      <c r="B73" s="869" t="s">
        <v>2005</v>
      </c>
      <c r="C73" s="886" t="str">
        <f>'Expenditures 15-22'!B285</f>
        <v>4000</v>
      </c>
      <c r="D73" s="887" t="str">
        <f>'Expenditures 15-22'!A285</f>
        <v>Total Payments to Other Govt Units</v>
      </c>
      <c r="E73" s="868"/>
      <c r="F73" s="1930">
        <f>'Expenditures 15-22'!K285</f>
        <v>0</v>
      </c>
      <c r="G73" s="865"/>
    </row>
    <row r="74" spans="1:8" x14ac:dyDescent="0.2">
      <c r="A74" s="869" t="s">
        <v>455</v>
      </c>
      <c r="B74" s="869" t="s">
        <v>2006</v>
      </c>
      <c r="C74" s="886" t="s">
        <v>914</v>
      </c>
      <c r="D74" s="887" t="s">
        <v>1566</v>
      </c>
      <c r="E74" s="868"/>
      <c r="F74" s="1934">
        <f>'Expenditures 15-22'!K334</f>
        <v>0</v>
      </c>
      <c r="G74" s="865"/>
    </row>
    <row r="75" spans="1:8" ht="5.25" customHeight="1" x14ac:dyDescent="0.2">
      <c r="A75" s="865"/>
      <c r="B75" s="875"/>
      <c r="C75" s="875"/>
      <c r="D75" s="865"/>
      <c r="E75" s="868"/>
      <c r="F75" s="882"/>
      <c r="G75" s="867"/>
    </row>
    <row r="76" spans="1:8" ht="12" thickBot="1" x14ac:dyDescent="0.25">
      <c r="A76" s="1785"/>
      <c r="B76" s="1791"/>
      <c r="C76" s="1787"/>
      <c r="D76" s="1792" t="s">
        <v>2007</v>
      </c>
      <c r="E76" s="1789" t="s">
        <v>1014</v>
      </c>
      <c r="F76" s="1793">
        <f>SUM(F18:F74)</f>
        <v>2484302</v>
      </c>
      <c r="G76" s="865"/>
    </row>
    <row r="77" spans="1:8" s="893" customFormat="1" ht="12" customHeight="1" thickTop="1" thickBot="1" x14ac:dyDescent="0.25">
      <c r="A77" s="1794"/>
      <c r="B77" s="1791"/>
      <c r="C77" s="1787"/>
      <c r="D77" s="1792" t="s">
        <v>2008</v>
      </c>
      <c r="E77" s="1789"/>
      <c r="F77" s="1795">
        <f>(F14-F76)</f>
        <v>14053750</v>
      </c>
      <c r="G77" s="869"/>
    </row>
    <row r="78" spans="1:8" s="893" customFormat="1" ht="12" customHeight="1" thickTop="1" x14ac:dyDescent="0.2">
      <c r="A78" s="1796"/>
      <c r="B78" s="1791"/>
      <c r="C78" s="1787"/>
      <c r="D78" s="1792" t="s">
        <v>2055</v>
      </c>
      <c r="E78" s="1789"/>
      <c r="F78" s="898">
        <v>1318.61</v>
      </c>
      <c r="G78" s="899"/>
      <c r="H78" s="869"/>
    </row>
    <row r="79" spans="1:8" s="893" customFormat="1" ht="12" customHeight="1" thickBot="1" x14ac:dyDescent="0.25">
      <c r="A79" s="1797"/>
      <c r="B79" s="1791"/>
      <c r="C79" s="1787"/>
      <c r="D79" s="1792" t="s">
        <v>2009</v>
      </c>
      <c r="E79" s="1789" t="s">
        <v>1014</v>
      </c>
      <c r="F79" s="1798">
        <f>IF(F78&gt;0,F77/F78," Complete Line 78")</f>
        <v>10658.003503689491</v>
      </c>
      <c r="G79" s="869"/>
    </row>
    <row r="80" spans="1:8" s="893" customFormat="1" ht="8.25" customHeight="1" thickTop="1" x14ac:dyDescent="0.2">
      <c r="A80" s="900"/>
      <c r="B80" s="869"/>
      <c r="C80" s="871"/>
      <c r="D80" s="901"/>
      <c r="E80" s="868"/>
      <c r="F80" s="902"/>
      <c r="G80" s="869"/>
    </row>
    <row r="81" spans="1:7" s="893" customFormat="1" ht="12" thickBot="1" x14ac:dyDescent="0.25">
      <c r="A81" s="2277" t="s">
        <v>1166</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4">
        <f>'Revenues 9-14'!F42</f>
        <v>0</v>
      </c>
      <c r="G84" s="912"/>
    </row>
    <row r="85" spans="1:7" x14ac:dyDescent="0.2">
      <c r="A85" s="908" t="s">
        <v>480</v>
      </c>
      <c r="B85" s="908" t="s">
        <v>192</v>
      </c>
      <c r="C85" s="913">
        <f>'Revenues 9-14'!B44</f>
        <v>1413</v>
      </c>
      <c r="D85" s="911" t="str">
        <f>'Revenues 9-14'!A44</f>
        <v>Regular - Transp Fees from Other Sources (In State)</v>
      </c>
      <c r="E85" s="906"/>
      <c r="F85" s="1804">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4">
        <f>'Revenues 9-14'!F45</f>
        <v>0</v>
      </c>
      <c r="G86" s="914"/>
    </row>
    <row r="87" spans="1:7" x14ac:dyDescent="0.2">
      <c r="A87" s="908" t="s">
        <v>480</v>
      </c>
      <c r="B87" s="908" t="s">
        <v>169</v>
      </c>
      <c r="C87" s="910">
        <v>1416</v>
      </c>
      <c r="D87" s="911" t="str">
        <f>'Revenues 9-14'!A46</f>
        <v>Regular Transp Fees from Other Sources (Out of State)</v>
      </c>
      <c r="E87" s="906"/>
      <c r="F87" s="1804">
        <f>'Revenues 9-14'!F46</f>
        <v>0</v>
      </c>
      <c r="G87" s="914"/>
    </row>
    <row r="88" spans="1:7" x14ac:dyDescent="0.2">
      <c r="A88" s="908" t="s">
        <v>480</v>
      </c>
      <c r="B88" s="908" t="s">
        <v>170</v>
      </c>
      <c r="C88" s="910">
        <f>'Revenues 9-14'!B51</f>
        <v>1431</v>
      </c>
      <c r="D88" s="911" t="str">
        <f>'Revenues 9-14'!A51</f>
        <v>CTE - Transp Fees from Pupils or Parents (In State)</v>
      </c>
      <c r="E88" s="906"/>
      <c r="F88" s="1804">
        <f>'Revenues 9-14'!F51</f>
        <v>0</v>
      </c>
      <c r="G88" s="914"/>
    </row>
    <row r="89" spans="1:7" x14ac:dyDescent="0.2">
      <c r="A89" s="908" t="s">
        <v>480</v>
      </c>
      <c r="B89" s="908" t="s">
        <v>171</v>
      </c>
      <c r="C89" s="910">
        <f>'Revenues 9-14'!B53</f>
        <v>1433</v>
      </c>
      <c r="D89" s="911" t="str">
        <f>'Revenues 9-14'!A53</f>
        <v>CTE - Transp Fees from Other Sources (In State)</v>
      </c>
      <c r="E89" s="906"/>
      <c r="F89" s="1804">
        <f>'Revenues 9-14'!F53</f>
        <v>0</v>
      </c>
      <c r="G89" s="914"/>
    </row>
    <row r="90" spans="1:7" x14ac:dyDescent="0.2">
      <c r="A90" s="908" t="s">
        <v>480</v>
      </c>
      <c r="B90" s="908" t="s">
        <v>172</v>
      </c>
      <c r="C90" s="910">
        <f>'Revenues 9-14'!B54</f>
        <v>1434</v>
      </c>
      <c r="D90" s="911" t="str">
        <f>'Revenues 9-14'!A54</f>
        <v>CTE - Transp Fees from Other Sources (Out of State)</v>
      </c>
      <c r="E90" s="906"/>
      <c r="F90" s="1804">
        <f>'Revenues 9-14'!F54</f>
        <v>0</v>
      </c>
      <c r="G90" s="914"/>
    </row>
    <row r="91" spans="1:7" x14ac:dyDescent="0.2">
      <c r="A91" s="908" t="s">
        <v>480</v>
      </c>
      <c r="B91" s="908" t="s">
        <v>173</v>
      </c>
      <c r="C91" s="915">
        <f>'Revenues 9-14'!B55</f>
        <v>1441</v>
      </c>
      <c r="D91" s="911" t="str">
        <f>'Revenues 9-14'!A55</f>
        <v>Special Ed - Transp Fees from Pupils or Parents (In State)</v>
      </c>
      <c r="E91" s="906"/>
      <c r="F91" s="1804">
        <f>'Revenues 9-14'!F55</f>
        <v>0</v>
      </c>
      <c r="G91" s="914"/>
    </row>
    <row r="92" spans="1:7" x14ac:dyDescent="0.2">
      <c r="A92" s="908" t="s">
        <v>480</v>
      </c>
      <c r="B92" s="908" t="s">
        <v>174</v>
      </c>
      <c r="C92" s="910">
        <f>'Revenues 9-14'!B57</f>
        <v>1443</v>
      </c>
      <c r="D92" s="911" t="str">
        <f>'Revenues 9-14'!A57</f>
        <v>Special Ed - Transp Fees from Other Sources (In State)</v>
      </c>
      <c r="E92" s="906"/>
      <c r="F92" s="1804">
        <f>'Revenues 9-14'!F57</f>
        <v>0</v>
      </c>
      <c r="G92" s="916"/>
    </row>
    <row r="93" spans="1:7" x14ac:dyDescent="0.2">
      <c r="A93" s="908" t="s">
        <v>480</v>
      </c>
      <c r="B93" s="908" t="s">
        <v>175</v>
      </c>
      <c r="C93" s="910">
        <f>'Revenues 9-14'!B58</f>
        <v>1444</v>
      </c>
      <c r="D93" s="911" t="str">
        <f>'Revenues 9-14'!A58</f>
        <v>Special Ed - Transp Fees from Other Sources (Out of State)</v>
      </c>
      <c r="E93" s="906"/>
      <c r="F93" s="1804">
        <f>'Revenues 9-14'!F58</f>
        <v>0</v>
      </c>
      <c r="G93" s="916"/>
    </row>
    <row r="94" spans="1:7" x14ac:dyDescent="0.2">
      <c r="A94" s="908" t="s">
        <v>478</v>
      </c>
      <c r="B94" s="908" t="s">
        <v>176</v>
      </c>
      <c r="C94" s="910">
        <v>1600</v>
      </c>
      <c r="D94" s="917" t="str">
        <f>'Revenues 9-14'!A75</f>
        <v>Total Food Service</v>
      </c>
      <c r="E94" s="906"/>
      <c r="F94" s="1804">
        <f>'Revenues 9-14'!C75</f>
        <v>249146</v>
      </c>
      <c r="G94" s="912"/>
    </row>
    <row r="95" spans="1:7" x14ac:dyDescent="0.2">
      <c r="A95" s="908" t="s">
        <v>142</v>
      </c>
      <c r="B95" s="908" t="s">
        <v>177</v>
      </c>
      <c r="C95" s="910">
        <v>1700</v>
      </c>
      <c r="D95" s="918" t="str">
        <f>'Revenues 9-14'!A82</f>
        <v>Total District/School Activity Income</v>
      </c>
      <c r="E95" s="906"/>
      <c r="F95" s="1804">
        <f>SUM('Revenues 9-14'!C82,'Revenues 9-14'!D82)</f>
        <v>196661</v>
      </c>
      <c r="G95" s="912"/>
    </row>
    <row r="96" spans="1:7" x14ac:dyDescent="0.2">
      <c r="A96" s="908" t="s">
        <v>478</v>
      </c>
      <c r="B96" s="908" t="s">
        <v>178</v>
      </c>
      <c r="C96" s="910">
        <f>'Revenues 9-14'!B84</f>
        <v>1811</v>
      </c>
      <c r="D96" s="911" t="str">
        <f>'Revenues 9-14'!A84</f>
        <v>Rentals - Regular Textbooks</v>
      </c>
      <c r="E96" s="906"/>
      <c r="F96" s="1804">
        <f>'Revenues 9-14'!C84</f>
        <v>34601</v>
      </c>
      <c r="G96" s="912"/>
    </row>
    <row r="97" spans="1:7" x14ac:dyDescent="0.2">
      <c r="A97" s="908" t="s">
        <v>478</v>
      </c>
      <c r="B97" s="908" t="s">
        <v>179</v>
      </c>
      <c r="C97" s="910">
        <f>'Revenues 9-14'!B87</f>
        <v>1819</v>
      </c>
      <c r="D97" s="911" t="str">
        <f>'Revenues 9-14'!A87</f>
        <v>Rentals - Other (Describe &amp; Itemize)</v>
      </c>
      <c r="E97" s="906"/>
      <c r="F97" s="1804">
        <f>'Revenues 9-14'!C87</f>
        <v>0</v>
      </c>
      <c r="G97" s="912"/>
    </row>
    <row r="98" spans="1:7" x14ac:dyDescent="0.2">
      <c r="A98" s="908" t="s">
        <v>478</v>
      </c>
      <c r="B98" s="908" t="s">
        <v>180</v>
      </c>
      <c r="C98" s="910">
        <f>'Revenues 9-14'!B88</f>
        <v>1821</v>
      </c>
      <c r="D98" s="911" t="str">
        <f>'Revenues 9-14'!A88</f>
        <v>Sales - Regular Textbooks</v>
      </c>
      <c r="E98" s="906"/>
      <c r="F98" s="1804">
        <f>'Revenues 9-14'!C88</f>
        <v>0</v>
      </c>
      <c r="G98" s="912"/>
    </row>
    <row r="99" spans="1:7" x14ac:dyDescent="0.2">
      <c r="A99" s="908" t="s">
        <v>478</v>
      </c>
      <c r="B99" s="908" t="s">
        <v>181</v>
      </c>
      <c r="C99" s="910">
        <f>'Revenues 9-14'!B91</f>
        <v>1829</v>
      </c>
      <c r="D99" s="911" t="str">
        <f>'Revenues 9-14'!A91</f>
        <v>Sales - Other (Describe &amp; Itemize)</v>
      </c>
      <c r="E99" s="906"/>
      <c r="F99" s="1804">
        <f>'Revenues 9-14'!C91</f>
        <v>0</v>
      </c>
      <c r="G99" s="912"/>
    </row>
    <row r="100" spans="1:7" x14ac:dyDescent="0.2">
      <c r="A100" s="908" t="s">
        <v>478</v>
      </c>
      <c r="B100" s="908" t="s">
        <v>182</v>
      </c>
      <c r="C100" s="910">
        <f>'Revenues 9-14'!B92</f>
        <v>1890</v>
      </c>
      <c r="D100" s="911" t="str">
        <f>'Revenues 9-14'!A92</f>
        <v>Other (Describe &amp; Itemize)</v>
      </c>
      <c r="E100" s="906"/>
      <c r="F100" s="1804">
        <f>'Revenues 9-14'!C92</f>
        <v>0</v>
      </c>
      <c r="G100" s="912"/>
    </row>
    <row r="101" spans="1:7" x14ac:dyDescent="0.2">
      <c r="A101" s="908" t="s">
        <v>142</v>
      </c>
      <c r="B101" s="908" t="s">
        <v>183</v>
      </c>
      <c r="C101" s="910">
        <f>'Revenues 9-14'!B95</f>
        <v>1910</v>
      </c>
      <c r="D101" s="911" t="str">
        <f>'Revenues 9-14'!A95</f>
        <v>Rentals</v>
      </c>
      <c r="E101" s="906"/>
      <c r="F101" s="1804">
        <f>SUM('Revenues 9-14'!C95:D95)</f>
        <v>196775</v>
      </c>
      <c r="G101" s="912"/>
    </row>
    <row r="102" spans="1:7" x14ac:dyDescent="0.2">
      <c r="A102" s="908" t="s">
        <v>523</v>
      </c>
      <c r="B102" s="908" t="s">
        <v>184</v>
      </c>
      <c r="C102" s="910">
        <f>'Revenues 9-14'!B98</f>
        <v>1940</v>
      </c>
      <c r="D102" s="911" t="str">
        <f>'Revenues 9-14'!A98</f>
        <v>Services Provided Other Districts</v>
      </c>
      <c r="E102" s="906"/>
      <c r="F102" s="1804">
        <f>SUM('Revenues 9-14'!C98,'Revenues 9-14'!D98,'Revenues 9-14'!F98)</f>
        <v>696378</v>
      </c>
      <c r="G102" s="912"/>
    </row>
    <row r="103" spans="1:7" x14ac:dyDescent="0.2">
      <c r="A103" s="908" t="s">
        <v>1065</v>
      </c>
      <c r="B103" s="908" t="s">
        <v>833</v>
      </c>
      <c r="C103" s="910">
        <f>'Revenues 9-14'!B104</f>
        <v>1991</v>
      </c>
      <c r="D103" s="919" t="str">
        <f>'Revenues 9-14'!A104</f>
        <v>Payment from Other Districts</v>
      </c>
      <c r="E103" s="906"/>
      <c r="F103" s="1804">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4">
        <f>('Revenues 9-14'!C106)</f>
        <v>0</v>
      </c>
      <c r="G104" s="912"/>
    </row>
    <row r="105" spans="1:7" x14ac:dyDescent="0.2">
      <c r="A105" s="908" t="s">
        <v>523</v>
      </c>
      <c r="B105" s="908" t="s">
        <v>841</v>
      </c>
      <c r="C105" s="913">
        <v>3100</v>
      </c>
      <c r="D105" s="919" t="str">
        <f>'Revenues 9-14'!A131</f>
        <v>Total Special Education</v>
      </c>
      <c r="E105" s="906"/>
      <c r="F105" s="1804">
        <f>SUM('Revenues 9-14'!C131:D131,'Revenues 9-14'!F131)</f>
        <v>577428</v>
      </c>
      <c r="G105" s="912"/>
    </row>
    <row r="106" spans="1:7" x14ac:dyDescent="0.2">
      <c r="A106" s="908" t="s">
        <v>693</v>
      </c>
      <c r="B106" s="908" t="s">
        <v>1482</v>
      </c>
      <c r="C106" s="920">
        <v>3200</v>
      </c>
      <c r="D106" s="911" t="str">
        <f>'Revenues 9-14'!A140</f>
        <v>Total Career and Technical Education</v>
      </c>
      <c r="E106" s="906"/>
      <c r="F106" s="1804">
        <f>SUM('Revenues 9-14'!C140,'Revenues 9-14'!D140,'Revenues 9-14'!G140)</f>
        <v>16947</v>
      </c>
      <c r="G106" s="912"/>
    </row>
    <row r="107" spans="1:7" x14ac:dyDescent="0.2">
      <c r="A107" s="921" t="s">
        <v>684</v>
      </c>
      <c r="B107" s="908" t="s">
        <v>842</v>
      </c>
      <c r="C107" s="920">
        <v>3300</v>
      </c>
      <c r="D107" s="911" t="str">
        <f>'Revenues 9-14'!A144</f>
        <v>Total Bilingual Ed</v>
      </c>
      <c r="E107" s="906"/>
      <c r="F107" s="1804">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4">
        <f>'Revenues 9-14'!C145</f>
        <v>6733</v>
      </c>
      <c r="G108" s="912"/>
    </row>
    <row r="109" spans="1:7" x14ac:dyDescent="0.2">
      <c r="A109" s="908" t="s">
        <v>693</v>
      </c>
      <c r="B109" s="908" t="s">
        <v>844</v>
      </c>
      <c r="C109" s="920">
        <f>'Revenues 9-14'!B146</f>
        <v>3365</v>
      </c>
      <c r="D109" s="911" t="str">
        <f>'Revenues 9-14'!A146</f>
        <v>School Breakfast Initiative</v>
      </c>
      <c r="E109" s="906"/>
      <c r="F109" s="1804">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4">
        <f>SUM('Revenues 9-14'!C147,'Revenues 9-14'!D147)</f>
        <v>20809</v>
      </c>
      <c r="G110" s="912"/>
    </row>
    <row r="111" spans="1:7" x14ac:dyDescent="0.2">
      <c r="A111" s="908" t="s">
        <v>688</v>
      </c>
      <c r="B111" s="908" t="s">
        <v>801</v>
      </c>
      <c r="C111" s="922">
        <v>3500</v>
      </c>
      <c r="D111" s="911" t="str">
        <f>'Revenues 9-14'!A154</f>
        <v>Total Transportation</v>
      </c>
      <c r="E111" s="906"/>
      <c r="F111" s="1804">
        <f>SUM('Revenues 9-14'!C154,'Revenues 9-14'!D154,'Revenues 9-14'!F154,'Revenues 9-14'!G154)</f>
        <v>542541</v>
      </c>
      <c r="G111" s="912"/>
    </row>
    <row r="112" spans="1:7" x14ac:dyDescent="0.2">
      <c r="A112" s="908" t="s">
        <v>478</v>
      </c>
      <c r="B112" s="908" t="s">
        <v>846</v>
      </c>
      <c r="C112" s="920">
        <f>'Revenues 9-14'!B155</f>
        <v>3610</v>
      </c>
      <c r="D112" s="911" t="str">
        <f>'Revenues 9-14'!A155</f>
        <v>Learning Improvement - Change Grants</v>
      </c>
      <c r="E112" s="906"/>
      <c r="F112" s="1804">
        <f>'Revenues 9-14'!C155</f>
        <v>0</v>
      </c>
      <c r="G112" s="912"/>
    </row>
    <row r="113" spans="1:7" x14ac:dyDescent="0.2">
      <c r="A113" s="908" t="s">
        <v>688</v>
      </c>
      <c r="B113" s="908" t="s">
        <v>847</v>
      </c>
      <c r="C113" s="920">
        <f>'Revenues 9-14'!B156</f>
        <v>3660</v>
      </c>
      <c r="D113" s="911" t="str">
        <f>'Revenues 9-14'!A156</f>
        <v>Scientific Literacy</v>
      </c>
      <c r="E113" s="906"/>
      <c r="F113" s="1804">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4">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4">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4">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4">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3">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4">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4">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4">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4">
        <f>SUM('Revenues 9-14'!C166:G166)</f>
        <v>0</v>
      </c>
      <c r="G122" s="912"/>
    </row>
    <row r="123" spans="1:7" x14ac:dyDescent="0.2">
      <c r="A123" s="923" t="s">
        <v>524</v>
      </c>
      <c r="B123" s="923" t="s">
        <v>852</v>
      </c>
      <c r="C123" s="924">
        <f>'Revenues 9-14'!B167</f>
        <v>3815</v>
      </c>
      <c r="D123" s="925" t="str">
        <f>'Revenues 9-14'!A167</f>
        <v>State Charter Schools</v>
      </c>
      <c r="E123" s="906"/>
      <c r="F123" s="1924">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4">
        <f>'Revenues 9-14'!D170</f>
        <v>0</v>
      </c>
      <c r="G124" s="930"/>
    </row>
    <row r="125" spans="1:7" x14ac:dyDescent="0.2">
      <c r="A125" s="927" t="s">
        <v>520</v>
      </c>
      <c r="B125" s="927" t="s">
        <v>854</v>
      </c>
      <c r="C125" s="928">
        <f>'Revenues 9-14'!B171</f>
        <v>3999</v>
      </c>
      <c r="D125" s="929" t="s">
        <v>563</v>
      </c>
      <c r="E125" s="931"/>
      <c r="F125" s="1804">
        <f>SUM('Revenues 9-14'!C171:G171,'Revenues 9-14'!J171)</f>
        <v>1500</v>
      </c>
      <c r="G125" s="930"/>
    </row>
    <row r="126" spans="1:7" x14ac:dyDescent="0.2">
      <c r="A126" s="927" t="s">
        <v>478</v>
      </c>
      <c r="B126" s="927" t="s">
        <v>855</v>
      </c>
      <c r="C126" s="932">
        <f>'Revenues 9-14'!B180</f>
        <v>4045</v>
      </c>
      <c r="D126" s="929" t="str">
        <f>'Revenues 9-14'!A180 &amp; " (Subtract)"</f>
        <v>Head Start (Subtract)</v>
      </c>
      <c r="E126" s="906"/>
      <c r="F126" s="1804">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4">
        <f>SUM('Revenues 9-14'!C184,'Revenues 9-14'!D184,'Revenues 9-14'!F184,'Revenues 9-14'!G184)</f>
        <v>0</v>
      </c>
      <c r="G127" s="930"/>
    </row>
    <row r="128" spans="1:7" x14ac:dyDescent="0.2">
      <c r="A128" s="927" t="s">
        <v>688</v>
      </c>
      <c r="B128" s="927" t="s">
        <v>857</v>
      </c>
      <c r="C128" s="932">
        <v>4100</v>
      </c>
      <c r="D128" s="933" t="str">
        <f>'Revenues 9-14'!A191</f>
        <v>Total Title V</v>
      </c>
      <c r="E128" s="906"/>
      <c r="F128" s="1804">
        <f>SUM('Revenues 9-14'!C191,'Revenues 9-14'!D191,'Revenues 9-14'!F191,'Revenues 9-14'!G191)</f>
        <v>27285</v>
      </c>
      <c r="G128" s="930"/>
    </row>
    <row r="129" spans="1:7" x14ac:dyDescent="0.2">
      <c r="A129" s="927" t="s">
        <v>684</v>
      </c>
      <c r="B129" s="927" t="s">
        <v>802</v>
      </c>
      <c r="C129" s="932">
        <v>4200</v>
      </c>
      <c r="D129" s="929" t="str">
        <f>'Revenues 9-14'!A201</f>
        <v>Total Food Service</v>
      </c>
      <c r="E129" s="906"/>
      <c r="F129" s="1804">
        <f>SUM('Revenues 9-14'!C201,'Revenues 9-14'!G201)</f>
        <v>445817</v>
      </c>
      <c r="G129" s="930"/>
    </row>
    <row r="130" spans="1:7" x14ac:dyDescent="0.2">
      <c r="A130" s="927" t="s">
        <v>688</v>
      </c>
      <c r="B130" s="927" t="s">
        <v>803</v>
      </c>
      <c r="C130" s="932">
        <v>4300</v>
      </c>
      <c r="D130" s="933" t="str">
        <f>'Revenues 9-14'!A211</f>
        <v>Total Title I</v>
      </c>
      <c r="E130" s="906"/>
      <c r="F130" s="1804">
        <f>SUM('Revenues 9-14'!C211,'Revenues 9-14'!D211,'Revenues 9-14'!F211,'Revenues 9-14'!G211)</f>
        <v>384062</v>
      </c>
      <c r="G130" s="930"/>
    </row>
    <row r="131" spans="1:7" x14ac:dyDescent="0.2">
      <c r="A131" s="927" t="s">
        <v>688</v>
      </c>
      <c r="B131" s="927" t="s">
        <v>804</v>
      </c>
      <c r="C131" s="932">
        <v>4400</v>
      </c>
      <c r="D131" s="933" t="str">
        <f>'Revenues 9-14'!A216</f>
        <v>Total Title IV</v>
      </c>
      <c r="E131" s="906"/>
      <c r="F131" s="1804">
        <f>SUM('Revenues 9-14'!C216,'Revenues 9-14'!D216,'Revenues 9-14'!F216,'Revenues 9-14'!G216)</f>
        <v>6231</v>
      </c>
      <c r="G131" s="930"/>
    </row>
    <row r="132" spans="1:7" x14ac:dyDescent="0.2">
      <c r="A132" s="927" t="s">
        <v>688</v>
      </c>
      <c r="B132" s="927" t="s">
        <v>190</v>
      </c>
      <c r="C132" s="932">
        <f>'Revenues 9-14'!B220</f>
        <v>4620</v>
      </c>
      <c r="D132" s="933" t="str">
        <f>'Revenues 9-14'!A220</f>
        <v>Fed - Spec Education - IDEA - Flow Through</v>
      </c>
      <c r="E132" s="906"/>
      <c r="F132" s="1804">
        <f>SUM('Revenues 9-14'!C220:D220,'Revenues 9-14'!F220:G220)</f>
        <v>216190</v>
      </c>
      <c r="G132" s="930"/>
    </row>
    <row r="133" spans="1:7" x14ac:dyDescent="0.2">
      <c r="A133" s="927" t="s">
        <v>688</v>
      </c>
      <c r="B133" s="927" t="s">
        <v>191</v>
      </c>
      <c r="C133" s="932">
        <f>'Revenues 9-14'!B221</f>
        <v>4625</v>
      </c>
      <c r="D133" s="933" t="str">
        <f>'Revenues 9-14'!A221</f>
        <v>Fed - Spec Education - IDEA - Room &amp; Board</v>
      </c>
      <c r="E133" s="906"/>
      <c r="F133" s="1804">
        <f>SUM('Revenues 9-14'!C221,'Revenues 9-14'!D221,'Revenues 9-14'!F221,'Revenues 9-14'!G221)</f>
        <v>0</v>
      </c>
      <c r="G133" s="930"/>
    </row>
    <row r="134" spans="1:7" x14ac:dyDescent="0.2">
      <c r="A134" s="927" t="s">
        <v>688</v>
      </c>
      <c r="B134" s="927" t="s">
        <v>858</v>
      </c>
      <c r="C134" s="932">
        <f>'Revenues 9-14'!B222</f>
        <v>4630</v>
      </c>
      <c r="D134" s="933" t="str">
        <f>'Revenues 9-14'!A222</f>
        <v>Fed - Spec Education - IDEA - Discretionary</v>
      </c>
      <c r="E134" s="906"/>
      <c r="F134" s="1804">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4">
        <f>SUM('Revenues 9-14'!C223:D223,'Revenues 9-14'!F223:G223)</f>
        <v>0</v>
      </c>
      <c r="G135" s="930"/>
    </row>
    <row r="136" spans="1:7" x14ac:dyDescent="0.2">
      <c r="A136" s="927" t="s">
        <v>693</v>
      </c>
      <c r="B136" s="927" t="s">
        <v>806</v>
      </c>
      <c r="C136" s="932">
        <v>4700</v>
      </c>
      <c r="D136" s="929" t="str">
        <f>'Revenues 9-14'!A228</f>
        <v>Total CTE - Perkins</v>
      </c>
      <c r="E136" s="906"/>
      <c r="F136" s="1804">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4">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4">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4">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4">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4">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4">
        <v>0</v>
      </c>
      <c r="G142" s="905"/>
    </row>
    <row r="143" spans="1:7" s="867" customFormat="1" hidden="1" x14ac:dyDescent="0.2">
      <c r="A143" s="934" t="s">
        <v>215</v>
      </c>
      <c r="B143" s="934" t="s">
        <v>228</v>
      </c>
      <c r="C143" s="935" t="s">
        <v>225</v>
      </c>
      <c r="D143" s="936" t="str">
        <f>'Revenues 9-14'!A237</f>
        <v>ARRA - IDEA - Part B - Flow-Through</v>
      </c>
      <c r="E143" s="937"/>
      <c r="F143" s="1804">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4">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4">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4">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4">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4">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4">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4">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4">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4">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4">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4">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4">
        <v>0</v>
      </c>
      <c r="G155" s="905"/>
    </row>
    <row r="156" spans="1:7" s="867" customFormat="1" hidden="1" x14ac:dyDescent="0.2">
      <c r="A156" s="934" t="s">
        <v>215</v>
      </c>
      <c r="B156" s="934" t="s">
        <v>250</v>
      </c>
      <c r="C156" s="935" t="s">
        <v>247</v>
      </c>
      <c r="D156" s="936" t="str">
        <f>'Revenues 9-14'!A254</f>
        <v>Other ARRA Funds VII</v>
      </c>
      <c r="E156" s="937"/>
      <c r="F156" s="1804">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4">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4">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4">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4">
        <f>SUM('Revenues 9-14'!C258:G258,'Revenues 9-14'!J258)</f>
        <v>0</v>
      </c>
      <c r="G160" s="905"/>
    </row>
    <row r="161" spans="1:7" s="867" customFormat="1" x14ac:dyDescent="0.2">
      <c r="A161" s="938" t="s">
        <v>520</v>
      </c>
      <c r="B161" s="939" t="s">
        <v>1563</v>
      </c>
      <c r="C161" s="940" t="s">
        <v>895</v>
      </c>
      <c r="D161" s="941" t="s">
        <v>807</v>
      </c>
      <c r="E161" s="942"/>
      <c r="F161" s="1804">
        <f>SUM(F137:F160)</f>
        <v>0</v>
      </c>
      <c r="G161" s="905"/>
    </row>
    <row r="162" spans="1:7" s="867" customFormat="1" x14ac:dyDescent="0.2">
      <c r="A162" s="938" t="s">
        <v>478</v>
      </c>
      <c r="B162" s="939" t="s">
        <v>1500</v>
      </c>
      <c r="C162" s="940" t="s">
        <v>1498</v>
      </c>
      <c r="D162" s="941" t="s">
        <v>1499</v>
      </c>
      <c r="E162" s="942"/>
      <c r="F162" s="1804">
        <f>SUM('Revenues 9-14'!C260)</f>
        <v>0</v>
      </c>
      <c r="G162" s="905"/>
    </row>
    <row r="163" spans="1:7" s="867" customFormat="1" x14ac:dyDescent="0.2">
      <c r="A163" s="938" t="s">
        <v>520</v>
      </c>
      <c r="B163" s="939" t="s">
        <v>1540</v>
      </c>
      <c r="C163" s="940" t="s">
        <v>1541</v>
      </c>
      <c r="D163" s="941" t="s">
        <v>1542</v>
      </c>
      <c r="E163" s="942"/>
      <c r="F163" s="1804">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4">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4">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4">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4">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4">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4">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4">
        <f>SUM('Revenues 9-14'!C268,'Revenues 9-14'!D268,'Revenues 9-14'!F268,'Revenues 9-14'!G268)</f>
        <v>64329</v>
      </c>
      <c r="G170" s="930"/>
    </row>
    <row r="171" spans="1:7" x14ac:dyDescent="0.2">
      <c r="A171" s="927" t="s">
        <v>688</v>
      </c>
      <c r="B171" s="927" t="s">
        <v>863</v>
      </c>
      <c r="C171" s="932">
        <f>'Revenues 9-14'!B269</f>
        <v>4960</v>
      </c>
      <c r="D171" s="929" t="str">
        <f>'Revenues 9-14'!A269</f>
        <v>Federal Charter Schools</v>
      </c>
      <c r="E171" s="906"/>
      <c r="F171" s="1804">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4">
        <f>SUM('Revenues 9-14'!C270:D270,'Revenues 9-14'!F270:G270)</f>
        <v>23274</v>
      </c>
      <c r="G172" s="947">
        <v>6320</v>
      </c>
    </row>
    <row r="173" spans="1:7" x14ac:dyDescent="0.2">
      <c r="A173" s="927" t="s">
        <v>688</v>
      </c>
      <c r="B173" s="927" t="s">
        <v>1502</v>
      </c>
      <c r="C173" s="932">
        <f>'Revenues 9-14'!B271</f>
        <v>4992</v>
      </c>
      <c r="D173" s="933" t="str">
        <f>'Revenues 9-14'!A271</f>
        <v>Medicaid Matching Funds - Fee-for-Service Program</v>
      </c>
      <c r="E173" s="906"/>
      <c r="F173" s="1804">
        <f>SUM('Revenues 9-14'!C271:D271,'Revenues 9-14'!F271:G271)</f>
        <v>46668</v>
      </c>
      <c r="G173" s="947"/>
    </row>
    <row r="174" spans="1:7" x14ac:dyDescent="0.2">
      <c r="A174" s="948" t="s">
        <v>688</v>
      </c>
      <c r="B174" s="944" t="s">
        <v>1557</v>
      </c>
      <c r="C174" s="945">
        <f>'Revenues 9-14'!B272</f>
        <v>4999</v>
      </c>
      <c r="D174" s="946" t="str">
        <f>'Revenues 9-14'!A272</f>
        <v>Other Restricted Revenue from Federal Sources (Describe &amp; Itemize)</v>
      </c>
      <c r="E174" s="906"/>
      <c r="F174" s="1804">
        <f>SUM('Revenues 9-14'!C272:D272,'Revenues 9-14'!F272:G272)</f>
        <v>0</v>
      </c>
      <c r="G174" s="927"/>
    </row>
    <row r="175" spans="1:7" x14ac:dyDescent="0.2">
      <c r="A175" s="1935" t="s">
        <v>5</v>
      </c>
      <c r="B175" s="1936" t="s">
        <v>2054</v>
      </c>
      <c r="C175" s="1937">
        <v>3100</v>
      </c>
      <c r="D175" s="1938" t="s">
        <v>2057</v>
      </c>
      <c r="E175" s="906"/>
      <c r="F175" s="1922">
        <v>453211</v>
      </c>
      <c r="G175" s="927"/>
    </row>
    <row r="176" spans="1:7" x14ac:dyDescent="0.2">
      <c r="A176" s="1935" t="s">
        <v>684</v>
      </c>
      <c r="B176" s="1936" t="s">
        <v>2054</v>
      </c>
      <c r="C176" s="1937">
        <v>3300</v>
      </c>
      <c r="D176" s="1938" t="s">
        <v>2058</v>
      </c>
      <c r="E176" s="906"/>
      <c r="F176" s="1922">
        <v>0</v>
      </c>
      <c r="G176" s="927"/>
    </row>
    <row r="177" spans="1:7" ht="6" customHeight="1" x14ac:dyDescent="0.2">
      <c r="A177" s="927"/>
      <c r="B177" s="927"/>
      <c r="C177" s="949"/>
      <c r="D177" s="927"/>
      <c r="E177" s="906"/>
      <c r="F177" s="950"/>
      <c r="G177" s="947"/>
    </row>
    <row r="178" spans="1:7" x14ac:dyDescent="0.2">
      <c r="A178" s="1785"/>
      <c r="B178" s="1799"/>
      <c r="C178" s="1800"/>
      <c r="D178" s="1801" t="s">
        <v>2010</v>
      </c>
      <c r="E178" s="1802" t="s">
        <v>1014</v>
      </c>
      <c r="F178" s="1803">
        <f>SUM(F84:F136,F161:F176)</f>
        <v>4206586</v>
      </c>
    </row>
    <row r="179" spans="1:7" ht="12" customHeight="1" x14ac:dyDescent="0.2">
      <c r="A179" s="1785"/>
      <c r="B179" s="1799"/>
      <c r="C179" s="1800"/>
      <c r="D179" s="1801" t="s">
        <v>2011</v>
      </c>
      <c r="E179" s="1802"/>
      <c r="F179" s="1804">
        <f>'PCTC-OEPP 27-28'!F77-F178</f>
        <v>9847164</v>
      </c>
    </row>
    <row r="180" spans="1:7" ht="12" customHeight="1" x14ac:dyDescent="0.2">
      <c r="A180" s="1785"/>
      <c r="B180" s="1799"/>
      <c r="C180" s="1800"/>
      <c r="D180" s="1801" t="s">
        <v>1920</v>
      </c>
      <c r="E180" s="1802"/>
      <c r="F180" s="1804">
        <f>'Cap Outlay Deprec 26'!I18</f>
        <v>887117</v>
      </c>
    </row>
    <row r="181" spans="1:7" ht="12" customHeight="1" x14ac:dyDescent="0.2">
      <c r="A181" s="1785"/>
      <c r="B181" s="1799"/>
      <c r="C181" s="1800"/>
      <c r="D181" s="1801" t="s">
        <v>2012</v>
      </c>
      <c r="E181" s="1802"/>
      <c r="F181" s="1804">
        <f>F179+F180</f>
        <v>10734281</v>
      </c>
    </row>
    <row r="182" spans="1:7" ht="12" customHeight="1" x14ac:dyDescent="0.2">
      <c r="A182" s="1785"/>
      <c r="B182" s="1805"/>
      <c r="C182" s="1800"/>
      <c r="D182" s="1801" t="str">
        <f>D78</f>
        <v>9 Month ADA from District Average Daily Attendance/Prior General State Aid Inquiry 2017-2018</v>
      </c>
      <c r="E182" s="1802"/>
      <c r="F182" s="1806">
        <f>'PCTC-OEPP 27-28'!F78</f>
        <v>1318.61</v>
      </c>
      <c r="G182" s="930"/>
    </row>
    <row r="183" spans="1:7" ht="12" customHeight="1" thickBot="1" x14ac:dyDescent="0.25">
      <c r="A183" s="1785"/>
      <c r="B183" s="1805"/>
      <c r="C183" s="1800"/>
      <c r="D183" s="1801" t="s">
        <v>2013</v>
      </c>
      <c r="E183" s="1802" t="s">
        <v>1625</v>
      </c>
      <c r="F183" s="1807">
        <f>F181/F182</f>
        <v>8140.6033626318631</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39" customFormat="1" ht="12.2" customHeight="1" x14ac:dyDescent="0.2">
      <c r="A186" s="1939" t="s">
        <v>2061</v>
      </c>
      <c r="B186" s="1940"/>
      <c r="C186" s="1941"/>
      <c r="D186" s="1940"/>
      <c r="E186" s="1941"/>
      <c r="F186" s="1940"/>
      <c r="G186" s="1940"/>
    </row>
    <row r="187" spans="1:7" s="1939" customFormat="1" ht="12.2" customHeight="1" x14ac:dyDescent="0.2">
      <c r="A187" s="1942" t="s">
        <v>2062</v>
      </c>
      <c r="C187" s="1941"/>
      <c r="D187" s="1940"/>
      <c r="E187" s="1941"/>
      <c r="F187" s="1940"/>
      <c r="G187" s="1940"/>
    </row>
    <row r="188" spans="1:7" ht="12" customHeight="1" x14ac:dyDescent="0.2">
      <c r="C188" s="949"/>
      <c r="D188" s="930"/>
      <c r="E188" s="949"/>
      <c r="F188" s="930"/>
      <c r="G188" s="930"/>
    </row>
    <row r="189" spans="1:7" x14ac:dyDescent="0.2">
      <c r="A189" s="1943" t="s">
        <v>2060</v>
      </c>
      <c r="B189" s="1944"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pane ySplit="16" topLeftCell="A17" activePane="bottomLeft" state="frozen"/>
      <selection pane="bottomLeft" activeCell="B29" sqref="B29"/>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5" t="s">
        <v>1936</v>
      </c>
      <c r="B1" s="1676"/>
      <c r="C1" s="1676"/>
      <c r="D1" s="1676"/>
      <c r="E1" s="1676"/>
      <c r="F1" s="1676"/>
      <c r="G1" s="1676"/>
    </row>
    <row r="2" spans="1:7" x14ac:dyDescent="0.25">
      <c r="A2" s="1673"/>
      <c r="B2" s="1673"/>
      <c r="C2" s="1674" t="s">
        <v>1035</v>
      </c>
      <c r="D2" s="1673"/>
      <c r="E2" s="1673"/>
      <c r="F2" s="1673"/>
      <c r="G2" s="1673"/>
    </row>
    <row r="3" spans="1:7" ht="5.25" customHeight="1" x14ac:dyDescent="0.25">
      <c r="A3" s="1564"/>
      <c r="B3" s="1564"/>
      <c r="C3" s="1564"/>
      <c r="D3" s="1564"/>
      <c r="E3" s="1564"/>
      <c r="F3" s="1564"/>
      <c r="G3" s="1564"/>
    </row>
    <row r="4" spans="1:7" ht="18.75" customHeight="1" x14ac:dyDescent="0.25">
      <c r="A4" s="2291" t="s">
        <v>1921</v>
      </c>
      <c r="B4" s="2292"/>
      <c r="C4" s="2292"/>
      <c r="D4" s="2292"/>
      <c r="E4" s="2292"/>
      <c r="F4" s="2292"/>
      <c r="G4" s="2293"/>
    </row>
    <row r="5" spans="1:7" x14ac:dyDescent="0.25">
      <c r="A5" s="2294"/>
      <c r="B5" s="2295"/>
      <c r="C5" s="2295"/>
      <c r="D5" s="2295"/>
      <c r="E5" s="2295"/>
      <c r="F5" s="2295"/>
      <c r="G5" s="2296"/>
    </row>
    <row r="6" spans="1:7" ht="18.75" x14ac:dyDescent="0.25">
      <c r="A6" s="1553" t="s">
        <v>1922</v>
      </c>
      <c r="B6" s="1554"/>
      <c r="C6" s="1554"/>
      <c r="D6" s="1554"/>
      <c r="E6" s="1554"/>
      <c r="F6" s="1554"/>
      <c r="G6" s="1555"/>
    </row>
    <row r="7" spans="1:7" ht="30.75" customHeight="1" x14ac:dyDescent="0.25">
      <c r="A7" s="2297" t="s">
        <v>2071</v>
      </c>
      <c r="B7" s="2298"/>
      <c r="C7" s="2298"/>
      <c r="D7" s="2298"/>
      <c r="E7" s="2298"/>
      <c r="F7" s="2298"/>
      <c r="G7" s="2299"/>
    </row>
    <row r="8" spans="1:7" ht="15.75" customHeight="1" x14ac:dyDescent="0.25">
      <c r="A8" s="2300" t="s">
        <v>2020</v>
      </c>
      <c r="B8" s="2301"/>
      <c r="C8" s="2301"/>
      <c r="D8" s="2301"/>
      <c r="E8" s="2301"/>
      <c r="F8" s="2301"/>
      <c r="G8" s="2302"/>
    </row>
    <row r="9" spans="1:7" ht="35.25" customHeight="1" x14ac:dyDescent="0.25">
      <c r="A9" s="2297" t="s">
        <v>2019</v>
      </c>
      <c r="B9" s="2298"/>
      <c r="C9" s="2298"/>
      <c r="D9" s="2298"/>
      <c r="E9" s="2298"/>
      <c r="F9" s="2298"/>
      <c r="G9" s="2299"/>
    </row>
    <row r="10" spans="1:7" ht="15" customHeight="1" x14ac:dyDescent="0.25">
      <c r="A10" s="1556" t="s">
        <v>1923</v>
      </c>
      <c r="B10" s="1557"/>
      <c r="C10" s="1557"/>
      <c r="D10" s="1557"/>
      <c r="E10" s="1557"/>
      <c r="F10" s="1557"/>
      <c r="G10" s="1558"/>
    </row>
    <row r="11" spans="1:7" ht="17.25" customHeight="1" x14ac:dyDescent="0.25">
      <c r="A11" s="2297" t="s">
        <v>1937</v>
      </c>
      <c r="B11" s="2298"/>
      <c r="C11" s="2298"/>
      <c r="D11" s="2298"/>
      <c r="E11" s="2298"/>
      <c r="F11" s="2298"/>
      <c r="G11" s="2299"/>
    </row>
    <row r="12" spans="1:7" ht="15" customHeight="1" x14ac:dyDescent="0.25">
      <c r="A12" s="1556" t="s">
        <v>1928</v>
      </c>
      <c r="B12" s="1557"/>
      <c r="C12" s="1557"/>
      <c r="D12" s="1557"/>
      <c r="E12" s="1557"/>
      <c r="F12" s="1557"/>
      <c r="G12" s="1558"/>
    </row>
    <row r="13" spans="1:7" ht="32.25" customHeight="1" x14ac:dyDescent="0.25">
      <c r="A13" s="2288" t="s">
        <v>1929</v>
      </c>
      <c r="B13" s="2289"/>
      <c r="C13" s="2289"/>
      <c r="D13" s="2289"/>
      <c r="E13" s="2289"/>
      <c r="F13" s="2289"/>
      <c r="G13" s="2290"/>
    </row>
    <row r="14" spans="1:7" x14ac:dyDescent="0.25">
      <c r="A14" s="1677" t="s">
        <v>1938</v>
      </c>
      <c r="B14" s="1678"/>
      <c r="C14" s="1678"/>
      <c r="D14" s="1678"/>
      <c r="E14" s="1678"/>
      <c r="F14" s="1678"/>
      <c r="G14" s="1679"/>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6" t="s">
        <v>1939</v>
      </c>
      <c r="B16" s="1667" t="s">
        <v>1927</v>
      </c>
      <c r="C16" s="1668" t="s">
        <v>1925</v>
      </c>
      <c r="D16" s="1669">
        <v>500000</v>
      </c>
      <c r="E16" s="1669">
        <f>IF(D16&lt;=25000,D16,IF(D16&gt;25000,25000,0))</f>
        <v>25000</v>
      </c>
      <c r="F16" s="1669">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7" x14ac:dyDescent="0.25">
      <c r="A17" s="1961" t="s">
        <v>2196</v>
      </c>
      <c r="B17" s="1959" t="s">
        <v>1927</v>
      </c>
      <c r="C17" s="1960" t="s">
        <v>2195</v>
      </c>
      <c r="D17" s="1859">
        <v>250803</v>
      </c>
      <c r="E17" s="1559">
        <f t="shared" ref="E17:E31" si="0">IF(D17&lt;=25000,D17,IF(D17&gt;25000,25000,0))</f>
        <v>25000</v>
      </c>
      <c r="F17" s="1808">
        <f t="shared" ref="F17:F31" si="1">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09">
        <f t="shared" ref="G17:G31" si="2">IF(F17=0,0,D17-F17)</f>
        <v>225803</v>
      </c>
    </row>
    <row r="18" spans="1:7" x14ac:dyDescent="0.25">
      <c r="A18" s="1961" t="s">
        <v>2197</v>
      </c>
      <c r="B18" s="1959" t="s">
        <v>1927</v>
      </c>
      <c r="C18" s="1960" t="s">
        <v>2198</v>
      </c>
      <c r="D18" s="1859">
        <v>99068</v>
      </c>
      <c r="E18" s="1559">
        <f t="shared" si="0"/>
        <v>25000</v>
      </c>
      <c r="F18" s="1808">
        <f t="shared" si="1"/>
        <v>25000</v>
      </c>
      <c r="G18" s="1809">
        <f t="shared" si="2"/>
        <v>74068</v>
      </c>
    </row>
    <row r="19" spans="1:7" ht="30" x14ac:dyDescent="0.25">
      <c r="A19" s="1961" t="s">
        <v>2199</v>
      </c>
      <c r="B19" s="1959" t="s">
        <v>2200</v>
      </c>
      <c r="C19" s="1960" t="s">
        <v>2201</v>
      </c>
      <c r="D19" s="1859">
        <v>111590</v>
      </c>
      <c r="E19" s="1559">
        <f t="shared" si="0"/>
        <v>25000</v>
      </c>
      <c r="F19" s="1808">
        <f t="shared" si="1"/>
        <v>25000</v>
      </c>
      <c r="G19" s="1809">
        <f t="shared" si="2"/>
        <v>86590</v>
      </c>
    </row>
    <row r="20" spans="1:7" x14ac:dyDescent="0.25">
      <c r="A20" s="1961" t="s">
        <v>2203</v>
      </c>
      <c r="B20" s="1959" t="s">
        <v>2202</v>
      </c>
      <c r="C20" s="1960" t="s">
        <v>2204</v>
      </c>
      <c r="D20" s="1859">
        <v>347918</v>
      </c>
      <c r="E20" s="1559">
        <f t="shared" si="0"/>
        <v>25000</v>
      </c>
      <c r="F20" s="1808">
        <f t="shared" si="1"/>
        <v>25000</v>
      </c>
      <c r="G20" s="1809">
        <f t="shared" si="2"/>
        <v>322918</v>
      </c>
    </row>
    <row r="21" spans="1:7" ht="30" x14ac:dyDescent="0.25">
      <c r="A21" s="1961" t="s">
        <v>2199</v>
      </c>
      <c r="B21" s="1959" t="s">
        <v>2200</v>
      </c>
      <c r="C21" s="1960" t="s">
        <v>2205</v>
      </c>
      <c r="D21" s="1859">
        <v>178095</v>
      </c>
      <c r="E21" s="1559">
        <f t="shared" si="0"/>
        <v>25000</v>
      </c>
      <c r="F21" s="1808">
        <f t="shared" si="1"/>
        <v>25000</v>
      </c>
      <c r="G21" s="1809">
        <f t="shared" si="2"/>
        <v>153095</v>
      </c>
    </row>
    <row r="22" spans="1:7" x14ac:dyDescent="0.25">
      <c r="A22" s="1961" t="s">
        <v>2206</v>
      </c>
      <c r="B22" s="1959" t="s">
        <v>2228</v>
      </c>
      <c r="C22" s="1960" t="s">
        <v>2161</v>
      </c>
      <c r="D22" s="1859">
        <v>219663</v>
      </c>
      <c r="E22" s="1559">
        <f t="shared" si="0"/>
        <v>25000</v>
      </c>
      <c r="F22" s="1808">
        <f t="shared" si="1"/>
        <v>0</v>
      </c>
      <c r="G22" s="1809">
        <f t="shared" si="2"/>
        <v>0</v>
      </c>
    </row>
    <row r="23" spans="1:7" x14ac:dyDescent="0.25">
      <c r="A23" s="1961" t="s">
        <v>2207</v>
      </c>
      <c r="B23" s="1959" t="s">
        <v>2228</v>
      </c>
      <c r="C23" s="1960" t="s">
        <v>2208</v>
      </c>
      <c r="D23" s="1859">
        <v>144652</v>
      </c>
      <c r="E23" s="1559">
        <f t="shared" si="0"/>
        <v>25000</v>
      </c>
      <c r="F23" s="1808">
        <f t="shared" si="1"/>
        <v>0</v>
      </c>
      <c r="G23" s="1809">
        <f t="shared" si="2"/>
        <v>0</v>
      </c>
    </row>
    <row r="24" spans="1:7" x14ac:dyDescent="0.25">
      <c r="A24" s="1961" t="s">
        <v>2203</v>
      </c>
      <c r="B24" s="1959" t="s">
        <v>2202</v>
      </c>
      <c r="C24" s="1960" t="s">
        <v>2209</v>
      </c>
      <c r="D24" s="1859">
        <v>79110</v>
      </c>
      <c r="E24" s="1559">
        <f t="shared" si="0"/>
        <v>25000</v>
      </c>
      <c r="F24" s="1808">
        <f t="shared" si="1"/>
        <v>25000</v>
      </c>
      <c r="G24" s="1809">
        <f t="shared" si="2"/>
        <v>54110</v>
      </c>
    </row>
    <row r="25" spans="1:7" x14ac:dyDescent="0.25">
      <c r="A25" s="1961" t="s">
        <v>2214</v>
      </c>
      <c r="B25" s="1959" t="s">
        <v>2210</v>
      </c>
      <c r="C25" s="1960" t="s">
        <v>2211</v>
      </c>
      <c r="D25" s="1859">
        <v>87450</v>
      </c>
      <c r="E25" s="1559">
        <f t="shared" si="0"/>
        <v>25000</v>
      </c>
      <c r="F25" s="1808">
        <f t="shared" si="1"/>
        <v>25000</v>
      </c>
      <c r="G25" s="1809">
        <f t="shared" si="2"/>
        <v>62450</v>
      </c>
    </row>
    <row r="26" spans="1:7" x14ac:dyDescent="0.25">
      <c r="A26" s="1961" t="s">
        <v>2215</v>
      </c>
      <c r="B26" s="1959" t="s">
        <v>2212</v>
      </c>
      <c r="C26" s="1960" t="s">
        <v>2213</v>
      </c>
      <c r="D26" s="1859">
        <v>73144</v>
      </c>
      <c r="E26" s="1559">
        <f t="shared" si="0"/>
        <v>25000</v>
      </c>
      <c r="F26" s="1808">
        <f t="shared" si="1"/>
        <v>25000</v>
      </c>
      <c r="G26" s="1809">
        <f t="shared" si="2"/>
        <v>48144</v>
      </c>
    </row>
    <row r="27" spans="1:7" x14ac:dyDescent="0.25">
      <c r="A27" s="1961" t="s">
        <v>2196</v>
      </c>
      <c r="B27" s="1959" t="s">
        <v>1927</v>
      </c>
      <c r="C27" s="1960" t="s">
        <v>2216</v>
      </c>
      <c r="D27" s="1859">
        <v>60002</v>
      </c>
      <c r="E27" s="1559">
        <f t="shared" si="0"/>
        <v>25000</v>
      </c>
      <c r="F27" s="1808">
        <f t="shared" si="1"/>
        <v>25000</v>
      </c>
      <c r="G27" s="1809">
        <f t="shared" si="2"/>
        <v>35002</v>
      </c>
    </row>
    <row r="28" spans="1:7" x14ac:dyDescent="0.25">
      <c r="A28" s="1961" t="s">
        <v>2218</v>
      </c>
      <c r="B28" s="1959" t="s">
        <v>2222</v>
      </c>
      <c r="C28" s="1960" t="s">
        <v>2217</v>
      </c>
      <c r="D28" s="1859">
        <v>148412</v>
      </c>
      <c r="E28" s="1559">
        <f t="shared" si="0"/>
        <v>25000</v>
      </c>
      <c r="F28" s="1808">
        <f t="shared" si="1"/>
        <v>25000</v>
      </c>
      <c r="G28" s="1809">
        <f t="shared" si="2"/>
        <v>123412</v>
      </c>
    </row>
    <row r="29" spans="1:7" ht="19.5" customHeight="1" x14ac:dyDescent="0.25">
      <c r="A29" s="1961" t="s">
        <v>2219</v>
      </c>
      <c r="B29" s="1959" t="s">
        <v>2221</v>
      </c>
      <c r="C29" s="1960" t="s">
        <v>2220</v>
      </c>
      <c r="D29" s="1859">
        <v>25313</v>
      </c>
      <c r="E29" s="1559">
        <f t="shared" si="0"/>
        <v>25000</v>
      </c>
      <c r="F29" s="1808">
        <f t="shared" si="1"/>
        <v>25000</v>
      </c>
      <c r="G29" s="1809">
        <f t="shared" si="2"/>
        <v>313</v>
      </c>
    </row>
    <row r="30" spans="1:7" x14ac:dyDescent="0.25">
      <c r="A30" s="1961"/>
      <c r="B30" s="1860"/>
      <c r="C30" s="1672"/>
      <c r="D30" s="1859"/>
      <c r="E30" s="1559">
        <f t="shared" si="0"/>
        <v>0</v>
      </c>
      <c r="F30" s="1808">
        <f t="shared" si="1"/>
        <v>0</v>
      </c>
      <c r="G30" s="1809">
        <f t="shared" si="2"/>
        <v>0</v>
      </c>
    </row>
    <row r="31" spans="1:7" x14ac:dyDescent="0.25">
      <c r="A31" s="1671"/>
      <c r="B31" s="1682"/>
      <c r="C31" s="1672"/>
      <c r="D31" s="1859"/>
      <c r="E31" s="1559">
        <f t="shared" si="0"/>
        <v>0</v>
      </c>
      <c r="F31" s="1808">
        <f t="shared" si="1"/>
        <v>0</v>
      </c>
      <c r="G31" s="1809">
        <f t="shared" si="2"/>
        <v>0</v>
      </c>
    </row>
    <row r="32" spans="1:7" x14ac:dyDescent="0.25">
      <c r="A32" s="1812" t="s">
        <v>158</v>
      </c>
      <c r="B32" s="1813"/>
      <c r="C32" s="1814"/>
      <c r="D32" s="1810">
        <f>SUM(D17:D31)</f>
        <v>1825220</v>
      </c>
      <c r="E32" s="1560">
        <f t="shared" ref="E32" si="3">IF(D32&lt;=25000,D32,IF(D32&gt;25000,25000,0))</f>
        <v>25000</v>
      </c>
      <c r="F32" s="1810">
        <f>SUM(F17:F31)</f>
        <v>275000</v>
      </c>
      <c r="G32" s="1811">
        <f>SUM(G17:G31)</f>
        <v>1185905</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1176</v>
      </c>
      <c r="B1" s="1654"/>
      <c r="C1" s="1655"/>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03" t="s">
        <v>1777</v>
      </c>
      <c r="B5" s="2304"/>
      <c r="C5" s="2304"/>
      <c r="D5" s="2304"/>
      <c r="E5" s="2304"/>
      <c r="F5" s="2304"/>
      <c r="G5" s="2305"/>
      <c r="H5" s="252"/>
      <c r="I5" s="610"/>
    </row>
    <row r="6" spans="1:9" s="668" customFormat="1" x14ac:dyDescent="0.2">
      <c r="A6" s="1656" t="s">
        <v>214</v>
      </c>
      <c r="B6" s="966"/>
      <c r="C6" s="966"/>
      <c r="D6" s="967"/>
      <c r="E6" s="967"/>
      <c r="F6" s="968"/>
      <c r="G6" s="969"/>
      <c r="H6" s="162"/>
      <c r="I6" s="162"/>
    </row>
    <row r="7" spans="1:9" s="668" customFormat="1" ht="12" customHeight="1" x14ac:dyDescent="0.2">
      <c r="A7" s="970" t="s">
        <v>963</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2072</v>
      </c>
      <c r="B10" s="971"/>
      <c r="C10" s="976"/>
      <c r="D10" s="972"/>
      <c r="E10" s="973">
        <v>465775</v>
      </c>
      <c r="F10" s="974"/>
      <c r="G10" s="975"/>
      <c r="H10" s="162"/>
      <c r="I10" s="162"/>
    </row>
    <row r="11" spans="1:9" s="668" customFormat="1" ht="22.5" customHeight="1" x14ac:dyDescent="0.2">
      <c r="A11" s="2308" t="s">
        <v>1941</v>
      </c>
      <c r="B11" s="2309"/>
      <c r="C11" s="2309"/>
      <c r="D11" s="2310"/>
      <c r="E11" s="977">
        <v>70076</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388</v>
      </c>
      <c r="B15" s="967"/>
      <c r="C15" s="967"/>
      <c r="D15" s="967"/>
      <c r="E15" s="967"/>
      <c r="F15" s="967"/>
      <c r="G15" s="981"/>
      <c r="H15" s="162"/>
      <c r="I15" s="162"/>
    </row>
    <row r="16" spans="1:9" s="668" customFormat="1" x14ac:dyDescent="0.2">
      <c r="A16" s="982" t="s">
        <v>1442</v>
      </c>
      <c r="B16" s="983"/>
      <c r="C16" s="984"/>
      <c r="D16" s="963"/>
      <c r="E16" s="958"/>
      <c r="F16" s="958"/>
      <c r="G16" s="959"/>
      <c r="H16" s="162"/>
      <c r="I16" s="162"/>
    </row>
    <row r="17" spans="1:9" s="668" customFormat="1" ht="12" customHeight="1" x14ac:dyDescent="0.2">
      <c r="A17" s="985"/>
      <c r="B17" s="986"/>
      <c r="C17" s="329"/>
      <c r="D17" s="1657" t="s">
        <v>552</v>
      </c>
      <c r="E17" s="1658"/>
      <c r="F17" s="1657" t="s">
        <v>452</v>
      </c>
      <c r="G17" s="1659"/>
      <c r="H17" s="162"/>
      <c r="I17" s="162"/>
    </row>
    <row r="18" spans="1:9" s="259" customFormat="1" ht="11.25" x14ac:dyDescent="0.2">
      <c r="A18" s="988"/>
      <c r="C18" s="989" t="s">
        <v>453</v>
      </c>
      <c r="D18" s="1660" t="s">
        <v>454</v>
      </c>
      <c r="E18" s="1660" t="s">
        <v>55</v>
      </c>
      <c r="F18" s="1660" t="s">
        <v>454</v>
      </c>
      <c r="G18" s="1660" t="s">
        <v>55</v>
      </c>
      <c r="H18" s="178"/>
      <c r="I18" s="178"/>
    </row>
    <row r="19" spans="1:9" s="668" customFormat="1" ht="12" customHeight="1" x14ac:dyDescent="0.2">
      <c r="A19" s="990" t="s">
        <v>475</v>
      </c>
      <c r="B19" s="991"/>
      <c r="C19" s="992" t="s">
        <v>590</v>
      </c>
      <c r="D19" s="1815"/>
      <c r="E19" s="1816">
        <f>'Expenditures 15-22'!K33-SUM('Expenditures 15-22'!G33,'Expenditures 15-22'!I33)+'Expenditures 15-22'!D229</f>
        <v>8464882</v>
      </c>
      <c r="F19" s="1815"/>
      <c r="G19" s="1817">
        <f>'Expenditures 15-22'!K33-SUM('Expenditures 15-22'!G33,'Expenditures 15-22'!I33)+'Expenditures 15-22'!D229</f>
        <v>8464882</v>
      </c>
      <c r="H19" s="987"/>
      <c r="I19" s="162"/>
    </row>
    <row r="20" spans="1:9" s="668" customFormat="1" ht="12" customHeight="1" x14ac:dyDescent="0.2">
      <c r="A20" s="990" t="s">
        <v>56</v>
      </c>
      <c r="B20" s="991"/>
      <c r="C20" s="993"/>
      <c r="D20" s="1818"/>
      <c r="E20" s="1818"/>
      <c r="F20" s="1818"/>
      <c r="G20" s="1819"/>
      <c r="H20" s="987"/>
      <c r="I20" s="162"/>
    </row>
    <row r="21" spans="1:9" s="668" customFormat="1" ht="12" customHeight="1" x14ac:dyDescent="0.2">
      <c r="A21" s="994" t="s">
        <v>420</v>
      </c>
      <c r="B21" s="995"/>
      <c r="C21" s="993">
        <v>2100</v>
      </c>
      <c r="D21" s="1818"/>
      <c r="E21" s="1820">
        <f>'Expenditures 15-22'!K42-SUM('Expenditures 15-22'!G42,'Expenditures 15-22'!I42)+'Expenditures 15-22'!K120-SUM('Expenditures 15-22'!G120,'Expenditures 15-22'!I120)+'Expenditures 15-22'!K180-SUM('Expenditures 15-22'!G180,'Expenditures 15-22'!I180)+'Expenditures 15-22'!D238</f>
        <v>560867</v>
      </c>
      <c r="F21" s="1818"/>
      <c r="G21" s="1821">
        <f>'Expenditures 15-22'!K42-SUM('Expenditures 15-22'!G42,'Expenditures 15-22'!I42)+'Expenditures 15-22'!K120-SUM('Expenditures 15-22'!G120,'Expenditures 15-22'!I120)+'Expenditures 15-22'!K180-SUM('Expenditures 15-22'!G180,'Expenditures 15-22'!I180)+'Expenditures 15-22'!D238</f>
        <v>560867</v>
      </c>
      <c r="H21" s="987"/>
      <c r="I21" s="162"/>
    </row>
    <row r="22" spans="1:9" s="668" customFormat="1" ht="12" customHeight="1" x14ac:dyDescent="0.2">
      <c r="A22" s="994" t="s">
        <v>584</v>
      </c>
      <c r="B22" s="995"/>
      <c r="C22" s="993">
        <v>2200</v>
      </c>
      <c r="D22" s="1818"/>
      <c r="E22" s="1820">
        <f>'Expenditures 15-22'!K47-SUM('Expenditures 15-22'!G47,'Expenditures 15-22'!I47)+'Expenditures 15-22'!D243</f>
        <v>245648</v>
      </c>
      <c r="F22" s="1818"/>
      <c r="G22" s="1821">
        <f>'Expenditures 15-22'!K47-SUM('Expenditures 15-22'!G47,'Expenditures 15-22'!I47)+'Expenditures 15-22'!D243</f>
        <v>245648</v>
      </c>
      <c r="H22" s="987"/>
      <c r="I22" s="162"/>
    </row>
    <row r="23" spans="1:9" s="668" customFormat="1" ht="12" customHeight="1" x14ac:dyDescent="0.2">
      <c r="A23" s="994" t="s">
        <v>585</v>
      </c>
      <c r="B23" s="995"/>
      <c r="C23" s="993">
        <v>2300</v>
      </c>
      <c r="D23" s="1818"/>
      <c r="E23" s="1820">
        <f>'Expenditures 15-22'!K53-SUM('Expenditures 15-22'!G53,'Expenditures 15-22'!I53)+'Expenditures 15-22'!D257+'Expenditures 15-22'!K330-SUM('Expenditures 15-22'!G330,'Expenditures 15-22'!I330)</f>
        <v>1127377</v>
      </c>
      <c r="F23" s="1818"/>
      <c r="G23" s="1820">
        <f>'Expenditures 15-22'!K53-SUM('Expenditures 15-22'!G53,'Expenditures 15-22'!I53)+'Expenditures 15-22'!D257+'Expenditures 15-22'!K330-SUM('Expenditures 15-22'!G330,'Expenditures 15-22'!I330)</f>
        <v>1127377</v>
      </c>
      <c r="H23" s="987"/>
      <c r="I23" s="162"/>
    </row>
    <row r="24" spans="1:9" s="668" customFormat="1" ht="12" customHeight="1" x14ac:dyDescent="0.2">
      <c r="A24" s="994" t="s">
        <v>586</v>
      </c>
      <c r="B24" s="995"/>
      <c r="C24" s="993">
        <v>2400</v>
      </c>
      <c r="D24" s="1818"/>
      <c r="E24" s="1820">
        <f>'Expenditures 15-22'!K57-SUM('Expenditures 15-22'!G57,'Expenditures 15-22'!I57)+'Expenditures 15-22'!D261</f>
        <v>686600</v>
      </c>
      <c r="F24" s="1818"/>
      <c r="G24" s="1821">
        <f>'Expenditures 15-22'!K57-SUM('Expenditures 15-22'!G57,'Expenditures 15-22'!I57)+'Expenditures 15-22'!D261</f>
        <v>686600</v>
      </c>
      <c r="H24" s="987"/>
      <c r="I24" s="162"/>
    </row>
    <row r="25" spans="1:9" s="668" customFormat="1" ht="12" customHeight="1" x14ac:dyDescent="0.2">
      <c r="A25" s="990" t="s">
        <v>587</v>
      </c>
      <c r="B25" s="996"/>
      <c r="C25" s="993"/>
      <c r="D25" s="1818"/>
      <c r="E25" s="1820"/>
      <c r="F25" s="1818"/>
      <c r="G25" s="1821"/>
      <c r="H25" s="987"/>
      <c r="I25" s="162"/>
    </row>
    <row r="26" spans="1:9" s="668" customFormat="1" ht="12" customHeight="1" x14ac:dyDescent="0.2">
      <c r="A26" s="994" t="s">
        <v>535</v>
      </c>
      <c r="B26" s="997"/>
      <c r="C26" s="993">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7"/>
      <c r="I26" s="162"/>
    </row>
    <row r="27" spans="1:9" s="668" customFormat="1" ht="12" customHeight="1" x14ac:dyDescent="0.2">
      <c r="A27" s="994" t="s">
        <v>482</v>
      </c>
      <c r="B27" s="997"/>
      <c r="C27" s="993">
        <v>2520</v>
      </c>
      <c r="D27" s="1820">
        <f>'Expenditures 15-22'!K60-SUM('Expenditures 15-22'!G60,'Expenditures 15-22'!I60)+'Expenditures 15-22'!D264-E8</f>
        <v>160975</v>
      </c>
      <c r="E27" s="1820">
        <f>E8</f>
        <v>0</v>
      </c>
      <c r="F27" s="1820">
        <f>'Expenditures 15-22'!K60-SUM('Expenditures 15-22'!G60,'Expenditures 15-22'!I60)+'Expenditures 15-22'!D264-E8</f>
        <v>160975</v>
      </c>
      <c r="G27" s="1821">
        <f>E8</f>
        <v>0</v>
      </c>
      <c r="H27" s="987"/>
      <c r="I27" s="162"/>
    </row>
    <row r="28" spans="1:9" s="668" customFormat="1" ht="12" customHeight="1" x14ac:dyDescent="0.2">
      <c r="A28" s="994" t="s">
        <v>536</v>
      </c>
      <c r="B28" s="997"/>
      <c r="C28" s="993">
        <v>2540</v>
      </c>
      <c r="D28" s="1822"/>
      <c r="E28" s="1820">
        <f>'Expenditures 15-22'!K61-SUM('Expenditures 15-22'!G61,'Expenditures 15-22'!I61)+'Expenditures 15-22'!K124-SUM('Expenditures 15-22'!G124,'Expenditures 15-22'!I124)+'Expenditures 15-22'!D266</f>
        <v>1292834</v>
      </c>
      <c r="F28" s="1822">
        <f>'Expenditures 15-22'!K61-SUM('Expenditures 15-22'!G61,'Expenditures 15-22'!I61)+'Expenditures 15-22'!K124-SUM('Expenditures 15-22'!G124,'Expenditures 15-22'!I124)+'Expenditures 15-22'!D266-E9</f>
        <v>1292834</v>
      </c>
      <c r="G28" s="1821">
        <f>E9</f>
        <v>0</v>
      </c>
      <c r="H28" s="987"/>
      <c r="I28" s="162"/>
    </row>
    <row r="29" spans="1:9" ht="12" customHeight="1" x14ac:dyDescent="0.2">
      <c r="A29" s="994" t="s">
        <v>537</v>
      </c>
      <c r="B29" s="997"/>
      <c r="C29" s="993">
        <v>2550</v>
      </c>
      <c r="D29" s="1818"/>
      <c r="E29" s="1820">
        <f>'Expenditures 15-22'!K62-SUM('Expenditures 15-22'!G62,'Expenditures 15-22'!I62)+'Expenditures 15-22'!K125-SUM('Expenditures 15-22'!G125,'Expenditures 15-22'!I125)+'Expenditures 15-22'!K182-SUM('Expenditures 15-22'!G182,'Expenditures 15-22'!I182)+'Expenditures 15-22'!D267</f>
        <v>692754</v>
      </c>
      <c r="F29" s="1818"/>
      <c r="G29" s="1821">
        <f>'Expenditures 15-22'!K62-SUM('Expenditures 15-22'!G62,'Expenditures 15-22'!I62)+'Expenditures 15-22'!K125-SUM('Expenditures 15-22'!G125,'Expenditures 15-22'!I125)+'Expenditures 15-22'!K182-SUM('Expenditures 15-22'!G182,'Expenditures 15-22'!I182)+'Expenditures 15-22'!D267</f>
        <v>692754</v>
      </c>
      <c r="H29" s="985"/>
    </row>
    <row r="30" spans="1:9" ht="12" customHeight="1" x14ac:dyDescent="0.2">
      <c r="A30" s="994" t="s">
        <v>102</v>
      </c>
      <c r="B30" s="997"/>
      <c r="C30" s="993">
        <v>2560</v>
      </c>
      <c r="D30" s="1818"/>
      <c r="E30" s="1820">
        <f>'Expenditures 15-22'!K63-SUM('Expenditures 15-22'!G63,'Expenditures 15-22'!I63)+'Expenditures 15-22'!D268-E10</f>
        <v>321101</v>
      </c>
      <c r="F30" s="1818"/>
      <c r="G30" s="1820">
        <f>'Expenditures 15-22'!K63-SUM('Expenditures 15-22'!G63,'Expenditures 15-22'!I63)+'Expenditures 15-22'!D268-E10</f>
        <v>321101</v>
      </c>
    </row>
    <row r="31" spans="1:9" ht="12" customHeight="1" x14ac:dyDescent="0.2">
      <c r="A31" s="994" t="s">
        <v>103</v>
      </c>
      <c r="B31" s="997"/>
      <c r="C31" s="993">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0" t="s">
        <v>538</v>
      </c>
      <c r="B32" s="996"/>
      <c r="C32" s="993"/>
      <c r="D32" s="1818"/>
      <c r="E32" s="1818"/>
      <c r="F32" s="1818"/>
      <c r="G32" s="1818"/>
    </row>
    <row r="33" spans="1:7" ht="12" customHeight="1" x14ac:dyDescent="0.2">
      <c r="A33" s="994" t="s">
        <v>539</v>
      </c>
      <c r="B33" s="997"/>
      <c r="C33" s="993">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4" t="s">
        <v>540</v>
      </c>
      <c r="B34" s="997"/>
      <c r="C34" s="993">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4" t="s">
        <v>1120</v>
      </c>
      <c r="B35" s="997"/>
      <c r="C35" s="993">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4" t="s">
        <v>422</v>
      </c>
      <c r="B36" s="997"/>
      <c r="C36" s="993">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4" t="s">
        <v>423</v>
      </c>
      <c r="B37" s="997"/>
      <c r="C37" s="993">
        <v>2660</v>
      </c>
      <c r="D37" s="1820">
        <f>'Expenditures 15-22'!K71-SUM('Expenditures 15-22'!G71,'Expenditures 15-22'!I71)+'Expenditures 15-22'!D276-E14</f>
        <v>21016</v>
      </c>
      <c r="E37" s="1820">
        <f>E14</f>
        <v>0</v>
      </c>
      <c r="F37" s="1820">
        <f>'Expenditures 15-22'!K71-SUM('Expenditures 15-22'!G71,'Expenditures 15-22'!I71)+'Expenditures 15-22'!D276-E14</f>
        <v>21016</v>
      </c>
      <c r="G37" s="1820">
        <f>E14</f>
        <v>0</v>
      </c>
    </row>
    <row r="38" spans="1:7" ht="12" customHeight="1" x14ac:dyDescent="0.2">
      <c r="A38" s="990" t="s">
        <v>541</v>
      </c>
      <c r="B38" s="991"/>
      <c r="C38" s="993">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18"/>
      <c r="E39" s="1820">
        <f>'Expenditures 15-22'!K75-SUM('Expenditures 15-22'!G75,'Expenditures 15-22'!I75)+'Expenditures 15-22'!K130-SUM('Expenditures 15-22'!G130,'Expenditures 15-22'!I130)+'Expenditures 15-22'!K185-SUM('Expenditures 15-22'!G185,'Expenditures 15-22'!I185)+'Expenditures 15-22'!D280</f>
        <v>11331</v>
      </c>
      <c r="F39" s="1818"/>
      <c r="G39" s="1820">
        <f>'Expenditures 15-22'!K75-SUM('Expenditures 15-22'!G75,'Expenditures 15-22'!I75)+'Expenditures 15-22'!K130-SUM('Expenditures 15-22'!G130,'Expenditures 15-22'!I130)+'Expenditures 15-22'!K185-SUM('Expenditures 15-22'!G185,'Expenditures 15-22'!I185)+'Expenditures 15-22'!D280</f>
        <v>11331</v>
      </c>
    </row>
    <row r="40" spans="1:7" ht="12" customHeight="1" x14ac:dyDescent="0.2">
      <c r="A40" s="990" t="s">
        <v>1926</v>
      </c>
      <c r="B40" s="991"/>
      <c r="C40" s="993"/>
      <c r="D40" s="1818"/>
      <c r="E40" s="1822">
        <f>-'Contracts Paid in CY 29'!G32</f>
        <v>-1185905</v>
      </c>
      <c r="F40" s="1818"/>
      <c r="G40" s="1822">
        <f>-'Contracts Paid in CY 29'!G32</f>
        <v>-1185905</v>
      </c>
    </row>
    <row r="41" spans="1:7" ht="12" customHeight="1" x14ac:dyDescent="0.2">
      <c r="A41" s="998" t="s">
        <v>158</v>
      </c>
      <c r="B41" s="999"/>
      <c r="C41" s="1000"/>
      <c r="D41" s="1822">
        <f>SUM(D19:D39)</f>
        <v>181991</v>
      </c>
      <c r="E41" s="1822">
        <f>SUM(E19:E40)</f>
        <v>12217489</v>
      </c>
      <c r="F41" s="1822">
        <f>SUM(F19:F39)</f>
        <v>1474825</v>
      </c>
      <c r="G41" s="1822">
        <f>SUM(G19:G40)</f>
        <v>10924655</v>
      </c>
    </row>
    <row r="42" spans="1:7" x14ac:dyDescent="0.2">
      <c r="A42" s="987"/>
      <c r="B42" s="162"/>
      <c r="C42" s="1001"/>
      <c r="D42" s="2306" t="s">
        <v>542</v>
      </c>
      <c r="E42" s="2307"/>
      <c r="F42" s="1002" t="s">
        <v>543</v>
      </c>
      <c r="G42" s="1003"/>
    </row>
    <row r="43" spans="1:7" ht="12" customHeight="1" x14ac:dyDescent="0.2">
      <c r="A43" s="987"/>
      <c r="B43" s="162"/>
      <c r="C43" s="1001"/>
      <c r="D43" s="1823" t="s">
        <v>492</v>
      </c>
      <c r="E43" s="1824">
        <f>D41</f>
        <v>181991</v>
      </c>
      <c r="F43" s="1823" t="s">
        <v>494</v>
      </c>
      <c r="G43" s="1824">
        <f>F41</f>
        <v>1474825</v>
      </c>
    </row>
    <row r="44" spans="1:7" ht="12" customHeight="1" x14ac:dyDescent="0.2">
      <c r="A44" s="987"/>
      <c r="B44" s="162"/>
      <c r="C44" s="1001"/>
      <c r="D44" s="1823" t="s">
        <v>493</v>
      </c>
      <c r="E44" s="1824">
        <f>E41</f>
        <v>12217489</v>
      </c>
      <c r="F44" s="1823" t="s">
        <v>493</v>
      </c>
      <c r="G44" s="1824">
        <f>G41</f>
        <v>10924655</v>
      </c>
    </row>
    <row r="45" spans="1:7" ht="12" customHeight="1" x14ac:dyDescent="0.2">
      <c r="A45" s="987"/>
      <c r="B45" s="162"/>
      <c r="C45" s="162"/>
      <c r="D45" s="1825" t="s">
        <v>1062</v>
      </c>
      <c r="E45" s="1826">
        <f>(E43/E44)</f>
        <v>1.4895941383700038E-2</v>
      </c>
      <c r="F45" s="1825" t="s">
        <v>1062</v>
      </c>
      <c r="G45" s="1826">
        <f>(G43/G44)</f>
        <v>0.13499968648895549</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25" t="s">
        <v>1445</v>
      </c>
      <c r="B1" s="2325"/>
      <c r="C1" s="2325"/>
      <c r="D1" s="2325"/>
      <c r="E1" s="2325"/>
      <c r="F1" s="2325"/>
    </row>
    <row r="2" spans="1:10" x14ac:dyDescent="0.2">
      <c r="A2" s="1903" t="s">
        <v>2044</v>
      </c>
      <c r="B2" s="1864"/>
      <c r="C2" s="1903"/>
      <c r="D2" s="1864"/>
      <c r="E2" s="1864"/>
      <c r="F2" s="1865"/>
    </row>
    <row r="3" spans="1:10" x14ac:dyDescent="0.2">
      <c r="A3" s="1903" t="s">
        <v>1699</v>
      </c>
      <c r="B3" s="1864"/>
      <c r="C3" s="1903"/>
      <c r="D3" s="1864"/>
      <c r="E3" s="1864"/>
      <c r="F3" s="1865"/>
    </row>
    <row r="4" spans="1:10" ht="3.75" customHeight="1" x14ac:dyDescent="0.2">
      <c r="A4" s="1864"/>
      <c r="B4" s="1864"/>
      <c r="C4" s="1864"/>
      <c r="D4" s="1864"/>
      <c r="E4" s="1864"/>
      <c r="F4" s="1865"/>
    </row>
    <row r="5" spans="1:10" ht="15" x14ac:dyDescent="0.25">
      <c r="A5" s="2326" t="s">
        <v>1626</v>
      </c>
      <c r="B5" s="2327"/>
      <c r="C5" s="2328"/>
      <c r="D5" s="2328"/>
      <c r="E5" s="2328"/>
      <c r="F5" s="2328"/>
    </row>
    <row r="6" spans="1:10" ht="12" customHeight="1" x14ac:dyDescent="0.25">
      <c r="A6" s="1866"/>
      <c r="B6" s="1867"/>
      <c r="C6" s="2329" t="str">
        <f>COVER!A17</f>
        <v>Vandalia CUSD 203</v>
      </c>
      <c r="D6" s="2329"/>
      <c r="E6" s="2329"/>
      <c r="F6" s="1868"/>
    </row>
    <row r="7" spans="1:10" ht="11.25" customHeight="1" thickBot="1" x14ac:dyDescent="0.3">
      <c r="A7" s="1866"/>
      <c r="B7" s="1867"/>
      <c r="C7" s="2330">
        <f>COVER!A13</f>
        <v>3026203026</v>
      </c>
      <c r="D7" s="2330"/>
      <c r="E7" s="2330"/>
      <c r="F7" s="1868"/>
    </row>
    <row r="8" spans="1:10" ht="25.5" customHeight="1" thickBot="1" x14ac:dyDescent="0.25">
      <c r="A8" s="1909" t="s">
        <v>2021</v>
      </c>
      <c r="B8" s="1869"/>
      <c r="C8" s="1905" t="s">
        <v>1779</v>
      </c>
      <c r="D8" s="1904" t="s">
        <v>1780</v>
      </c>
      <c r="E8" s="1906" t="s">
        <v>1446</v>
      </c>
      <c r="F8" s="1904" t="s">
        <v>1781</v>
      </c>
      <c r="H8" s="1870" t="b">
        <v>0</v>
      </c>
    </row>
    <row r="9" spans="1:10" ht="15.75" customHeight="1" x14ac:dyDescent="0.2">
      <c r="A9" s="1871" t="s">
        <v>1622</v>
      </c>
      <c r="B9" s="1872"/>
      <c r="C9" s="1873"/>
      <c r="D9" s="1873"/>
      <c r="E9" s="1874"/>
      <c r="F9" s="1875"/>
    </row>
    <row r="10" spans="1:10" ht="27.75" customHeight="1" x14ac:dyDescent="0.2">
      <c r="A10" s="1876" t="s">
        <v>1778</v>
      </c>
      <c r="B10" s="1877"/>
      <c r="C10" s="1878"/>
      <c r="D10" s="1878"/>
      <c r="E10" s="1907" t="s">
        <v>1447</v>
      </c>
      <c r="F10" s="1908" t="s">
        <v>1448</v>
      </c>
    </row>
    <row r="11" spans="1:10" ht="12" customHeight="1" x14ac:dyDescent="0.2">
      <c r="A11" s="1879" t="s">
        <v>1449</v>
      </c>
      <c r="B11" s="1880"/>
      <c r="C11" s="1881"/>
      <c r="D11" s="1881"/>
      <c r="E11" s="1882"/>
      <c r="F11" s="1883"/>
      <c r="H11" s="1894">
        <f>IF(C11="X",5,0)</f>
        <v>0</v>
      </c>
      <c r="I11" s="1894">
        <f>IF(D11="X",5,0)</f>
        <v>0</v>
      </c>
      <c r="J11" s="1894">
        <f>IF(E11="X",5,0)</f>
        <v>0</v>
      </c>
    </row>
    <row r="12" spans="1:10" ht="12" customHeight="1" x14ac:dyDescent="0.2">
      <c r="A12" s="1879" t="s">
        <v>1450</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1451</v>
      </c>
      <c r="B13" s="1880"/>
      <c r="C13" s="1881" t="s">
        <v>2149</v>
      </c>
      <c r="D13" s="1881" t="s">
        <v>2149</v>
      </c>
      <c r="E13" s="1884" t="s">
        <v>2149</v>
      </c>
      <c r="F13" s="1883" t="s">
        <v>2158</v>
      </c>
      <c r="H13" s="1894">
        <f t="shared" si="0"/>
        <v>5</v>
      </c>
      <c r="I13" s="1894">
        <f t="shared" si="1"/>
        <v>5</v>
      </c>
      <c r="J13" s="1894">
        <f t="shared" si="2"/>
        <v>5</v>
      </c>
    </row>
    <row r="14" spans="1:10" ht="12" customHeight="1" x14ac:dyDescent="0.2">
      <c r="A14" s="1879" t="s">
        <v>1452</v>
      </c>
      <c r="B14" s="1880"/>
      <c r="C14" s="1881"/>
      <c r="D14" s="1881"/>
      <c r="E14" s="1884"/>
      <c r="F14" s="1883"/>
      <c r="H14" s="1894">
        <f t="shared" si="0"/>
        <v>0</v>
      </c>
      <c r="I14" s="1894">
        <f t="shared" si="1"/>
        <v>0</v>
      </c>
      <c r="J14" s="1894">
        <f t="shared" si="2"/>
        <v>0</v>
      </c>
    </row>
    <row r="15" spans="1:10" ht="12" customHeight="1" x14ac:dyDescent="0.2">
      <c r="A15" s="1879" t="s">
        <v>1453</v>
      </c>
      <c r="B15" s="1880"/>
      <c r="C15" s="1881"/>
      <c r="D15" s="1881"/>
      <c r="E15" s="1884"/>
      <c r="F15" s="1883"/>
      <c r="H15" s="1894">
        <f t="shared" si="0"/>
        <v>0</v>
      </c>
      <c r="I15" s="1894">
        <f t="shared" si="1"/>
        <v>0</v>
      </c>
      <c r="J15" s="1894">
        <f t="shared" si="2"/>
        <v>0</v>
      </c>
    </row>
    <row r="16" spans="1:10" ht="12" customHeight="1" x14ac:dyDescent="0.2">
      <c r="A16" s="1879" t="s">
        <v>1454</v>
      </c>
      <c r="B16" s="1880"/>
      <c r="C16" s="1881"/>
      <c r="D16" s="1881"/>
      <c r="E16" s="1884"/>
      <c r="F16" s="1883"/>
      <c r="H16" s="1894">
        <f t="shared" si="0"/>
        <v>0</v>
      </c>
      <c r="I16" s="1894">
        <f t="shared" si="1"/>
        <v>0</v>
      </c>
      <c r="J16" s="1894">
        <f t="shared" si="2"/>
        <v>0</v>
      </c>
    </row>
    <row r="17" spans="1:12" ht="12" customHeight="1" x14ac:dyDescent="0.2">
      <c r="A17" s="1879" t="s">
        <v>1455</v>
      </c>
      <c r="B17" s="1880"/>
      <c r="C17" s="1881"/>
      <c r="D17" s="1881"/>
      <c r="E17" s="1884"/>
      <c r="F17" s="1883"/>
      <c r="H17" s="1894">
        <f t="shared" si="0"/>
        <v>0</v>
      </c>
      <c r="I17" s="1894">
        <f t="shared" si="1"/>
        <v>0</v>
      </c>
      <c r="J17" s="1894">
        <f t="shared" si="2"/>
        <v>0</v>
      </c>
    </row>
    <row r="18" spans="1:12" ht="12" customHeight="1" x14ac:dyDescent="0.2">
      <c r="A18" s="1879" t="s">
        <v>1456</v>
      </c>
      <c r="B18" s="1880"/>
      <c r="C18" s="1881"/>
      <c r="D18" s="1881"/>
      <c r="E18" s="1884"/>
      <c r="F18" s="1883"/>
      <c r="H18" s="1894">
        <f t="shared" si="0"/>
        <v>0</v>
      </c>
      <c r="I18" s="1894">
        <f t="shared" si="1"/>
        <v>0</v>
      </c>
      <c r="J18" s="1894">
        <f t="shared" si="2"/>
        <v>0</v>
      </c>
    </row>
    <row r="19" spans="1:12" ht="12" customHeight="1" x14ac:dyDescent="0.2">
      <c r="A19" s="1879" t="s">
        <v>1607</v>
      </c>
      <c r="B19" s="1880"/>
      <c r="C19" s="1881"/>
      <c r="D19" s="1881"/>
      <c r="E19" s="1884"/>
      <c r="F19" s="1883"/>
      <c r="H19" s="1894">
        <f t="shared" si="0"/>
        <v>0</v>
      </c>
      <c r="I19" s="1894">
        <f t="shared" si="1"/>
        <v>0</v>
      </c>
      <c r="J19" s="1894">
        <f t="shared" si="2"/>
        <v>0</v>
      </c>
    </row>
    <row r="20" spans="1:12" ht="12" customHeight="1" x14ac:dyDescent="0.2">
      <c r="A20" s="1879" t="s">
        <v>1608</v>
      </c>
      <c r="B20" s="1880"/>
      <c r="C20" s="1881"/>
      <c r="D20" s="1881"/>
      <c r="E20" s="1884"/>
      <c r="F20" s="1883"/>
      <c r="H20" s="1894">
        <f t="shared" si="0"/>
        <v>0</v>
      </c>
      <c r="I20" s="1894">
        <f t="shared" si="1"/>
        <v>0</v>
      </c>
      <c r="J20" s="1894">
        <f t="shared" si="2"/>
        <v>0</v>
      </c>
    </row>
    <row r="21" spans="1:12" ht="12" customHeight="1" x14ac:dyDescent="0.2">
      <c r="A21" s="1879" t="s">
        <v>1609</v>
      </c>
      <c r="B21" s="1880"/>
      <c r="C21" s="1881"/>
      <c r="D21" s="1881"/>
      <c r="E21" s="1884"/>
      <c r="F21" s="1883"/>
      <c r="H21" s="1894">
        <f t="shared" si="0"/>
        <v>0</v>
      </c>
      <c r="I21" s="1894">
        <f t="shared" si="1"/>
        <v>0</v>
      </c>
      <c r="J21" s="1894">
        <f t="shared" si="2"/>
        <v>0</v>
      </c>
    </row>
    <row r="22" spans="1:12" ht="12" customHeight="1" x14ac:dyDescent="0.2">
      <c r="A22" s="1879" t="s">
        <v>1610</v>
      </c>
      <c r="B22" s="1880"/>
      <c r="C22" s="1881"/>
      <c r="D22" s="1881"/>
      <c r="E22" s="1884"/>
      <c r="F22" s="1883"/>
      <c r="H22" s="1894">
        <f t="shared" si="0"/>
        <v>0</v>
      </c>
      <c r="I22" s="1894">
        <f t="shared" si="1"/>
        <v>0</v>
      </c>
      <c r="J22" s="1894">
        <f t="shared" si="2"/>
        <v>0</v>
      </c>
    </row>
    <row r="23" spans="1:12" ht="12" customHeight="1" x14ac:dyDescent="0.2">
      <c r="A23" s="1879" t="s">
        <v>1611</v>
      </c>
      <c r="B23" s="1880"/>
      <c r="C23" s="1881"/>
      <c r="D23" s="1881"/>
      <c r="E23" s="1884"/>
      <c r="F23" s="1883"/>
      <c r="H23" s="1894">
        <f t="shared" si="0"/>
        <v>0</v>
      </c>
      <c r="I23" s="1894">
        <f t="shared" si="1"/>
        <v>0</v>
      </c>
      <c r="J23" s="1894">
        <f t="shared" si="2"/>
        <v>0</v>
      </c>
    </row>
    <row r="24" spans="1:12" ht="12" customHeight="1" x14ac:dyDescent="0.2">
      <c r="A24" s="1879" t="s">
        <v>1612</v>
      </c>
      <c r="B24" s="1880"/>
      <c r="C24" s="1881" t="s">
        <v>2149</v>
      </c>
      <c r="D24" s="1881"/>
      <c r="E24" s="1884"/>
      <c r="F24" s="1883" t="s">
        <v>2159</v>
      </c>
      <c r="H24" s="1894">
        <f t="shared" si="0"/>
        <v>5</v>
      </c>
      <c r="I24" s="1894">
        <f t="shared" si="1"/>
        <v>0</v>
      </c>
      <c r="J24" s="1894">
        <f t="shared" si="2"/>
        <v>0</v>
      </c>
    </row>
    <row r="25" spans="1:12" ht="12" customHeight="1" x14ac:dyDescent="0.2">
      <c r="A25" s="1879" t="s">
        <v>1613</v>
      </c>
      <c r="B25" s="1880"/>
      <c r="C25" s="1881" t="s">
        <v>2149</v>
      </c>
      <c r="D25" s="1881" t="s">
        <v>2149</v>
      </c>
      <c r="E25" s="1884" t="s">
        <v>2149</v>
      </c>
      <c r="F25" s="1883" t="s">
        <v>2160</v>
      </c>
      <c r="H25" s="1894">
        <f t="shared" si="0"/>
        <v>5</v>
      </c>
      <c r="I25" s="1894">
        <f t="shared" si="1"/>
        <v>5</v>
      </c>
      <c r="J25" s="1894">
        <f t="shared" si="2"/>
        <v>5</v>
      </c>
    </row>
    <row r="26" spans="1:12" ht="12" customHeight="1" x14ac:dyDescent="0.2">
      <c r="A26" s="1879" t="s">
        <v>1614</v>
      </c>
      <c r="B26" s="1880"/>
      <c r="C26" s="1881" t="s">
        <v>2149</v>
      </c>
      <c r="D26" s="1881" t="s">
        <v>2149</v>
      </c>
      <c r="E26" s="1884" t="s">
        <v>2149</v>
      </c>
      <c r="F26" s="1883" t="s">
        <v>2161</v>
      </c>
      <c r="H26" s="1894">
        <f t="shared" si="0"/>
        <v>5</v>
      </c>
      <c r="I26" s="1894">
        <f t="shared" si="1"/>
        <v>5</v>
      </c>
      <c r="J26" s="1894">
        <f t="shared" si="2"/>
        <v>5</v>
      </c>
    </row>
    <row r="27" spans="1:12" ht="18.75" x14ac:dyDescent="0.2">
      <c r="A27" s="1879" t="s">
        <v>1615</v>
      </c>
      <c r="B27" s="1880"/>
      <c r="C27" s="1881"/>
      <c r="D27" s="1881"/>
      <c r="E27" s="1884"/>
      <c r="F27" s="1883"/>
      <c r="H27" s="1894">
        <f t="shared" si="0"/>
        <v>0</v>
      </c>
      <c r="I27" s="1894">
        <f t="shared" si="1"/>
        <v>0</v>
      </c>
      <c r="J27" s="1894">
        <f t="shared" si="2"/>
        <v>0</v>
      </c>
    </row>
    <row r="28" spans="1:12" ht="12" customHeight="1" x14ac:dyDescent="0.2">
      <c r="A28" s="1879" t="s">
        <v>1616</v>
      </c>
      <c r="B28" s="1880"/>
      <c r="C28" s="1881"/>
      <c r="D28" s="1881"/>
      <c r="E28" s="1884"/>
      <c r="F28" s="1883"/>
      <c r="H28" s="1894">
        <f t="shared" si="0"/>
        <v>0</v>
      </c>
      <c r="I28" s="1894">
        <f t="shared" si="1"/>
        <v>0</v>
      </c>
      <c r="J28" s="1894">
        <f t="shared" si="2"/>
        <v>0</v>
      </c>
    </row>
    <row r="29" spans="1:12" ht="12" customHeight="1" x14ac:dyDescent="0.2">
      <c r="A29" s="1879" t="s">
        <v>1617</v>
      </c>
      <c r="B29" s="1880"/>
      <c r="C29" s="1881"/>
      <c r="D29" s="1881"/>
      <c r="E29" s="1884"/>
      <c r="F29" s="1883"/>
      <c r="H29" s="1894">
        <f t="shared" si="0"/>
        <v>0</v>
      </c>
      <c r="I29" s="1894">
        <f t="shared" si="1"/>
        <v>0</v>
      </c>
      <c r="J29" s="1894">
        <f t="shared" si="2"/>
        <v>0</v>
      </c>
    </row>
    <row r="30" spans="1:12" ht="12" customHeight="1" x14ac:dyDescent="0.2">
      <c r="A30" s="1879" t="s">
        <v>1618</v>
      </c>
      <c r="B30" s="1880"/>
      <c r="C30" s="1881" t="s">
        <v>2149</v>
      </c>
      <c r="D30" s="1881" t="s">
        <v>2149</v>
      </c>
      <c r="E30" s="1884" t="s">
        <v>2149</v>
      </c>
      <c r="F30" s="1883" t="s">
        <v>2162</v>
      </c>
      <c r="H30" s="1894">
        <f t="shared" si="0"/>
        <v>5</v>
      </c>
      <c r="I30" s="1894">
        <f t="shared" si="1"/>
        <v>5</v>
      </c>
      <c r="J30" s="1894">
        <f t="shared" si="2"/>
        <v>5</v>
      </c>
    </row>
    <row r="31" spans="1:12" ht="12" customHeight="1" x14ac:dyDescent="0.2">
      <c r="A31" s="1879" t="s">
        <v>1619</v>
      </c>
      <c r="B31" s="1880"/>
      <c r="C31" s="1881" t="s">
        <v>2149</v>
      </c>
      <c r="D31" s="1881" t="s">
        <v>2149</v>
      </c>
      <c r="E31" s="1884" t="s">
        <v>2149</v>
      </c>
      <c r="F31" s="1883" t="s">
        <v>2163</v>
      </c>
      <c r="H31" s="1894">
        <f t="shared" si="0"/>
        <v>5</v>
      </c>
      <c r="I31" s="1894">
        <f t="shared" si="1"/>
        <v>5</v>
      </c>
      <c r="J31" s="1894">
        <f t="shared" si="2"/>
        <v>5</v>
      </c>
      <c r="L31" s="1885"/>
    </row>
    <row r="32" spans="1:12" ht="12" customHeight="1" x14ac:dyDescent="0.2">
      <c r="A32" s="1879" t="s">
        <v>1620</v>
      </c>
      <c r="B32" s="1880"/>
      <c r="C32" s="1881"/>
      <c r="D32" s="1881"/>
      <c r="E32" s="1884"/>
      <c r="F32" s="1883"/>
      <c r="H32" s="1894">
        <f t="shared" si="0"/>
        <v>0</v>
      </c>
      <c r="I32" s="1894">
        <f t="shared" si="1"/>
        <v>0</v>
      </c>
      <c r="J32" s="1894">
        <f t="shared" si="2"/>
        <v>0</v>
      </c>
    </row>
    <row r="33" spans="1:11" ht="12" customHeight="1" x14ac:dyDescent="0.2">
      <c r="A33" s="1879" t="s">
        <v>1621</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30</v>
      </c>
      <c r="I34" s="1894">
        <f>SUM(I11:I32)</f>
        <v>25</v>
      </c>
      <c r="J34" s="1894">
        <f>SUM(J11:J32)</f>
        <v>25</v>
      </c>
      <c r="K34" s="1894">
        <f>SUM(H34:J34)</f>
        <v>80</v>
      </c>
    </row>
    <row r="35" spans="1:11" ht="12" customHeight="1" x14ac:dyDescent="0.2">
      <c r="A35" s="1887" t="s">
        <v>1458</v>
      </c>
      <c r="B35" s="1888"/>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89"/>
      <c r="B39" s="1889"/>
      <c r="C39" s="1889"/>
      <c r="D39" s="1889"/>
      <c r="E39" s="1889"/>
      <c r="F39" s="1889"/>
    </row>
    <row r="40" spans="1:11" s="1886" customFormat="1" ht="12" customHeight="1" x14ac:dyDescent="0.25">
      <c r="A40" s="1890" t="s">
        <v>1457</v>
      </c>
      <c r="B40" s="1891"/>
      <c r="C40" s="2320"/>
      <c r="D40" s="2320"/>
      <c r="E40" s="2320"/>
      <c r="F40" s="2321"/>
      <c r="H40" s="1895"/>
      <c r="I40" s="1895"/>
      <c r="J40" s="1895"/>
      <c r="K40" s="1895"/>
    </row>
    <row r="41" spans="1:11" s="1886" customFormat="1" ht="12" customHeight="1" x14ac:dyDescent="0.25">
      <c r="A41" s="2322"/>
      <c r="B41" s="2323"/>
      <c r="C41" s="2323"/>
      <c r="D41" s="2323"/>
      <c r="E41" s="2323"/>
      <c r="F41" s="2324"/>
      <c r="H41" s="1895"/>
      <c r="I41" s="1895"/>
      <c r="J41" s="1895"/>
      <c r="K41" s="1895"/>
    </row>
    <row r="42" spans="1:11" s="1886" customFormat="1" ht="12" customHeight="1" x14ac:dyDescent="0.25">
      <c r="A42" s="2322"/>
      <c r="B42" s="2323"/>
      <c r="C42" s="2323"/>
      <c r="D42" s="2323"/>
      <c r="E42" s="2323"/>
      <c r="F42" s="2324"/>
      <c r="H42" s="1895"/>
      <c r="I42" s="1895"/>
      <c r="J42" s="1895"/>
      <c r="K42" s="1895"/>
    </row>
    <row r="43" spans="1:11" s="1886" customFormat="1" ht="15" x14ac:dyDescent="0.25">
      <c r="A43" s="2311"/>
      <c r="B43" s="2312"/>
      <c r="C43" s="2312"/>
      <c r="D43" s="2312"/>
      <c r="E43" s="2312"/>
      <c r="F43" s="2313"/>
      <c r="H43" s="1895"/>
      <c r="I43" s="1895"/>
      <c r="J43" s="1895"/>
      <c r="K43" s="1895"/>
    </row>
    <row r="44" spans="1:11" s="1886" customFormat="1" ht="12" hidden="1" customHeight="1" x14ac:dyDescent="0.25">
      <c r="A44" s="2311"/>
      <c r="B44" s="2312"/>
      <c r="C44" s="2312"/>
      <c r="D44" s="2312"/>
      <c r="E44" s="2312"/>
      <c r="F44" s="2313"/>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0" t="s">
        <v>692</v>
      </c>
      <c r="B6" s="1661"/>
      <c r="C6" s="1661"/>
      <c r="D6" s="1661"/>
      <c r="E6" s="1662"/>
      <c r="F6" s="1015"/>
      <c r="G6" s="1009"/>
      <c r="H6" s="1016" t="s">
        <v>1085</v>
      </c>
      <c r="I6" s="2338" t="str">
        <f>COVER!A17</f>
        <v>Vandalia CUSD 203</v>
      </c>
      <c r="J6" s="2339"/>
      <c r="Q6" s="1680"/>
    </row>
    <row r="7" spans="1:17" x14ac:dyDescent="0.2">
      <c r="A7" s="2340" t="s">
        <v>923</v>
      </c>
      <c r="B7" s="2341"/>
      <c r="C7" s="2341"/>
      <c r="D7" s="2341"/>
      <c r="E7" s="2342"/>
      <c r="F7" s="1017"/>
      <c r="G7" s="1009"/>
      <c r="H7" s="1016" t="s">
        <v>389</v>
      </c>
      <c r="I7" s="2343">
        <f>COVER!A13</f>
        <v>3026203026</v>
      </c>
      <c r="J7" s="2343"/>
    </row>
    <row r="8" spans="1:17" ht="8.25" customHeight="1" x14ac:dyDescent="0.2">
      <c r="A8" s="1663"/>
      <c r="B8" s="1664"/>
      <c r="C8" s="1664"/>
      <c r="D8" s="1664"/>
      <c r="E8" s="1665"/>
      <c r="F8" s="1018"/>
      <c r="G8" s="1019"/>
      <c r="H8" s="1019"/>
      <c r="I8" s="1019"/>
      <c r="J8" s="1019"/>
    </row>
    <row r="9" spans="1:17" ht="13.5" customHeight="1" x14ac:dyDescent="0.2">
      <c r="A9" s="1020"/>
      <c r="B9" s="1021"/>
      <c r="C9" s="1021"/>
      <c r="D9" s="1022"/>
      <c r="E9" s="1911" t="s">
        <v>1700</v>
      </c>
      <c r="F9" s="1023"/>
      <c r="G9" s="1023"/>
      <c r="H9" s="1912"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44" t="s">
        <v>501</v>
      </c>
      <c r="B11" s="2345"/>
      <c r="C11" s="2346"/>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27">
        <f>'Expenditures 15-22'!K50</f>
        <v>212601</v>
      </c>
      <c r="F12" s="1039"/>
      <c r="G12" s="1827">
        <f t="shared" ref="G12:G18" si="0">SUM(E12:F12)</f>
        <v>212601</v>
      </c>
      <c r="H12" s="1040">
        <v>218978</v>
      </c>
      <c r="I12" s="1039"/>
      <c r="J12" s="1827">
        <f t="shared" ref="J12:J18" si="1">SUM(H12:I12)</f>
        <v>218978</v>
      </c>
    </row>
    <row r="13" spans="1:17" ht="15" customHeight="1" x14ac:dyDescent="0.2">
      <c r="A13" s="1035">
        <v>2</v>
      </c>
      <c r="B13" s="1036" t="s">
        <v>44</v>
      </c>
      <c r="C13" s="1037"/>
      <c r="D13" s="1038">
        <v>2330</v>
      </c>
      <c r="E13" s="1827">
        <f>'Expenditures 15-22'!K51</f>
        <v>79489</v>
      </c>
      <c r="F13" s="1039"/>
      <c r="G13" s="1827">
        <f t="shared" si="0"/>
        <v>79489</v>
      </c>
      <c r="H13" s="1040">
        <v>81873</v>
      </c>
      <c r="I13" s="1039"/>
      <c r="J13" s="1827">
        <f t="shared" si="1"/>
        <v>81873</v>
      </c>
    </row>
    <row r="14" spans="1:17" ht="15" customHeight="1" x14ac:dyDescent="0.2">
      <c r="A14" s="1035">
        <v>3</v>
      </c>
      <c r="B14" s="1036" t="s">
        <v>45</v>
      </c>
      <c r="C14" s="1037"/>
      <c r="D14" s="1041">
        <v>2490</v>
      </c>
      <c r="E14" s="1827">
        <f>'Expenditures 15-22'!K56</f>
        <v>0</v>
      </c>
      <c r="F14" s="1039"/>
      <c r="G14" s="1827">
        <f t="shared" si="0"/>
        <v>0</v>
      </c>
      <c r="H14" s="1040"/>
      <c r="I14" s="1039"/>
      <c r="J14" s="1827">
        <f t="shared" si="1"/>
        <v>0</v>
      </c>
    </row>
    <row r="15" spans="1:17" ht="15" customHeight="1" x14ac:dyDescent="0.2">
      <c r="A15" s="1035">
        <v>4</v>
      </c>
      <c r="B15" s="1036" t="s">
        <v>1127</v>
      </c>
      <c r="C15" s="1037"/>
      <c r="D15" s="1038">
        <v>2510</v>
      </c>
      <c r="E15" s="1827">
        <f>'Expenditures 15-22'!K59</f>
        <v>0</v>
      </c>
      <c r="F15" s="1827">
        <f>'Expenditures 15-22'!K122</f>
        <v>0</v>
      </c>
      <c r="G15" s="1827">
        <f t="shared" si="0"/>
        <v>0</v>
      </c>
      <c r="H15" s="1040"/>
      <c r="I15" s="1040"/>
      <c r="J15" s="1827">
        <f t="shared" si="1"/>
        <v>0</v>
      </c>
    </row>
    <row r="16" spans="1:17" ht="15" customHeight="1" x14ac:dyDescent="0.2">
      <c r="A16" s="1035">
        <v>5</v>
      </c>
      <c r="B16" s="1036" t="s">
        <v>103</v>
      </c>
      <c r="C16" s="1037"/>
      <c r="D16" s="1038">
        <v>2570</v>
      </c>
      <c r="E16" s="1827">
        <f>'Expenditures 15-22'!K64</f>
        <v>0</v>
      </c>
      <c r="F16" s="1039"/>
      <c r="G16" s="1827">
        <f t="shared" si="0"/>
        <v>0</v>
      </c>
      <c r="H16" s="1040"/>
      <c r="I16" s="1039"/>
      <c r="J16" s="1827">
        <f t="shared" si="1"/>
        <v>0</v>
      </c>
    </row>
    <row r="17" spans="1:10" ht="15" customHeight="1" x14ac:dyDescent="0.2">
      <c r="A17" s="1035">
        <v>6</v>
      </c>
      <c r="B17" s="1036" t="s">
        <v>1119</v>
      </c>
      <c r="C17" s="1037"/>
      <c r="D17" s="1038">
        <v>2610</v>
      </c>
      <c r="E17" s="1827">
        <f>'Expenditures 15-22'!K67</f>
        <v>0</v>
      </c>
      <c r="F17" s="1039"/>
      <c r="G17" s="1827">
        <f t="shared" si="0"/>
        <v>0</v>
      </c>
      <c r="H17" s="1040"/>
      <c r="I17" s="1039"/>
      <c r="J17" s="1827">
        <f t="shared" si="1"/>
        <v>0</v>
      </c>
    </row>
    <row r="18" spans="1:10" ht="22.5" customHeight="1" x14ac:dyDescent="0.2">
      <c r="A18" s="1042">
        <v>7</v>
      </c>
      <c r="B18" s="2347" t="s">
        <v>7</v>
      </c>
      <c r="C18" s="2348"/>
      <c r="D18" s="2349"/>
      <c r="E18" s="1043"/>
      <c r="F18" s="1043"/>
      <c r="G18" s="1828">
        <f t="shared" si="0"/>
        <v>0</v>
      </c>
      <c r="H18" s="1040"/>
      <c r="I18" s="1040"/>
      <c r="J18" s="1827">
        <f t="shared" si="1"/>
        <v>0</v>
      </c>
    </row>
    <row r="19" spans="1:10" ht="12.75" customHeight="1" thickBot="1" x14ac:dyDescent="0.25">
      <c r="A19" s="1035">
        <v>8</v>
      </c>
      <c r="B19" s="1044" t="s">
        <v>1222</v>
      </c>
      <c r="D19" s="1045"/>
      <c r="E19" s="1829">
        <f t="shared" ref="E19:J19" si="2">SUM(E12:E17)-E18</f>
        <v>292090</v>
      </c>
      <c r="F19" s="1829">
        <f t="shared" si="2"/>
        <v>0</v>
      </c>
      <c r="G19" s="1829">
        <f t="shared" si="2"/>
        <v>292090</v>
      </c>
      <c r="H19" s="1829">
        <f t="shared" si="2"/>
        <v>300851</v>
      </c>
      <c r="I19" s="1829">
        <f t="shared" si="2"/>
        <v>0</v>
      </c>
      <c r="J19" s="1829">
        <f t="shared" si="2"/>
        <v>300851</v>
      </c>
    </row>
    <row r="20" spans="1:10" ht="13.5" thickTop="1" x14ac:dyDescent="0.2">
      <c r="A20" s="1035">
        <v>9</v>
      </c>
      <c r="B20" s="2350" t="s">
        <v>1702</v>
      </c>
      <c r="C20" s="2350"/>
      <c r="D20" s="2351"/>
      <c r="E20" s="1046"/>
      <c r="F20" s="1046"/>
      <c r="G20" s="1046"/>
      <c r="H20" s="1046"/>
      <c r="I20" s="1046"/>
      <c r="J20" s="1830">
        <f>IF(AND(G19&gt;0,J19&gt;0),(((J19-G19)/G19)),"Enter Budget Data")</f>
        <v>2.9994179876065598E-2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1092</v>
      </c>
      <c r="D27" s="1052"/>
      <c r="E27" s="1053"/>
      <c r="F27" s="2352" t="s">
        <v>1588</v>
      </c>
      <c r="G27" s="2352"/>
    </row>
    <row r="28" spans="1:10" ht="28.5" customHeight="1" x14ac:dyDescent="0.2">
      <c r="B28" s="1047"/>
      <c r="C28" s="2354"/>
      <c r="D28" s="2354"/>
      <c r="E28" s="1054"/>
      <c r="F28" s="2354"/>
      <c r="G28" s="2354"/>
    </row>
    <row r="29" spans="1:10" x14ac:dyDescent="0.2">
      <c r="B29" s="1047"/>
      <c r="C29" s="1055" t="s">
        <v>1641</v>
      </c>
      <c r="E29" s="1056"/>
      <c r="F29" s="2353" t="s">
        <v>1589</v>
      </c>
      <c r="G29" s="2353"/>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1940</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936</v>
      </c>
      <c r="D39" s="2334"/>
      <c r="E39" s="2334"/>
      <c r="F39" s="2334"/>
      <c r="G39" s="2334"/>
      <c r="H39" s="2334"/>
      <c r="I39" s="2334"/>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9"/>
  <sheetViews>
    <sheetView showGridLines="0" topLeftCell="A13" zoomScale="110" zoomScaleNormal="110" workbookViewId="0">
      <selection activeCell="C42" sqref="C42"/>
    </sheetView>
  </sheetViews>
  <sheetFormatPr defaultColWidth="9.140625" defaultRowHeight="12.75" x14ac:dyDescent="0.2"/>
  <cols>
    <col min="1" max="2" width="3" style="329" customWidth="1"/>
    <col min="3" max="3" width="82" style="329" customWidth="1"/>
    <col min="4" max="16384" width="9.140625" style="329"/>
  </cols>
  <sheetData>
    <row r="2" spans="1:3" x14ac:dyDescent="0.2">
      <c r="A2" s="389" t="s">
        <v>276</v>
      </c>
    </row>
    <row r="3" spans="1:3" x14ac:dyDescent="0.2">
      <c r="A3" s="329" t="s">
        <v>277</v>
      </c>
    </row>
    <row r="5" spans="1:3" x14ac:dyDescent="0.2">
      <c r="A5" s="1068" t="s">
        <v>2170</v>
      </c>
    </row>
    <row r="6" spans="1:3" x14ac:dyDescent="0.2">
      <c r="A6" s="1068"/>
      <c r="B6" s="329" t="s">
        <v>1218</v>
      </c>
    </row>
    <row r="7" spans="1:3" x14ac:dyDescent="0.2">
      <c r="A7" s="1068"/>
      <c r="C7" s="329" t="s">
        <v>2171</v>
      </c>
    </row>
    <row r="8" spans="1:3" x14ac:dyDescent="0.2">
      <c r="A8" s="1068"/>
    </row>
    <row r="9" spans="1:3" x14ac:dyDescent="0.2">
      <c r="A9" s="1068" t="s">
        <v>2192</v>
      </c>
    </row>
    <row r="10" spans="1:3" x14ac:dyDescent="0.2">
      <c r="A10" s="1068"/>
      <c r="B10" s="329" t="s">
        <v>2193</v>
      </c>
    </row>
    <row r="11" spans="1:3" x14ac:dyDescent="0.2">
      <c r="A11" s="1068"/>
      <c r="C11" s="329" t="s">
        <v>2194</v>
      </c>
    </row>
    <row r="12" spans="1:3" x14ac:dyDescent="0.2">
      <c r="A12" s="1068"/>
    </row>
    <row r="13" spans="1:3" x14ac:dyDescent="0.2">
      <c r="A13" s="1068" t="s">
        <v>2172</v>
      </c>
    </row>
    <row r="14" spans="1:3" x14ac:dyDescent="0.2">
      <c r="A14" s="1068"/>
      <c r="B14" s="329" t="s">
        <v>66</v>
      </c>
    </row>
    <row r="15" spans="1:3" x14ac:dyDescent="0.2">
      <c r="A15" s="1068"/>
      <c r="C15" s="329" t="s">
        <v>2173</v>
      </c>
    </row>
    <row r="16" spans="1:3" x14ac:dyDescent="0.2">
      <c r="A16" s="1068"/>
    </row>
    <row r="17" spans="1:3" x14ac:dyDescent="0.2">
      <c r="A17" s="1068" t="s">
        <v>2174</v>
      </c>
    </row>
    <row r="18" spans="1:3" x14ac:dyDescent="0.2">
      <c r="A18" s="1068"/>
      <c r="B18" s="329" t="s">
        <v>66</v>
      </c>
    </row>
    <row r="19" spans="1:3" x14ac:dyDescent="0.2">
      <c r="A19" s="1068"/>
      <c r="C19" s="329" t="s">
        <v>2175</v>
      </c>
    </row>
    <row r="20" spans="1:3" x14ac:dyDescent="0.2">
      <c r="A20" s="1068"/>
      <c r="B20" s="329" t="s">
        <v>6</v>
      </c>
    </row>
    <row r="21" spans="1:3" x14ac:dyDescent="0.2">
      <c r="A21" s="1068"/>
      <c r="C21" s="329" t="s">
        <v>2176</v>
      </c>
    </row>
    <row r="22" spans="1:3" x14ac:dyDescent="0.2">
      <c r="A22" s="1068"/>
      <c r="B22" s="329" t="s">
        <v>358</v>
      </c>
    </row>
    <row r="23" spans="1:3" x14ac:dyDescent="0.2">
      <c r="A23" s="1068"/>
      <c r="C23" s="329" t="s">
        <v>2177</v>
      </c>
    </row>
    <row r="24" spans="1:3" x14ac:dyDescent="0.2">
      <c r="A24" s="1068"/>
      <c r="B24" s="329" t="s">
        <v>1218</v>
      </c>
    </row>
    <row r="25" spans="1:3" x14ac:dyDescent="0.2">
      <c r="A25" s="1068"/>
      <c r="C25" s="329" t="s">
        <v>2178</v>
      </c>
    </row>
    <row r="26" spans="1:3" x14ac:dyDescent="0.2">
      <c r="A26" s="1068"/>
      <c r="B26" s="329" t="s">
        <v>2179</v>
      </c>
    </row>
    <row r="27" spans="1:3" x14ac:dyDescent="0.2">
      <c r="A27" s="1068"/>
      <c r="C27" s="329" t="s">
        <v>2180</v>
      </c>
    </row>
    <row r="28" spans="1:3" x14ac:dyDescent="0.2">
      <c r="A28" s="1068"/>
    </row>
    <row r="29" spans="1:3" x14ac:dyDescent="0.2">
      <c r="A29" s="1068" t="s">
        <v>2181</v>
      </c>
    </row>
    <row r="30" spans="1:3" x14ac:dyDescent="0.2">
      <c r="A30" s="1068"/>
      <c r="B30" s="329" t="s">
        <v>66</v>
      </c>
    </row>
    <row r="31" spans="1:3" x14ac:dyDescent="0.2">
      <c r="A31" s="1068"/>
      <c r="C31" s="329" t="s">
        <v>2182</v>
      </c>
    </row>
    <row r="32" spans="1:3" x14ac:dyDescent="0.2">
      <c r="A32" s="1068"/>
    </row>
    <row r="33" spans="1:3" x14ac:dyDescent="0.2">
      <c r="A33" s="1068" t="s">
        <v>2183</v>
      </c>
    </row>
    <row r="34" spans="1:3" x14ac:dyDescent="0.2">
      <c r="A34" s="1068"/>
      <c r="B34" s="329" t="s">
        <v>2184</v>
      </c>
    </row>
    <row r="35" spans="1:3" x14ac:dyDescent="0.2">
      <c r="A35" s="1068"/>
      <c r="C35" s="329" t="s">
        <v>2185</v>
      </c>
    </row>
    <row r="36" spans="1:3" x14ac:dyDescent="0.2">
      <c r="A36" s="1068"/>
    </row>
    <row r="37" spans="1:3" x14ac:dyDescent="0.2">
      <c r="A37" s="1068" t="s">
        <v>2186</v>
      </c>
    </row>
    <row r="38" spans="1:3" x14ac:dyDescent="0.2">
      <c r="A38" s="1068"/>
      <c r="B38" s="329" t="s">
        <v>2187</v>
      </c>
    </row>
    <row r="39" spans="1:3" x14ac:dyDescent="0.2">
      <c r="A39" s="1068"/>
      <c r="B39" s="329" t="s">
        <v>2188</v>
      </c>
    </row>
    <row r="40" spans="1:3" x14ac:dyDescent="0.2">
      <c r="A40" s="1068"/>
    </row>
    <row r="41" spans="1:3" x14ac:dyDescent="0.2">
      <c r="A41" s="1068" t="s">
        <v>2189</v>
      </c>
    </row>
    <row r="42" spans="1:3" x14ac:dyDescent="0.2">
      <c r="A42" s="1068"/>
      <c r="B42" s="329" t="s">
        <v>2190</v>
      </c>
    </row>
    <row r="43" spans="1:3" x14ac:dyDescent="0.2">
      <c r="A43" s="1068"/>
    </row>
    <row r="44" spans="1:3" x14ac:dyDescent="0.2">
      <c r="A44" s="1068"/>
    </row>
    <row r="45" spans="1:3" x14ac:dyDescent="0.2">
      <c r="A45" s="1068"/>
    </row>
    <row r="46" spans="1:3" x14ac:dyDescent="0.2">
      <c r="A46" s="1068"/>
    </row>
    <row r="47" spans="1:3" x14ac:dyDescent="0.2">
      <c r="A47" s="1068"/>
    </row>
    <row r="48" spans="1:3"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row>
    <row r="68" spans="1:2" x14ac:dyDescent="0.2">
      <c r="A68" s="1068"/>
      <c r="B68" s="391" t="str">
        <f>COVER!A17</f>
        <v>Vandalia CUSD 203</v>
      </c>
    </row>
    <row r="69" spans="1:2" x14ac:dyDescent="0.2">
      <c r="B69" s="1958">
        <f>COVER!A13</f>
        <v>3026203026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2" t="s">
        <v>1708</v>
      </c>
    </row>
    <row r="23" spans="1:5" x14ac:dyDescent="0.2">
      <c r="A23" s="168"/>
      <c r="B23" s="162" t="s">
        <v>1965</v>
      </c>
      <c r="D23" s="167" t="s">
        <v>657</v>
      </c>
      <c r="E23" s="1852"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4" t="s">
        <v>1124</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714</v>
      </c>
      <c r="B40" s="2071"/>
      <c r="C40" s="2071"/>
      <c r="D40" s="2071"/>
      <c r="E40" s="2071"/>
    </row>
    <row r="41" spans="1:5" x14ac:dyDescent="0.2">
      <c r="A41" s="2072" t="s">
        <v>1705</v>
      </c>
      <c r="B41" s="2072"/>
      <c r="C41" s="2072"/>
      <c r="D41" s="2072"/>
      <c r="E41" s="2072"/>
    </row>
    <row r="42" spans="1:5" ht="12.75" customHeight="1" x14ac:dyDescent="0.2">
      <c r="A42" s="2073" t="s">
        <v>1079</v>
      </c>
      <c r="B42" s="2073"/>
      <c r="C42" s="2073"/>
      <c r="D42" s="2073"/>
      <c r="E42" s="2073"/>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J16" sqref="J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1572</v>
      </c>
    </row>
    <row r="15" spans="1:6" x14ac:dyDescent="0.2">
      <c r="A15" s="389" t="s">
        <v>911</v>
      </c>
    </row>
    <row r="16" spans="1:6" s="1069" customFormat="1" ht="45" customHeight="1" x14ac:dyDescent="0.2">
      <c r="A16" s="1071"/>
      <c r="B16" s="1071" t="s">
        <v>1782</v>
      </c>
    </row>
    <row r="17" spans="1:2" ht="6" customHeight="1" x14ac:dyDescent="0.2"/>
    <row r="18" spans="1:2" ht="24.75" customHeight="1" x14ac:dyDescent="0.2">
      <c r="A18" s="2357" t="s">
        <v>1783</v>
      </c>
      <c r="B18" s="2357"/>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104775</xdr:rowOff>
              </from>
              <to>
                <xdr:col>1</xdr:col>
                <xdr:colOff>914400</xdr:colOff>
                <xdr:row>4</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1000125</xdr:colOff>
                <xdr:row>0</xdr:row>
                <xdr:rowOff>104775</xdr:rowOff>
              </from>
              <to>
                <xdr:col>1</xdr:col>
                <xdr:colOff>1914525</xdr:colOff>
                <xdr:row>4</xdr:row>
                <xdr:rowOff>142875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3009900</xdr:colOff>
                <xdr:row>0</xdr:row>
                <xdr:rowOff>114300</xdr:rowOff>
              </from>
              <to>
                <xdr:col>1</xdr:col>
                <xdr:colOff>3924300</xdr:colOff>
                <xdr:row>4</xdr:row>
                <xdr:rowOff>152400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2000250</xdr:colOff>
                <xdr:row>0</xdr:row>
                <xdr:rowOff>114300</xdr:rowOff>
              </from>
              <to>
                <xdr:col>1</xdr:col>
                <xdr:colOff>2914650</xdr:colOff>
                <xdr:row>4</xdr:row>
                <xdr:rowOff>152400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19050</xdr:colOff>
                <xdr:row>5</xdr:row>
                <xdr:rowOff>85725</xdr:rowOff>
              </from>
              <to>
                <xdr:col>1</xdr:col>
                <xdr:colOff>933450</xdr:colOff>
                <xdr:row>9</xdr:row>
                <xdr:rowOff>123825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50" r:id="rId14">
          <objectPr defaultSize="0" r:id="rId15">
            <anchor moveWithCells="1">
              <from>
                <xdr:col>1</xdr:col>
                <xdr:colOff>2038350</xdr:colOff>
                <xdr:row>5</xdr:row>
                <xdr:rowOff>85725</xdr:rowOff>
              </from>
              <to>
                <xdr:col>1</xdr:col>
                <xdr:colOff>2952750</xdr:colOff>
                <xdr:row>9</xdr:row>
                <xdr:rowOff>123825</xdr:rowOff>
              </to>
            </anchor>
          </objectPr>
        </oleObject>
      </mc:Choice>
      <mc:Fallback>
        <oleObject progId="Acrobat Document" dvAspect="DVASPECT_ICON" shapeId="35850" r:id="rId14"/>
      </mc:Fallback>
    </mc:AlternateContent>
    <mc:AlternateContent xmlns:mc="http://schemas.openxmlformats.org/markup-compatibility/2006">
      <mc:Choice Requires="x14">
        <oleObject progId="Acrobat Document" dvAspect="DVASPECT_ICON" shapeId="35853" r:id="rId16">
          <objectPr defaultSize="0" r:id="rId17">
            <anchor moveWithCells="1">
              <from>
                <xdr:col>1</xdr:col>
                <xdr:colOff>1009650</xdr:colOff>
                <xdr:row>5</xdr:row>
                <xdr:rowOff>57150</xdr:rowOff>
              </from>
              <to>
                <xdr:col>1</xdr:col>
                <xdr:colOff>1924050</xdr:colOff>
                <xdr:row>9</xdr:row>
                <xdr:rowOff>95250</xdr:rowOff>
              </to>
            </anchor>
          </objectPr>
        </oleObject>
      </mc:Choice>
      <mc:Fallback>
        <oleObject progId="Acrobat Document" dvAspect="DVASPECT_ICON" shapeId="35853"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1789</v>
      </c>
      <c r="B1" s="2359"/>
      <c r="C1" s="2359"/>
      <c r="D1" s="2359"/>
      <c r="E1" s="2359"/>
      <c r="F1" s="2360"/>
    </row>
    <row r="2" spans="1:8" ht="45" customHeight="1" x14ac:dyDescent="0.2">
      <c r="A2" s="2368" t="s">
        <v>1790</v>
      </c>
      <c r="B2" s="2369"/>
      <c r="C2" s="2369"/>
      <c r="D2" s="2369"/>
      <c r="E2" s="2369"/>
      <c r="F2" s="2370"/>
      <c r="G2" s="1072"/>
      <c r="H2" s="1072"/>
    </row>
    <row r="3" spans="1:8" ht="57" customHeight="1" x14ac:dyDescent="0.2">
      <c r="A3" s="2371" t="s">
        <v>1785</v>
      </c>
      <c r="B3" s="2372"/>
      <c r="C3" s="2372"/>
      <c r="D3" s="2372"/>
      <c r="E3" s="2372"/>
      <c r="F3" s="2373"/>
      <c r="G3" s="1072"/>
      <c r="H3" s="1072"/>
    </row>
    <row r="4" spans="1:8" ht="14.25" customHeight="1" x14ac:dyDescent="0.2">
      <c r="A4" s="2377" t="s">
        <v>2052</v>
      </c>
      <c r="B4" s="2378"/>
      <c r="C4" s="2378"/>
      <c r="D4" s="2378"/>
      <c r="E4" s="2378"/>
      <c r="F4" s="2379"/>
      <c r="G4" s="1072"/>
      <c r="H4" s="1072"/>
    </row>
    <row r="5" spans="1:8" ht="14.25" customHeight="1" x14ac:dyDescent="0.2">
      <c r="A5" s="2380" t="s">
        <v>2053</v>
      </c>
      <c r="B5" s="2381"/>
      <c r="C5" s="2381"/>
      <c r="D5" s="2381"/>
      <c r="E5" s="2381"/>
      <c r="F5" s="2382"/>
      <c r="G5" s="1072"/>
      <c r="H5" s="1072"/>
    </row>
    <row r="6" spans="1:8" s="1073" customFormat="1" ht="41.25" customHeight="1" x14ac:dyDescent="0.2">
      <c r="A6" s="2374" t="s">
        <v>1791</v>
      </c>
      <c r="B6" s="2375"/>
      <c r="C6" s="2375"/>
      <c r="D6" s="2375"/>
      <c r="E6" s="2375"/>
      <c r="F6" s="2376"/>
    </row>
    <row r="7" spans="1:8" ht="42" customHeight="1" x14ac:dyDescent="0.2">
      <c r="A7" s="1074" t="s">
        <v>501</v>
      </c>
      <c r="B7" s="1075" t="s">
        <v>1575</v>
      </c>
      <c r="C7" s="1075" t="s">
        <v>1576</v>
      </c>
      <c r="D7" s="1075" t="s">
        <v>1574</v>
      </c>
      <c r="E7" s="1075" t="s">
        <v>1577</v>
      </c>
      <c r="F7" s="1075" t="s">
        <v>1433</v>
      </c>
    </row>
    <row r="8" spans="1:8" s="1077" customFormat="1" ht="14.25" customHeight="1" x14ac:dyDescent="0.2">
      <c r="A8" s="1076" t="s">
        <v>1434</v>
      </c>
      <c r="B8" s="1831">
        <f>'Acct Summary 7-8'!C8</f>
        <v>12480736</v>
      </c>
      <c r="C8" s="1831">
        <f>'Acct Summary 7-8'!D8</f>
        <v>984143</v>
      </c>
      <c r="D8" s="1831">
        <f>'Acct Summary 7-8'!F8</f>
        <v>834745</v>
      </c>
      <c r="E8" s="1831">
        <f>'Acct Summary 7-8'!I8</f>
        <v>60264</v>
      </c>
      <c r="F8" s="1831">
        <f>SUM(B8:E8)</f>
        <v>14359888</v>
      </c>
    </row>
    <row r="9" spans="1:8" s="1077" customFormat="1" ht="14.25" customHeight="1" thickBot="1" x14ac:dyDescent="0.25">
      <c r="A9" s="1076" t="s">
        <v>1435</v>
      </c>
      <c r="B9" s="1832">
        <f>'Acct Summary 7-8'!C17</f>
        <v>12067786</v>
      </c>
      <c r="C9" s="1832">
        <f>'Acct Summary 7-8'!D17</f>
        <v>781133</v>
      </c>
      <c r="D9" s="1832">
        <f>'Acct Summary 7-8'!F17</f>
        <v>620261</v>
      </c>
      <c r="E9" s="1831"/>
      <c r="F9" s="1831">
        <f>SUM(B9:E9)</f>
        <v>13469180</v>
      </c>
    </row>
    <row r="10" spans="1:8" s="1077" customFormat="1" ht="14.25" thickTop="1" thickBot="1" x14ac:dyDescent="0.25">
      <c r="A10" s="1078" t="s">
        <v>1436</v>
      </c>
      <c r="B10" s="1833">
        <f>(B8-B9)</f>
        <v>412950</v>
      </c>
      <c r="C10" s="1833">
        <f>(C8-C9)</f>
        <v>203010</v>
      </c>
      <c r="D10" s="1833">
        <f>(D8-D9)</f>
        <v>214484</v>
      </c>
      <c r="E10" s="1832">
        <f>(E8-E9)</f>
        <v>60264</v>
      </c>
      <c r="F10" s="1834">
        <f>SUM(F8-F9)</f>
        <v>890708</v>
      </c>
    </row>
    <row r="11" spans="1:8" s="1077" customFormat="1" ht="14.25" thickTop="1" thickBot="1" x14ac:dyDescent="0.25">
      <c r="A11" s="1079" t="s">
        <v>1784</v>
      </c>
      <c r="B11" s="1835">
        <f>'Acct Summary 7-8'!C81</f>
        <v>5054618</v>
      </c>
      <c r="C11" s="1835">
        <f>'Acct Summary 7-8'!D81</f>
        <v>1305420</v>
      </c>
      <c r="D11" s="1835">
        <f>'Acct Summary 7-8'!F81</f>
        <v>647944</v>
      </c>
      <c r="E11" s="1835">
        <f>'Acct Summary 7-8'!I81</f>
        <v>409467</v>
      </c>
      <c r="F11" s="1836">
        <f>SUM(B11:E11)</f>
        <v>7417449</v>
      </c>
    </row>
    <row r="12" spans="1:8" ht="16.5" customHeight="1" thickTop="1" x14ac:dyDescent="0.2">
      <c r="A12" s="1080"/>
      <c r="B12" s="1081"/>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2"/>
      <c r="B13" s="1083"/>
      <c r="C13" s="2362"/>
      <c r="D13" s="2363"/>
      <c r="E13" s="2363"/>
      <c r="F13" s="2364"/>
      <c r="H13" s="1072"/>
    </row>
    <row r="14" spans="1:8" ht="19.5" customHeight="1" x14ac:dyDescent="0.2">
      <c r="A14" s="1082"/>
      <c r="B14" s="1083"/>
      <c r="C14" s="2362"/>
      <c r="D14" s="2363"/>
      <c r="E14" s="2363"/>
      <c r="F14" s="2364"/>
      <c r="H14" s="1072"/>
    </row>
    <row r="15" spans="1:8" ht="17.25" customHeight="1" x14ac:dyDescent="0.2">
      <c r="A15" s="1082"/>
      <c r="B15" s="1083"/>
      <c r="C15" s="2365"/>
      <c r="D15" s="2366"/>
      <c r="E15" s="2366"/>
      <c r="F15" s="2367"/>
      <c r="H15" s="1072"/>
    </row>
    <row r="16" spans="1:8" s="310" customFormat="1" ht="51.75" hidden="1" customHeight="1" x14ac:dyDescent="0.2">
      <c r="A16" s="2361" t="s">
        <v>1786</v>
      </c>
      <c r="B16" s="2361"/>
      <c r="C16" s="2361"/>
      <c r="D16" s="2361"/>
      <c r="E16" s="2361"/>
      <c r="F16" s="310" t="s">
        <v>1437</v>
      </c>
    </row>
    <row r="17" spans="1:6" hidden="1" x14ac:dyDescent="0.2">
      <c r="A17" s="316" t="s">
        <v>1787</v>
      </c>
      <c r="F17" s="108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3"/>
      <c r="B2" s="1914"/>
      <c r="C2" s="1915"/>
      <c r="D2" s="1916"/>
    </row>
    <row r="3" spans="1:4" ht="36" customHeight="1" x14ac:dyDescent="0.2">
      <c r="A3" s="2383" t="s">
        <v>685</v>
      </c>
      <c r="B3" s="2384"/>
      <c r="C3" s="2384"/>
      <c r="D3" s="2385"/>
    </row>
    <row r="4" spans="1:4" x14ac:dyDescent="0.2">
      <c r="A4" s="1150" t="s">
        <v>1792</v>
      </c>
      <c r="B4" s="1151"/>
      <c r="C4" s="1152"/>
      <c r="D4" s="1153"/>
    </row>
    <row r="5" spans="1:4" ht="21" customHeight="1" x14ac:dyDescent="0.2">
      <c r="A5" s="1146"/>
      <c r="B5" s="1147">
        <v>1</v>
      </c>
      <c r="C5" s="1148" t="s">
        <v>1942</v>
      </c>
      <c r="D5" s="1149"/>
    </row>
    <row r="6" spans="1:4" s="668" customFormat="1" ht="14.25" customHeight="1" x14ac:dyDescent="0.2">
      <c r="A6" s="1136"/>
      <c r="B6" s="1091">
        <f t="shared" ref="B6:B13" si="0">B5+1</f>
        <v>2</v>
      </c>
      <c r="C6" s="1092" t="s">
        <v>918</v>
      </c>
      <c r="D6" s="1093"/>
    </row>
    <row r="7" spans="1:4" s="668" customFormat="1" ht="12.75" x14ac:dyDescent="0.2">
      <c r="A7" s="1136"/>
      <c r="B7" s="1091">
        <f t="shared" si="0"/>
        <v>3</v>
      </c>
      <c r="C7" s="2394" t="s">
        <v>1583</v>
      </c>
      <c r="D7" s="2395"/>
    </row>
    <row r="8" spans="1:4" s="668" customFormat="1" ht="12.75" x14ac:dyDescent="0.2">
      <c r="A8" s="1136"/>
      <c r="B8" s="1091"/>
      <c r="C8" s="1094" t="s">
        <v>1582</v>
      </c>
      <c r="D8" s="1095"/>
    </row>
    <row r="9" spans="1:4" s="668" customFormat="1" ht="14.25" customHeight="1" x14ac:dyDescent="0.2">
      <c r="A9" s="1136"/>
      <c r="B9" s="1091">
        <f>B7+1</f>
        <v>4</v>
      </c>
      <c r="C9" s="1092" t="s">
        <v>2045</v>
      </c>
      <c r="D9" s="1093"/>
    </row>
    <row r="10" spans="1:4" s="668" customFormat="1" ht="14.25" customHeight="1" x14ac:dyDescent="0.2">
      <c r="A10" s="1136"/>
      <c r="B10" s="1091">
        <f t="shared" si="0"/>
        <v>5</v>
      </c>
      <c r="C10" s="1092" t="s">
        <v>659</v>
      </c>
      <c r="D10" s="1093"/>
    </row>
    <row r="11" spans="1:4" s="668" customFormat="1" ht="14.25" customHeight="1" x14ac:dyDescent="0.2">
      <c r="A11" s="1136"/>
      <c r="B11" s="1091">
        <f t="shared" si="0"/>
        <v>6</v>
      </c>
      <c r="C11" s="1092" t="s">
        <v>810</v>
      </c>
      <c r="D11" s="1093"/>
    </row>
    <row r="12" spans="1:4" s="668" customFormat="1" ht="14.25" customHeight="1" x14ac:dyDescent="0.2">
      <c r="A12" s="1136"/>
      <c r="B12" s="1091">
        <f t="shared" si="0"/>
        <v>7</v>
      </c>
      <c r="C12" s="1092" t="s">
        <v>1121</v>
      </c>
      <c r="D12" s="1093"/>
    </row>
    <row r="13" spans="1:4" s="668" customFormat="1" ht="14.25" customHeight="1" x14ac:dyDescent="0.2">
      <c r="A13" s="1136"/>
      <c r="B13" s="1091">
        <f t="shared" si="0"/>
        <v>8</v>
      </c>
      <c r="C13" s="1132" t="s">
        <v>811</v>
      </c>
      <c r="D13" s="1093"/>
    </row>
    <row r="14" spans="1:4" s="668" customFormat="1" ht="14.25" customHeight="1" x14ac:dyDescent="0.2">
      <c r="A14" s="1136"/>
      <c r="B14" s="1133">
        <v>9</v>
      </c>
      <c r="C14" s="1134" t="s">
        <v>1584</v>
      </c>
      <c r="D14" s="1135"/>
    </row>
    <row r="15" spans="1:4" s="668" customFormat="1" ht="21.75" customHeight="1" x14ac:dyDescent="0.2">
      <c r="A15" s="2386" t="s">
        <v>1064</v>
      </c>
      <c r="B15" s="2387"/>
      <c r="C15" s="2387"/>
      <c r="D15" s="2388"/>
    </row>
    <row r="16" spans="1:4" s="668" customFormat="1" ht="24" customHeight="1" x14ac:dyDescent="0.2">
      <c r="A16" s="2389" t="s">
        <v>683</v>
      </c>
      <c r="B16" s="2390"/>
      <c r="C16" s="2390"/>
      <c r="D16" s="2391"/>
    </row>
    <row r="17" spans="1:10" s="668" customFormat="1" ht="12.75" customHeight="1" x14ac:dyDescent="0.2">
      <c r="A17" s="1154" t="s">
        <v>1793</v>
      </c>
      <c r="B17" s="1155"/>
      <c r="C17" s="1156"/>
      <c r="D17" s="1157"/>
    </row>
    <row r="18" spans="1:10" s="668"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733</v>
      </c>
    </row>
    <row r="21" spans="1:10" x14ac:dyDescent="0.2">
      <c r="A21" s="1096"/>
      <c r="B21" s="1097">
        <v>1</v>
      </c>
      <c r="C21" s="2398" t="s">
        <v>331</v>
      </c>
      <c r="D21" s="2399"/>
    </row>
    <row r="22" spans="1:10" ht="12.75" x14ac:dyDescent="0.2">
      <c r="A22" s="1137"/>
      <c r="B22" s="1138">
        <v>2</v>
      </c>
      <c r="C22" s="2396" t="s">
        <v>1604</v>
      </c>
      <c r="D22" s="2397"/>
    </row>
    <row r="23" spans="1:10" ht="12.2" customHeight="1" x14ac:dyDescent="0.2">
      <c r="A23" s="1137"/>
      <c r="B23" s="1138"/>
      <c r="C23" s="1139" t="s">
        <v>1010</v>
      </c>
      <c r="D23" s="1140" t="str">
        <f>IF(COVER!O11="X","CASH",IF(COVER!O12="X","ACCRUAL ","PLEASE CHECK AN ACCOUNTING BASIS."))</f>
        <v>CASH</v>
      </c>
    </row>
    <row r="24" spans="1:10" ht="12.2" customHeight="1" x14ac:dyDescent="0.2">
      <c r="A24" s="1137"/>
      <c r="B24" s="1138"/>
      <c r="C24" s="1139" t="s">
        <v>1398</v>
      </c>
      <c r="D24" s="1140" t="str">
        <f>IF(COVER!O11="X","OK",IF(AND('Aud Quest 2'!J90=0,'Aud Quest 2'!I77&lt;DATE(2017,12,31)),"ENTER ACCOUNTING INFO",IF(AND('Aud Quest 2'!J90&gt;0,'Aud Quest 2'!I77&lt;DATE(2017,12,31)),"OK")))</f>
        <v>OK</v>
      </c>
    </row>
    <row r="25" spans="1:10" x14ac:dyDescent="0.2">
      <c r="A25" s="1098"/>
      <c r="B25" s="1099"/>
      <c r="C25" s="1100" t="s">
        <v>1606</v>
      </c>
      <c r="D25" s="1101" t="str">
        <f>IF(AND(COVER!J29="X",COVER!J30="X",COVER!L30&lt;&gt;"X"),"OK",IF(AND(COVER!J29="X",COVER!J30&lt;&gt;"X",COVER!L30="X"),"OK",IF(AND(COVER!L29="X",COVER!J30&lt;&gt;"X"),"OK","PLEASE CHECK YES or NO.")))</f>
        <v>OK</v>
      </c>
    </row>
    <row r="26" spans="1:10" x14ac:dyDescent="0.2">
      <c r="A26" s="1098"/>
      <c r="B26" s="1141"/>
      <c r="C26" s="1102" t="s">
        <v>1605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1031</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896</v>
      </c>
      <c r="D28" s="1105" t="b">
        <f>IF('Aud Quest 2'!B53="X",IF('Aud Quest 2'!F53&gt;"00/00/00 ","Enter Effective Date","ok"))</f>
        <v>0</v>
      </c>
    </row>
    <row r="29" spans="1:10" x14ac:dyDescent="0.2">
      <c r="A29" s="1098"/>
      <c r="B29" s="1141"/>
      <c r="C29" s="1102" t="s">
        <v>1439</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878</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1034</v>
      </c>
      <c r="D32" s="1101" t="str">
        <f>IF(OR(COVER!B6="x",'FP Info 3'!B31="X",'FP Info 3'!B32="X"),"OK","ENTRY IS REQUIRED!")</f>
        <v>OK</v>
      </c>
    </row>
    <row r="33" spans="1:12" s="1114" customFormat="1" ht="12.75" customHeight="1" x14ac:dyDescent="0.2">
      <c r="A33" s="1111"/>
      <c r="B33" s="1138">
        <f>B30+1</f>
        <v>4</v>
      </c>
      <c r="C33" s="1112" t="s">
        <v>812</v>
      </c>
      <c r="D33" s="1113"/>
    </row>
    <row r="34" spans="1:12" s="1114" customFormat="1" x14ac:dyDescent="0.2">
      <c r="A34" s="1115"/>
      <c r="B34" s="1138"/>
      <c r="C34" s="1116" t="s">
        <v>879</v>
      </c>
      <c r="D34" s="1101" t="str">
        <f>IF('Assets-Liab 5-6'!C4&lt;-0.49, "ERROR!","OK")</f>
        <v>OK</v>
      </c>
    </row>
    <row r="35" spans="1:12" x14ac:dyDescent="0.2">
      <c r="A35" s="1115"/>
      <c r="B35" s="1138"/>
      <c r="C35" s="1116" t="s">
        <v>323</v>
      </c>
      <c r="D35" s="1101" t="str">
        <f>IF('Assets-Liab 5-6'!D4&lt;-0.49, "ERROR!","OK")</f>
        <v>OK</v>
      </c>
      <c r="L35" s="1170"/>
    </row>
    <row r="36" spans="1:12" x14ac:dyDescent="0.2">
      <c r="A36" s="1115"/>
      <c r="B36" s="1138"/>
      <c r="C36" s="1116" t="s">
        <v>813</v>
      </c>
      <c r="D36" s="1101" t="str">
        <f>IF('Assets-Liab 5-6'!E4&lt;-0.49, "ERROR!","OK")</f>
        <v>OK</v>
      </c>
    </row>
    <row r="37" spans="1:12" x14ac:dyDescent="0.2">
      <c r="A37" s="1115"/>
      <c r="B37" s="1138"/>
      <c r="C37" s="1116" t="s">
        <v>324</v>
      </c>
      <c r="D37" s="1101" t="str">
        <f>IF('Assets-Liab 5-6'!F4&lt;-0.49, "ERROR!","OK")</f>
        <v>OK</v>
      </c>
    </row>
    <row r="38" spans="1:12" x14ac:dyDescent="0.2">
      <c r="A38" s="1115"/>
      <c r="B38" s="1138"/>
      <c r="C38" s="1116" t="s">
        <v>325</v>
      </c>
      <c r="D38" s="1101" t="str">
        <f>IF('Assets-Liab 5-6'!G4&lt;-0.49, "ERROR!","OK")</f>
        <v>OK</v>
      </c>
    </row>
    <row r="39" spans="1:12" x14ac:dyDescent="0.2">
      <c r="A39" s="1115"/>
      <c r="B39" s="1138"/>
      <c r="C39" s="1116" t="s">
        <v>814</v>
      </c>
      <c r="D39" s="1101" t="str">
        <f>IF('Assets-Liab 5-6'!H4&lt;-0.49, "ERROR!","OK")</f>
        <v>OK</v>
      </c>
    </row>
    <row r="40" spans="1:12" x14ac:dyDescent="0.2">
      <c r="A40" s="1115"/>
      <c r="B40" s="1138"/>
      <c r="C40" s="1116" t="s">
        <v>326</v>
      </c>
      <c r="D40" s="1101" t="str">
        <f>IF('Assets-Liab 5-6'!I4&lt;-0.49, "ERROR!","OK")</f>
        <v>OK</v>
      </c>
    </row>
    <row r="41" spans="1:12" x14ac:dyDescent="0.2">
      <c r="A41" s="1115"/>
      <c r="B41" s="1138"/>
      <c r="C41" s="1116" t="s">
        <v>815</v>
      </c>
      <c r="D41" s="1101" t="str">
        <f>IF('Assets-Liab 5-6'!J4&lt;-0.49, "ERROR!","OK")</f>
        <v>OK</v>
      </c>
    </row>
    <row r="42" spans="1:12" x14ac:dyDescent="0.2">
      <c r="A42" s="1115"/>
      <c r="B42" s="1138"/>
      <c r="C42" s="1116" t="s">
        <v>327</v>
      </c>
      <c r="D42" s="1101" t="str">
        <f>IF('Assets-Liab 5-6'!K4&lt;-0.49, "ERROR!","OK")</f>
        <v>OK</v>
      </c>
    </row>
    <row r="43" spans="1:12" x14ac:dyDescent="0.2">
      <c r="A43" s="1117"/>
      <c r="B43" s="1118">
        <f>B33+1</f>
        <v>5</v>
      </c>
      <c r="C43" s="2400" t="s">
        <v>556</v>
      </c>
      <c r="D43" s="2401"/>
    </row>
    <row r="44" spans="1:12" x14ac:dyDescent="0.2">
      <c r="A44" s="1117"/>
      <c r="B44" s="1119"/>
      <c r="C44" s="1120" t="s">
        <v>1401</v>
      </c>
      <c r="D44" s="1121" t="str">
        <f>IF(SUM('Assets-Liab 5-6'!C13)&lt;&gt;SUM('Assets-Liab 5-6'!C41),"ERROR!","OK")</f>
        <v>OK</v>
      </c>
    </row>
    <row r="45" spans="1:12" x14ac:dyDescent="0.2">
      <c r="A45" s="1117"/>
      <c r="B45" s="1119"/>
      <c r="C45" s="1120" t="s">
        <v>1402</v>
      </c>
      <c r="D45" s="1121" t="str">
        <f>IF(SUM('Assets-Liab 5-6'!D13)&lt;&gt;SUM('Assets-Liab 5-6'!D41),"ERROR!","OK")</f>
        <v>OK</v>
      </c>
    </row>
    <row r="46" spans="1:12" x14ac:dyDescent="0.2">
      <c r="A46" s="1117"/>
      <c r="B46" s="1119"/>
      <c r="C46" s="1120" t="s">
        <v>1403</v>
      </c>
      <c r="D46" s="1121" t="str">
        <f>IF(SUM('Assets-Liab 5-6'!E13)&lt;&gt;SUM('Assets-Liab 5-6'!E41),"ERROR!","OK")</f>
        <v>OK</v>
      </c>
    </row>
    <row r="47" spans="1:12" x14ac:dyDescent="0.2">
      <c r="A47" s="1117"/>
      <c r="B47" s="1119"/>
      <c r="C47" s="1120" t="s">
        <v>1404</v>
      </c>
      <c r="D47" s="1121" t="str">
        <f>IF(SUM('Assets-Liab 5-6'!F13)&lt;&gt;SUM('Assets-Liab 5-6'!F41),"ERROR!","OK")</f>
        <v>OK</v>
      </c>
    </row>
    <row r="48" spans="1:12" x14ac:dyDescent="0.2">
      <c r="A48" s="1117"/>
      <c r="B48" s="1119"/>
      <c r="C48" s="1120" t="s">
        <v>1405</v>
      </c>
      <c r="D48" s="1121" t="str">
        <f>IF(SUM('Assets-Liab 5-6'!G13)&lt;&gt;SUM('Assets-Liab 5-6'!G41),"ERROR!","OK")</f>
        <v>OK</v>
      </c>
    </row>
    <row r="49" spans="1:4" x14ac:dyDescent="0.2">
      <c r="A49" s="1117"/>
      <c r="B49" s="1119"/>
      <c r="C49" s="1120" t="s">
        <v>1406</v>
      </c>
      <c r="D49" s="1121" t="str">
        <f>IF(SUM('Assets-Liab 5-6'!H13)&lt;&gt;SUM('Assets-Liab 5-6'!H41),"ERROR!","OK")</f>
        <v>OK</v>
      </c>
    </row>
    <row r="50" spans="1:4" x14ac:dyDescent="0.2">
      <c r="A50" s="1117"/>
      <c r="B50" s="1119"/>
      <c r="C50" s="1120" t="s">
        <v>1407</v>
      </c>
      <c r="D50" s="1121" t="str">
        <f>IF(SUM('Assets-Liab 5-6'!I13)&lt;&gt;SUM('Assets-Liab 5-6'!I41),"ERROR!","OK")</f>
        <v>OK</v>
      </c>
    </row>
    <row r="51" spans="1:4" x14ac:dyDescent="0.2">
      <c r="A51" s="1117"/>
      <c r="B51" s="1119"/>
      <c r="C51" s="1120" t="s">
        <v>1408</v>
      </c>
      <c r="D51" s="1121" t="str">
        <f>IF(SUM('Assets-Liab 5-6'!J13)&lt;&gt;SUM('Assets-Liab 5-6'!J41),"ERROR!","OK")</f>
        <v>OK</v>
      </c>
    </row>
    <row r="52" spans="1:4" x14ac:dyDescent="0.2">
      <c r="A52" s="1117"/>
      <c r="B52" s="1119"/>
      <c r="C52" s="1120" t="s">
        <v>1409</v>
      </c>
      <c r="D52" s="1121" t="str">
        <f>IF(SUM('Assets-Liab 5-6'!K13)&lt;&gt;SUM('Assets-Liab 5-6'!K41),"ERROR!","OK")</f>
        <v>OK</v>
      </c>
    </row>
    <row r="53" spans="1:4" x14ac:dyDescent="0.2">
      <c r="A53" s="1117"/>
      <c r="B53" s="1119"/>
      <c r="C53" s="1120" t="s">
        <v>1410</v>
      </c>
      <c r="D53" s="1121" t="str">
        <f>IF(SUM('Assets-Liab 5-6'!L13)&lt;&gt;('Assets-Liab 5-6'!L41),"ERROR!","OK")</f>
        <v>OK</v>
      </c>
    </row>
    <row r="54" spans="1:4" x14ac:dyDescent="0.2">
      <c r="A54" s="1117"/>
      <c r="B54" s="1119"/>
      <c r="C54" s="1120" t="s">
        <v>1411</v>
      </c>
      <c r="D54" s="1121" t="str">
        <f>IF(SUM('Assets-Liab 5-6'!M23)&lt;&gt;('Assets-Liab 5-6'!M41),"ERROR!","OK")</f>
        <v>OK</v>
      </c>
    </row>
    <row r="55" spans="1:4" x14ac:dyDescent="0.2">
      <c r="A55" s="1117"/>
      <c r="B55" s="1119"/>
      <c r="C55" s="1120" t="s">
        <v>1412</v>
      </c>
      <c r="D55" s="1121" t="str">
        <f>IF(SUM('Assets-Liab 5-6'!N23)&lt;&gt;('Assets-Liab 5-6'!N41),"ERROR!","OK")</f>
        <v>OK</v>
      </c>
    </row>
    <row r="56" spans="1:4" x14ac:dyDescent="0.2">
      <c r="A56" s="1098"/>
      <c r="B56" s="1118">
        <f>B43+1</f>
        <v>6</v>
      </c>
      <c r="C56" s="2392" t="s">
        <v>816</v>
      </c>
      <c r="D56" s="2393"/>
    </row>
    <row r="57" spans="1:4" s="1114" customFormat="1" x14ac:dyDescent="0.2">
      <c r="A57" s="1098"/>
      <c r="B57" s="1108"/>
      <c r="C57" s="1116" t="s">
        <v>1413</v>
      </c>
      <c r="D57" s="1122" t="str">
        <f>IF('Assets-Liab 5-6'!C38+'Assets-Liab 5-6'!C39='Acct Summary 7-8'!C81,"OK","ERROR!")</f>
        <v>OK</v>
      </c>
    </row>
    <row r="58" spans="1:4" x14ac:dyDescent="0.2">
      <c r="A58" s="1098"/>
      <c r="B58" s="1108"/>
      <c r="C58" s="1116" t="s">
        <v>1414</v>
      </c>
      <c r="D58" s="1122" t="str">
        <f>IF((('Assets-Liab 5-6'!D38+'Assets-Liab 5-6'!D39) ='Acct Summary 7-8'!D81), "OK", "ERROR!" )</f>
        <v>OK</v>
      </c>
    </row>
    <row r="59" spans="1:4" s="1114" customFormat="1" x14ac:dyDescent="0.2">
      <c r="A59" s="1098"/>
      <c r="B59" s="1108"/>
      <c r="C59" s="1116" t="s">
        <v>1415</v>
      </c>
      <c r="D59" s="1122" t="str">
        <f>IF((('Assets-Liab 5-6'!E38 + 'Assets-Liab 5-6'!E39) ='Acct Summary 7-8'!E81), "OK", "ERROR!" )</f>
        <v>OK</v>
      </c>
    </row>
    <row r="60" spans="1:4" x14ac:dyDescent="0.2">
      <c r="A60" s="1098"/>
      <c r="B60" s="1108"/>
      <c r="C60" s="1116" t="s">
        <v>1416</v>
      </c>
      <c r="D60" s="1122" t="str">
        <f>IF((('Assets-Liab 5-6'!F38 + 'Assets-Liab 5-6'!F39) ='Acct Summary 7-8'!F81), "OK", "ERROR!" )</f>
        <v>OK</v>
      </c>
    </row>
    <row r="61" spans="1:4" ht="12.75" customHeight="1" x14ac:dyDescent="0.2">
      <c r="A61" s="1098"/>
      <c r="B61" s="1108"/>
      <c r="C61" s="1116" t="s">
        <v>1429</v>
      </c>
      <c r="D61" s="1122" t="str">
        <f>IF((('Assets-Liab 5-6'!G38 + 'Assets-Liab 5-6'!G39) ='Acct Summary 7-8'!G81), "OK", "ERROR!" )</f>
        <v>OK</v>
      </c>
    </row>
    <row r="62" spans="1:4" x14ac:dyDescent="0.2">
      <c r="A62" s="1098"/>
      <c r="B62" s="1108"/>
      <c r="C62" s="1116" t="s">
        <v>1417</v>
      </c>
      <c r="D62" s="1122" t="str">
        <f>IF((('Assets-Liab 5-6'!H38 + 'Assets-Liab 5-6'!H39) ='Acct Summary 7-8'!H81), "OK", "ERROR!" )</f>
        <v>OK</v>
      </c>
    </row>
    <row r="63" spans="1:4" ht="12.75" customHeight="1" x14ac:dyDescent="0.2">
      <c r="A63" s="1098"/>
      <c r="B63" s="1108"/>
      <c r="C63" s="1116" t="s">
        <v>1418</v>
      </c>
      <c r="D63" s="1122" t="str">
        <f>IF((('Assets-Liab 5-6'!I38 + 'Assets-Liab 5-6'!I39) ='Acct Summary 7-8'!I81), "OK", "ERROR!" )</f>
        <v>OK</v>
      </c>
    </row>
    <row r="64" spans="1:4" x14ac:dyDescent="0.2">
      <c r="A64" s="1098"/>
      <c r="B64" s="1108"/>
      <c r="C64" s="1116" t="s">
        <v>1419</v>
      </c>
      <c r="D64" s="1122" t="str">
        <f>IF((('Assets-Liab 5-6'!J38 + 'Assets-Liab 5-6'!J39) ='Acct Summary 7-8'!J81), "OK", "ERROR!" )</f>
        <v>OK</v>
      </c>
    </row>
    <row r="65" spans="1:4" x14ac:dyDescent="0.2">
      <c r="A65" s="1115"/>
      <c r="B65" s="1108"/>
      <c r="C65" s="1116" t="s">
        <v>1430</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1078</v>
      </c>
      <c r="D67" s="1123"/>
    </row>
    <row r="68" spans="1:4" x14ac:dyDescent="0.2">
      <c r="A68" s="1098"/>
      <c r="B68" s="1108"/>
      <c r="C68" s="1100" t="s">
        <v>2047</v>
      </c>
      <c r="D68" s="1122" t="str">
        <f>IF('Short-Term Long-Term Debt 24'!F49=SUM(,'Acct Summary 7-8'!C33:K33),"OK","ERROR!")</f>
        <v>OK</v>
      </c>
    </row>
    <row r="69" spans="1:4" x14ac:dyDescent="0.2">
      <c r="A69" s="1098"/>
      <c r="B69" s="1108"/>
      <c r="C69" s="1100" t="s">
        <v>2048</v>
      </c>
      <c r="D69" s="1122" t="str">
        <f>IF('Expenditures 15-22'!H170&lt;&gt;'Short-Term Long-Term Debt 24'!H49,"ERROR!","OK")</f>
        <v>OK</v>
      </c>
    </row>
    <row r="70" spans="1:4" x14ac:dyDescent="0.2">
      <c r="A70" s="1096"/>
      <c r="B70" s="1118">
        <f>B66+1</f>
        <v>9</v>
      </c>
      <c r="C70" s="2392" t="s">
        <v>1796</v>
      </c>
      <c r="D70" s="2393"/>
    </row>
    <row r="71" spans="1:4" x14ac:dyDescent="0.2">
      <c r="A71" s="1096"/>
      <c r="B71" s="1118"/>
      <c r="C71" s="1100" t="s">
        <v>1420</v>
      </c>
      <c r="D71" s="1124" t="str">
        <f>IF(SUM('Acct Summary 7-8'!C27:K27) =SUM( 'Acct Summary 7-8'!C49:K49),"OK", "ERROR")</f>
        <v>OK</v>
      </c>
    </row>
    <row r="72" spans="1:4" x14ac:dyDescent="0.2">
      <c r="A72" s="1098"/>
      <c r="B72" s="1108"/>
      <c r="C72" s="1116" t="s">
        <v>1421</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1443</v>
      </c>
      <c r="D75" s="1122" t="str">
        <f>IF(SUM('Assets-Liab 5-6'!C38:H38)&gt;=SUM('Rest Tax Levies-Tort Im 25'!G25:K25),"OK","ERROR")</f>
        <v>OK</v>
      </c>
    </row>
    <row r="76" spans="1:4" x14ac:dyDescent="0.2">
      <c r="A76" s="1098"/>
      <c r="B76" s="1108"/>
      <c r="C76" s="1116" t="s">
        <v>1489</v>
      </c>
      <c r="D76" s="1122" t="str">
        <f>IF(SUM('Assets-Liab 5-6'!C39:K39)&gt;0,"OK","ENTRY IS REQUIRED!")</f>
        <v>OK</v>
      </c>
    </row>
    <row r="77" spans="1:4" x14ac:dyDescent="0.2">
      <c r="A77" s="1098"/>
      <c r="B77" s="1127">
        <f>B74+1</f>
        <v>11</v>
      </c>
      <c r="C77" s="1172" t="s">
        <v>1444</v>
      </c>
      <c r="D77" s="1122"/>
    </row>
    <row r="78" spans="1:4" x14ac:dyDescent="0.2">
      <c r="A78" s="1098"/>
      <c r="B78" s="1108"/>
      <c r="C78" s="1116" t="s">
        <v>2050</v>
      </c>
      <c r="D78" s="1122" t="str">
        <f>IF(ISNUMBER('Acct Summary 7-8'!C9),"OK","ENTRY IS REQUIRED!")</f>
        <v>OK</v>
      </c>
    </row>
    <row r="79" spans="1:4" x14ac:dyDescent="0.2">
      <c r="A79" s="1117"/>
      <c r="B79" s="1118">
        <f>B74+1+1</f>
        <v>12</v>
      </c>
      <c r="C79" s="1128" t="s">
        <v>2015</v>
      </c>
      <c r="D79" s="1129" t="str">
        <f>IF(OR(COVER!$B$6="X",'PCTC-OEPP 27-28'!F78&gt;0),"OK","PLEASE ENTER 9 MO ADA.")</f>
        <v>OK</v>
      </c>
    </row>
    <row r="80" spans="1:4" x14ac:dyDescent="0.2">
      <c r="A80" s="1096"/>
      <c r="B80" s="1118">
        <v>13</v>
      </c>
      <c r="C80" s="1128" t="s">
        <v>2051</v>
      </c>
      <c r="D80" s="1129" t="str">
        <f>IF('Contracts Paid in CY 29'!D32&gt;0,"OK","PLEASE ENTER CONTRACTS PAID IN CURRENT YEAR.")</f>
        <v>OK</v>
      </c>
    </row>
    <row r="81" spans="1:4" x14ac:dyDescent="0.2">
      <c r="A81" s="1096"/>
      <c r="B81" s="1118">
        <v>14</v>
      </c>
      <c r="C81" s="1128" t="s">
        <v>1495</v>
      </c>
      <c r="D81" s="1121" t="str">
        <f>IF('Shared Outsourced Services 31'!B8="X","OK",IF('Shared Outsourced Services 31'!K34&gt;0,"OK","ENTRY REQUIRED!"))</f>
        <v>OK</v>
      </c>
    </row>
    <row r="82" spans="1:4" x14ac:dyDescent="0.2">
      <c r="A82" s="1117"/>
      <c r="B82" s="1118">
        <v>15</v>
      </c>
      <c r="C82" s="1128" t="s">
        <v>1494</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3026203026</v>
      </c>
    </row>
    <row r="3" spans="1:2" x14ac:dyDescent="0.2">
      <c r="A3" t="s">
        <v>1012</v>
      </c>
      <c r="B3" s="138" t="str">
        <f>COVER!A15</f>
        <v>FAYETTE</v>
      </c>
    </row>
    <row r="4" spans="1:2" x14ac:dyDescent="0.2">
      <c r="A4" t="s">
        <v>1063</v>
      </c>
      <c r="B4" s="138" t="str">
        <f>COVER!A17</f>
        <v>Vandalia CUSD 203</v>
      </c>
    </row>
    <row r="5" spans="1:2" x14ac:dyDescent="0.2">
      <c r="A5" t="s">
        <v>727</v>
      </c>
      <c r="B5" s="138" t="str">
        <f>COVER!A38</f>
        <v>DR. JENNIFER GARRISON</v>
      </c>
    </row>
    <row r="6" spans="1:2" x14ac:dyDescent="0.2">
      <c r="A6" t="s">
        <v>732</v>
      </c>
      <c r="B6" s="138">
        <f>COVER!P35</f>
        <v>0</v>
      </c>
    </row>
    <row r="7" spans="1:2" x14ac:dyDescent="0.2">
      <c r="A7" t="s">
        <v>728</v>
      </c>
      <c r="B7" s="138">
        <f>COVER!I38</f>
        <v>0</v>
      </c>
    </row>
    <row r="8" spans="1:2" x14ac:dyDescent="0.2">
      <c r="A8" t="s">
        <v>729</v>
      </c>
      <c r="B8" s="138" t="str">
        <f>COVER!T38</f>
        <v>JULIE WOLLERMAN</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066-003845</v>
      </c>
    </row>
    <row r="16" spans="1:2" x14ac:dyDescent="0.2">
      <c r="A16" t="s">
        <v>441</v>
      </c>
      <c r="B16" s="138" t="str">
        <f>COVER!T13</f>
        <v>MOSE, YOCKEY, BROWN &amp; KULL, LLC</v>
      </c>
    </row>
    <row r="17" spans="1:2" x14ac:dyDescent="0.2">
      <c r="A17" t="s">
        <v>938</v>
      </c>
      <c r="B17" s="138" t="str">
        <f>COVER!T15</f>
        <v>ROBIN R. YOCKEY</v>
      </c>
    </row>
    <row r="18" spans="1:2" x14ac:dyDescent="0.2">
      <c r="A18" t="s">
        <v>1211</v>
      </c>
      <c r="B18" s="138" t="str">
        <f>COVER!T17</f>
        <v>230 N. MORGAN, PO BOX 317</v>
      </c>
    </row>
    <row r="19" spans="1:2" x14ac:dyDescent="0.2">
      <c r="A19" t="s">
        <v>940</v>
      </c>
      <c r="B19" s="138" t="str">
        <f>COVER!T25</f>
        <v>mybkcpas@consolidated.net</v>
      </c>
    </row>
    <row r="20" spans="1:2" x14ac:dyDescent="0.2">
      <c r="A20" t="s">
        <v>941</v>
      </c>
      <c r="B20" s="138" t="str">
        <f>COVER!T19</f>
        <v>SHELBYVILLE</v>
      </c>
    </row>
    <row r="21" spans="1:2" x14ac:dyDescent="0.2">
      <c r="A21" t="s">
        <v>499</v>
      </c>
      <c r="B21" s="138" t="str">
        <f>COVER!X19</f>
        <v>IL</v>
      </c>
    </row>
    <row r="22" spans="1:2" x14ac:dyDescent="0.2">
      <c r="A22" t="s">
        <v>942</v>
      </c>
      <c r="B22" s="138">
        <f>COVER!Z19</f>
        <v>62565</v>
      </c>
    </row>
    <row r="23" spans="1:2" x14ac:dyDescent="0.2">
      <c r="A23" t="s">
        <v>1213</v>
      </c>
      <c r="B23" s="138" t="str">
        <f>COVER!T21</f>
        <v>217-774-9587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4419317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5072421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17803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17803</v>
      </c>
      <c r="C91" s="2" t="s">
        <v>593</v>
      </c>
      <c r="D91" s="2" t="str">
        <f t="shared" si="0"/>
        <v>Error?</v>
      </c>
    </row>
    <row r="92" spans="1:4" x14ac:dyDescent="0.2">
      <c r="A92" s="5">
        <v>31</v>
      </c>
      <c r="B92" s="138">
        <f>'Assets-Liab 5-6'!C39</f>
        <v>5054618</v>
      </c>
      <c r="D92" s="2" t="str">
        <f t="shared" si="0"/>
        <v>Error?</v>
      </c>
    </row>
    <row r="93" spans="1:4" x14ac:dyDescent="0.2">
      <c r="A93" s="5">
        <v>32</v>
      </c>
      <c r="B93" s="138">
        <f>'Assets-Liab 5-6'!C41</f>
        <v>5072421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1262866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1305420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1262935</v>
      </c>
      <c r="D123" s="2" t="str">
        <f t="shared" si="0"/>
        <v>Error?</v>
      </c>
    </row>
    <row r="124" spans="1:4" x14ac:dyDescent="0.2">
      <c r="A124" s="5">
        <v>63</v>
      </c>
      <c r="B124" s="138">
        <f>'Assets-Liab 5-6'!D41</f>
        <v>1305420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48896</v>
      </c>
      <c r="D129" s="2" t="str">
        <f t="shared" si="1"/>
        <v>Error?</v>
      </c>
    </row>
    <row r="130" spans="1:4" x14ac:dyDescent="0.2">
      <c r="A130" s="5">
        <v>69</v>
      </c>
      <c r="B130" s="138">
        <f>'Assets-Liab 5-6'!E12</f>
        <v>0</v>
      </c>
      <c r="D130" s="2" t="str">
        <f t="shared" si="1"/>
        <v>Error?</v>
      </c>
    </row>
    <row r="131" spans="1:4" x14ac:dyDescent="0.2">
      <c r="A131" s="5">
        <v>70</v>
      </c>
      <c r="B131" s="138">
        <f>'Assets-Liab 5-6'!E13</f>
        <v>48970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48970</v>
      </c>
      <c r="D140" s="2" t="str">
        <f t="shared" si="1"/>
        <v>Error?</v>
      </c>
    </row>
    <row r="141" spans="1:4" x14ac:dyDescent="0.2">
      <c r="A141" s="5">
        <v>80</v>
      </c>
      <c r="B141" s="138">
        <f>'Assets-Liab 5-6'!E41</f>
        <v>48970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488938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648157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213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213</v>
      </c>
      <c r="C169" s="2" t="s">
        <v>593</v>
      </c>
      <c r="D169" s="2" t="str">
        <f t="shared" si="1"/>
        <v>Error?</v>
      </c>
    </row>
    <row r="170" spans="1:4" x14ac:dyDescent="0.2">
      <c r="A170" s="5">
        <v>109</v>
      </c>
      <c r="B170" s="138">
        <f>'Assets-Liab 5-6'!F39</f>
        <v>647944</v>
      </c>
      <c r="D170" s="2" t="str">
        <f t="shared" si="1"/>
        <v>Error?</v>
      </c>
    </row>
    <row r="171" spans="1:4" x14ac:dyDescent="0.2">
      <c r="A171" s="5">
        <v>110</v>
      </c>
      <c r="B171" s="138">
        <f>'Assets-Liab 5-6'!F41</f>
        <v>648157</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94676</v>
      </c>
      <c r="D177" s="2" t="str">
        <f t="shared" si="1"/>
        <v>Error?</v>
      </c>
    </row>
    <row r="178" spans="1:4" x14ac:dyDescent="0.2">
      <c r="A178" s="10">
        <v>117</v>
      </c>
      <c r="D178" s="2" t="str">
        <f t="shared" si="1"/>
        <v>OK</v>
      </c>
    </row>
    <row r="179" spans="1:4" x14ac:dyDescent="0.2">
      <c r="A179" s="5">
        <v>118</v>
      </c>
      <c r="B179" s="138">
        <f>'Assets-Liab 5-6'!G12</f>
        <v>6</v>
      </c>
      <c r="D179" s="2" t="str">
        <f t="shared" si="1"/>
        <v>Error?</v>
      </c>
    </row>
    <row r="180" spans="1:4" x14ac:dyDescent="0.2">
      <c r="A180" s="5">
        <v>119</v>
      </c>
      <c r="B180" s="138">
        <f>'Assets-Liab 5-6'!G13</f>
        <v>123677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123677</v>
      </c>
      <c r="D189" s="2" t="str">
        <f t="shared" si="1"/>
        <v>Error?</v>
      </c>
    </row>
    <row r="190" spans="1:4" x14ac:dyDescent="0.2">
      <c r="A190" s="5">
        <v>129</v>
      </c>
      <c r="B190" s="138">
        <f>'Assets-Liab 5-6'!G41</f>
        <v>123677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6180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6180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143601</v>
      </c>
      <c r="D273" s="2" t="str">
        <f t="shared" si="3"/>
        <v>Error?</v>
      </c>
    </row>
    <row r="274" spans="1:4" x14ac:dyDescent="0.2">
      <c r="A274" s="5">
        <v>213</v>
      </c>
      <c r="B274" s="138">
        <f>'Assets-Liab 5-6'!M17</f>
        <v>26762862</v>
      </c>
      <c r="D274" s="2" t="str">
        <f t="shared" si="3"/>
        <v>Error?</v>
      </c>
    </row>
    <row r="275" spans="1:4" x14ac:dyDescent="0.2">
      <c r="A275" s="5">
        <v>214</v>
      </c>
      <c r="B275" s="138">
        <f>'Assets-Liab 5-6'!M18</f>
        <v>2545958</v>
      </c>
      <c r="D275" s="2" t="str">
        <f t="shared" si="3"/>
        <v>Error?</v>
      </c>
    </row>
    <row r="276" spans="1:4" x14ac:dyDescent="0.2">
      <c r="A276" s="5">
        <v>215</v>
      </c>
      <c r="B276" s="138">
        <f>'Assets-Liab 5-6'!M19</f>
        <v>3723344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33175765</v>
      </c>
      <c r="C279" s="2" t="s">
        <v>593</v>
      </c>
      <c r="D279" s="2" t="str">
        <f t="shared" si="3"/>
        <v>Error?</v>
      </c>
    </row>
    <row r="280" spans="1:4" x14ac:dyDescent="0.2">
      <c r="A280" s="5">
        <v>219</v>
      </c>
      <c r="B280" s="138">
        <f>'Assets-Liab 5-6'!M40</f>
        <v>33175765</v>
      </c>
      <c r="D280" s="2" t="str">
        <f t="shared" si="3"/>
        <v>Error?</v>
      </c>
    </row>
    <row r="281" spans="1:4" x14ac:dyDescent="0.2">
      <c r="A281" s="5">
        <v>220</v>
      </c>
      <c r="B281" s="138">
        <f>'Assets-Liab 5-6'!M41</f>
        <v>33175765</v>
      </c>
      <c r="C281" s="2" t="s">
        <v>593</v>
      </c>
      <c r="D281" s="2" t="str">
        <f t="shared" si="3"/>
        <v>Error?</v>
      </c>
    </row>
    <row r="282" spans="1:4" x14ac:dyDescent="0.2">
      <c r="A282" s="5">
        <v>221</v>
      </c>
      <c r="B282" s="138">
        <f>'Assets-Liab 5-6'!N21</f>
        <v>48970</v>
      </c>
      <c r="D282" s="2" t="str">
        <f t="shared" si="3"/>
        <v>Error?</v>
      </c>
    </row>
    <row r="283" spans="1:4" x14ac:dyDescent="0.2">
      <c r="A283" s="5">
        <v>222</v>
      </c>
      <c r="B283" s="138">
        <f>'Assets-Liab 5-6'!N22</f>
        <v>14566930</v>
      </c>
      <c r="D283" s="2" t="str">
        <f t="shared" si="3"/>
        <v>Error?</v>
      </c>
    </row>
    <row r="284" spans="1:4" x14ac:dyDescent="0.2">
      <c r="A284" s="5">
        <v>223</v>
      </c>
      <c r="B284" s="138">
        <f>'Assets-Liab 5-6'!N23</f>
        <v>14615900</v>
      </c>
      <c r="C284" s="2" t="s">
        <v>593</v>
      </c>
      <c r="D284" s="2" t="str">
        <f t="shared" si="3"/>
        <v>Error?</v>
      </c>
    </row>
    <row r="285" spans="1:4" x14ac:dyDescent="0.2">
      <c r="A285" s="5">
        <v>224</v>
      </c>
      <c r="B285" s="138">
        <f>'Assets-Liab 5-6'!N36</f>
        <v>14615900</v>
      </c>
      <c r="D285" s="2" t="str">
        <f t="shared" si="3"/>
        <v>Error?</v>
      </c>
    </row>
    <row r="286" spans="1:4" x14ac:dyDescent="0.2">
      <c r="A286" s="10">
        <v>225</v>
      </c>
      <c r="D286" s="2" t="str">
        <f t="shared" si="3"/>
        <v>OK</v>
      </c>
    </row>
    <row r="287" spans="1:4" x14ac:dyDescent="0.2">
      <c r="A287" s="5">
        <v>226</v>
      </c>
      <c r="B287" s="138">
        <f>'Assets-Liab 5-6'!N37</f>
        <v>14615900</v>
      </c>
      <c r="C287" s="2" t="s">
        <v>593</v>
      </c>
      <c r="D287" s="2" t="str">
        <f t="shared" si="3"/>
        <v>Error?</v>
      </c>
    </row>
    <row r="288" spans="1:4" x14ac:dyDescent="0.2">
      <c r="A288" s="5">
        <v>227</v>
      </c>
      <c r="B288" s="138">
        <f>'Assets-Liab 5-6'!N41</f>
        <v>14615900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3740364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733775</v>
      </c>
      <c r="D717" s="2" t="str">
        <f t="shared" si="10"/>
        <v>Error?</v>
      </c>
    </row>
    <row r="718" spans="1:4" x14ac:dyDescent="0.2">
      <c r="A718" s="5">
        <v>657</v>
      </c>
      <c r="B718" s="138">
        <f>'Expenditures 15-22'!C14</f>
        <v>372055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6311868</v>
      </c>
      <c r="C720" s="2" t="s">
        <v>593</v>
      </c>
      <c r="D720" s="2" t="str">
        <f t="shared" si="10"/>
        <v>Error?</v>
      </c>
    </row>
    <row r="721" spans="1:4" x14ac:dyDescent="0.2">
      <c r="A721" s="5">
        <v>660</v>
      </c>
      <c r="B721" s="138">
        <f>'Expenditures 15-22'!C36</f>
        <v>73043</v>
      </c>
      <c r="D721" s="2" t="str">
        <f t="shared" si="10"/>
        <v>Error?</v>
      </c>
    </row>
    <row r="722" spans="1:4" x14ac:dyDescent="0.2">
      <c r="A722" s="5">
        <v>661</v>
      </c>
      <c r="B722" s="138">
        <f>'Expenditures 15-22'!C37</f>
        <v>155633</v>
      </c>
      <c r="D722" s="2" t="str">
        <f t="shared" si="10"/>
        <v>Error?</v>
      </c>
    </row>
    <row r="723" spans="1:4" x14ac:dyDescent="0.2">
      <c r="A723" s="5">
        <v>662</v>
      </c>
      <c r="B723" s="138">
        <f>'Expenditures 15-22'!C38</f>
        <v>61464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172730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462870</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108278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108278</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174682</v>
      </c>
      <c r="D733" s="2" t="str">
        <f t="shared" si="10"/>
        <v>Error?</v>
      </c>
    </row>
    <row r="734" spans="1:4" x14ac:dyDescent="0.2">
      <c r="A734" s="5">
        <v>673</v>
      </c>
      <c r="B734" s="138">
        <f>'Expenditures 15-22'!C53</f>
        <v>238558</v>
      </c>
      <c r="C734" s="2" t="s">
        <v>593</v>
      </c>
      <c r="D734" s="2" t="str">
        <f t="shared" si="10"/>
        <v>Error?</v>
      </c>
    </row>
    <row r="735" spans="1:4" x14ac:dyDescent="0.2">
      <c r="A735" s="5">
        <v>674</v>
      </c>
      <c r="B735" s="138">
        <f>'Expenditures 15-22'!C55</f>
        <v>524929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524929</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126231</v>
      </c>
      <c r="D739" s="2" t="str">
        <f t="shared" si="10"/>
        <v>Error?</v>
      </c>
    </row>
    <row r="740" spans="1:4" x14ac:dyDescent="0.2">
      <c r="A740" s="5">
        <v>679</v>
      </c>
      <c r="B740" s="138">
        <f>'Expenditures 15-22'!C61</f>
        <v>528166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226382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880779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2215414</v>
      </c>
      <c r="C755" s="2" t="s">
        <v>593</v>
      </c>
      <c r="D755" s="2" t="str">
        <f t="shared" si="10"/>
        <v>Error?</v>
      </c>
    </row>
    <row r="756" spans="1:4" x14ac:dyDescent="0.2">
      <c r="A756" s="5">
        <v>695</v>
      </c>
      <c r="B756" s="138">
        <f>'Expenditures 15-22'!C75</f>
        <v>11169</v>
      </c>
      <c r="D756" s="2" t="str">
        <f t="shared" si="10"/>
        <v>Error?</v>
      </c>
    </row>
    <row r="757" spans="1:4" x14ac:dyDescent="0.2">
      <c r="A757" s="5">
        <v>696</v>
      </c>
      <c r="B757" s="138">
        <f>'Expenditures 15-22'!C114</f>
        <v>8538451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678888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159394</v>
      </c>
      <c r="D775" s="2" t="str">
        <f t="shared" si="11"/>
        <v>Error?</v>
      </c>
    </row>
    <row r="776" spans="1:4" x14ac:dyDescent="0.2">
      <c r="A776" s="5">
        <v>715</v>
      </c>
      <c r="B776" s="138">
        <f>'Expenditures 15-22'!D14</f>
        <v>58104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1132523</v>
      </c>
      <c r="C778" s="2" t="s">
        <v>593</v>
      </c>
      <c r="D778" s="2" t="str">
        <f t="shared" si="11"/>
        <v>Error?</v>
      </c>
    </row>
    <row r="779" spans="1:4" x14ac:dyDescent="0.2">
      <c r="A779" s="5">
        <v>718</v>
      </c>
      <c r="B779" s="138">
        <f>'Expenditures 15-22'!D36</f>
        <v>7513</v>
      </c>
      <c r="D779" s="2" t="str">
        <f t="shared" si="11"/>
        <v>Error?</v>
      </c>
    </row>
    <row r="780" spans="1:4" x14ac:dyDescent="0.2">
      <c r="A780" s="5">
        <v>719</v>
      </c>
      <c r="B780" s="138">
        <f>'Expenditures 15-22'!D37</f>
        <v>29949</v>
      </c>
      <c r="D780" s="2" t="str">
        <f t="shared" si="11"/>
        <v>Error?</v>
      </c>
    </row>
    <row r="781" spans="1:4" x14ac:dyDescent="0.2">
      <c r="A781" s="5">
        <v>720</v>
      </c>
      <c r="B781" s="138">
        <f>'Expenditures 15-22'!D38</f>
        <v>11424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27044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75930</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11543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11543</v>
      </c>
      <c r="C789" s="2" t="s">
        <v>593</v>
      </c>
      <c r="D789" s="2" t="str">
        <f t="shared" si="11"/>
        <v>Error?</v>
      </c>
    </row>
    <row r="790" spans="1:4" x14ac:dyDescent="0.2">
      <c r="A790" s="5">
        <v>729</v>
      </c>
      <c r="B790" s="138">
        <f>'Expenditures 15-22'!D49</f>
        <v>10200</v>
      </c>
      <c r="D790" s="2" t="str">
        <f t="shared" si="11"/>
        <v>Error?</v>
      </c>
    </row>
    <row r="791" spans="1:4" x14ac:dyDescent="0.2">
      <c r="A791" s="5">
        <v>730</v>
      </c>
      <c r="B791" s="138">
        <f>'Expenditures 15-22'!D50</f>
        <v>32710</v>
      </c>
      <c r="D791" s="2" t="str">
        <f t="shared" si="11"/>
        <v>Error?</v>
      </c>
    </row>
    <row r="792" spans="1:4" x14ac:dyDescent="0.2">
      <c r="A792" s="5">
        <v>731</v>
      </c>
      <c r="B792" s="138">
        <f>'Expenditures 15-22'!D53</f>
        <v>58523</v>
      </c>
      <c r="C792" s="2" t="s">
        <v>593</v>
      </c>
      <c r="D792" s="2" t="str">
        <f t="shared" si="11"/>
        <v>Error?</v>
      </c>
    </row>
    <row r="793" spans="1:4" x14ac:dyDescent="0.2">
      <c r="A793" s="5">
        <v>732</v>
      </c>
      <c r="B793" s="138">
        <f>'Expenditures 15-22'!D55</f>
        <v>110657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110657</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13488</v>
      </c>
      <c r="D797" s="2" t="str">
        <f t="shared" si="11"/>
        <v>Error?</v>
      </c>
    </row>
    <row r="798" spans="1:4" x14ac:dyDescent="0.2">
      <c r="A798" s="5">
        <v>737</v>
      </c>
      <c r="B798" s="138">
        <f>'Expenditures 15-22'!D61</f>
        <v>65627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79162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335815</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1468338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6250</v>
      </c>
      <c r="D833" s="2" t="str">
        <f t="shared" si="12"/>
        <v>Error?</v>
      </c>
    </row>
    <row r="834" spans="1:4" x14ac:dyDescent="0.2">
      <c r="A834" s="5">
        <v>773</v>
      </c>
      <c r="B834" s="138">
        <f>'Expenditures 15-22'!E14</f>
        <v>43572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96198</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1880</v>
      </c>
      <c r="C843" s="2" t="s">
        <v>593</v>
      </c>
      <c r="D843" s="2" t="str">
        <f t="shared" si="12"/>
        <v>Error?</v>
      </c>
    </row>
    <row r="844" spans="1:4" x14ac:dyDescent="0.2">
      <c r="A844" s="5">
        <v>783</v>
      </c>
      <c r="B844" s="138">
        <f>'Expenditures 15-22'!E44</f>
        <v>31632</v>
      </c>
      <c r="D844" s="2" t="str">
        <f t="shared" si="12"/>
        <v>Error?</v>
      </c>
    </row>
    <row r="845" spans="1:4" x14ac:dyDescent="0.2">
      <c r="A845" s="5">
        <v>784</v>
      </c>
      <c r="B845" s="138">
        <f>'Expenditures 15-22'!E45</f>
        <v>7075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38707</v>
      </c>
      <c r="C847" s="2" t="s">
        <v>593</v>
      </c>
      <c r="D847" s="2" t="str">
        <f t="shared" si="12"/>
        <v>Error?</v>
      </c>
    </row>
    <row r="848" spans="1:4" x14ac:dyDescent="0.2">
      <c r="A848" s="5">
        <v>787</v>
      </c>
      <c r="B848" s="138">
        <f>'Expenditures 15-22'!E49</f>
        <v>67527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67527</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522</v>
      </c>
      <c r="D857" s="2" t="str">
        <f t="shared" si="12"/>
        <v>Error?</v>
      </c>
    </row>
    <row r="858" spans="1:4" x14ac:dyDescent="0.2">
      <c r="A858" s="5">
        <v>797</v>
      </c>
      <c r="B858" s="138">
        <f>'Expenditures 15-22'!E63</f>
        <v>9400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14753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21016</v>
      </c>
      <c r="D867" s="2" t="str">
        <f t="shared" si="12"/>
        <v>Error?</v>
      </c>
    </row>
    <row r="868" spans="1:4" x14ac:dyDescent="0.2">
      <c r="A868" s="10">
        <v>807</v>
      </c>
      <c r="D868" s="2" t="str">
        <f t="shared" si="12"/>
        <v>OK</v>
      </c>
    </row>
    <row r="869" spans="1:4" x14ac:dyDescent="0.2">
      <c r="A869" s="5">
        <v>808</v>
      </c>
      <c r="B869" s="138">
        <f>'Expenditures 15-22'!E72</f>
        <v>21016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143883</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240081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150673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14299</v>
      </c>
      <c r="D891" s="2" t="str">
        <f t="shared" si="12"/>
        <v>Error?</v>
      </c>
    </row>
    <row r="892" spans="1:4" x14ac:dyDescent="0.2">
      <c r="A892" s="5">
        <v>831</v>
      </c>
      <c r="B892" s="138">
        <f>'Expenditures 15-22'!F14</f>
        <v>38967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315449</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109</v>
      </c>
      <c r="D896" s="2" t="str">
        <f t="shared" si="13"/>
        <v>Error?</v>
      </c>
    </row>
    <row r="897" spans="1:4" x14ac:dyDescent="0.2">
      <c r="A897" s="5">
        <v>836</v>
      </c>
      <c r="B897" s="138">
        <f>'Expenditures 15-22'!F38</f>
        <v>565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899</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62910</v>
      </c>
      <c r="D903" s="2" t="str">
        <f t="shared" si="13"/>
        <v>Error?</v>
      </c>
    </row>
    <row r="904" spans="1:4" x14ac:dyDescent="0.2">
      <c r="A904" s="5">
        <v>843</v>
      </c>
      <c r="B904" s="138">
        <f>'Expenditures 15-22'!F46</f>
        <v>6486</v>
      </c>
      <c r="D904" s="2" t="str">
        <f t="shared" si="13"/>
        <v>Error?</v>
      </c>
    </row>
    <row r="905" spans="1:4" x14ac:dyDescent="0.2">
      <c r="A905" s="5">
        <v>844</v>
      </c>
      <c r="B905" s="138">
        <f>'Expenditures 15-22'!F47</f>
        <v>69396</v>
      </c>
      <c r="C905" s="2" t="s">
        <v>593</v>
      </c>
      <c r="D905" s="2" t="str">
        <f t="shared" si="13"/>
        <v>Error?</v>
      </c>
    </row>
    <row r="906" spans="1:4" x14ac:dyDescent="0.2">
      <c r="A906" s="5">
        <v>845</v>
      </c>
      <c r="B906" s="138">
        <f>'Expenditures 15-22'!F49</f>
        <v>7182</v>
      </c>
      <c r="D906" s="2" t="str">
        <f t="shared" si="13"/>
        <v>Error?</v>
      </c>
    </row>
    <row r="907" spans="1:4" x14ac:dyDescent="0.2">
      <c r="A907" s="5">
        <v>846</v>
      </c>
      <c r="B907" s="138">
        <f>'Expenditures 15-22'!F50</f>
        <v>3283</v>
      </c>
      <c r="D907" s="2" t="str">
        <f t="shared" si="13"/>
        <v>Error?</v>
      </c>
    </row>
    <row r="908" spans="1:4" x14ac:dyDescent="0.2">
      <c r="A908" s="5">
        <v>847</v>
      </c>
      <c r="B908" s="138">
        <f>'Expenditures 15-22'!F53</f>
        <v>10465</v>
      </c>
      <c r="C908" s="2" t="s">
        <v>593</v>
      </c>
      <c r="D908" s="2" t="str">
        <f t="shared" si="13"/>
        <v>Error?</v>
      </c>
    </row>
    <row r="909" spans="1:4" x14ac:dyDescent="0.2">
      <c r="A909" s="5">
        <v>848</v>
      </c>
      <c r="B909" s="138">
        <f>'Expenditures 15-22'!F55</f>
        <v>7754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7754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1776</v>
      </c>
      <c r="D915" s="2" t="str">
        <f t="shared" si="13"/>
        <v>Error?</v>
      </c>
    </row>
    <row r="916" spans="1:4" x14ac:dyDescent="0.2">
      <c r="A916" s="5">
        <v>855</v>
      </c>
      <c r="B916" s="138">
        <f>'Expenditures 15-22'!F63</f>
        <v>497052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503887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592401</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907850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68657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76627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8721</v>
      </c>
      <c r="D961" s="2" t="str">
        <f t="shared" si="14"/>
        <v>Error?</v>
      </c>
    </row>
    <row r="962" spans="1:4" x14ac:dyDescent="0.2">
      <c r="A962" s="5">
        <v>901</v>
      </c>
      <c r="B962" s="138">
        <f>'Expenditures 15-22'!G46</f>
        <v>799</v>
      </c>
      <c r="D962" s="2" t="str">
        <f t="shared" si="14"/>
        <v>Error?</v>
      </c>
    </row>
    <row r="963" spans="1:4" x14ac:dyDescent="0.2">
      <c r="A963" s="5">
        <v>902</v>
      </c>
      <c r="B963" s="138">
        <f>'Expenditures 15-22'!G47</f>
        <v>9520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9520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86147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6113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438224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4907</v>
      </c>
      <c r="D1022" s="2" t="str">
        <f t="shared" si="14"/>
        <v>Error?</v>
      </c>
    </row>
    <row r="1023" spans="1:4" x14ac:dyDescent="0.2">
      <c r="A1023" s="5">
        <v>962</v>
      </c>
      <c r="B1023" s="138">
        <f>'Expenditures 15-22'!H50</f>
        <v>1926</v>
      </c>
      <c r="D1023" s="2" t="str">
        <f t="shared" ref="D1023:D1086" si="15">IF(ISBLANK(B1023),"OK",IF(A1023-B1023=0,"OK","Error?"))</f>
        <v>Error?</v>
      </c>
    </row>
    <row r="1024" spans="1:4" x14ac:dyDescent="0.2">
      <c r="A1024" s="5">
        <v>963</v>
      </c>
      <c r="B1024" s="138">
        <f>'Expenditures 15-22'!H53</f>
        <v>6833</v>
      </c>
      <c r="C1024" s="2" t="s">
        <v>593</v>
      </c>
      <c r="D1024" s="2" t="str">
        <f t="shared" si="15"/>
        <v>Error?</v>
      </c>
    </row>
    <row r="1025" spans="1:4" x14ac:dyDescent="0.2">
      <c r="A1025" s="5">
        <v>964</v>
      </c>
      <c r="B1025" s="138">
        <f>'Expenditures 15-22'!H55</f>
        <v>2234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2234</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9117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379578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826919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4573847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982375</v>
      </c>
      <c r="C1105" s="2" t="s">
        <v>593</v>
      </c>
      <c r="D1105" s="2" t="str">
        <f t="shared" si="16"/>
        <v>Error?</v>
      </c>
    </row>
    <row r="1106" spans="1:4" x14ac:dyDescent="0.2">
      <c r="A1106" s="5">
        <v>1045</v>
      </c>
      <c r="B1106" s="138">
        <f>'Expenditures 15-22'!K14</f>
        <v>518811</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8370889</v>
      </c>
      <c r="C1108" s="2" t="s">
        <v>593</v>
      </c>
      <c r="D1108" s="2" t="str">
        <f t="shared" si="16"/>
        <v>Error?</v>
      </c>
    </row>
    <row r="1109" spans="1:4" x14ac:dyDescent="0.2">
      <c r="A1109" s="5">
        <v>1048</v>
      </c>
      <c r="B1109" s="138">
        <f>'Expenditures 15-22'!K36</f>
        <v>80556</v>
      </c>
      <c r="C1109" s="2" t="s">
        <v>593</v>
      </c>
      <c r="D1109" s="2" t="str">
        <f t="shared" si="16"/>
        <v>Error?</v>
      </c>
    </row>
    <row r="1110" spans="1:4" x14ac:dyDescent="0.2">
      <c r="A1110" s="5">
        <v>1049</v>
      </c>
      <c r="B1110" s="138">
        <f>'Expenditures 15-22'!K37</f>
        <v>185691</v>
      </c>
      <c r="C1110" s="2" t="s">
        <v>593</v>
      </c>
      <c r="D1110" s="2" t="str">
        <f t="shared" si="16"/>
        <v>Error?</v>
      </c>
    </row>
    <row r="1111" spans="1:4" x14ac:dyDescent="0.2">
      <c r="A1111" s="5">
        <v>1050</v>
      </c>
      <c r="B1111" s="138">
        <f>'Expenditures 15-22'!K38</f>
        <v>75333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199999</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541579</v>
      </c>
      <c r="C1115" s="2" t="s">
        <v>593</v>
      </c>
      <c r="D1115" s="2" t="str">
        <f t="shared" si="16"/>
        <v>Error?</v>
      </c>
    </row>
    <row r="1116" spans="1:4" x14ac:dyDescent="0.2">
      <c r="A1116" s="5">
        <v>1055</v>
      </c>
      <c r="B1116" s="138">
        <f>'Expenditures 15-22'!K44</f>
        <v>31632</v>
      </c>
      <c r="C1116" s="2" t="s">
        <v>593</v>
      </c>
      <c r="D1116" s="2" t="str">
        <f t="shared" si="16"/>
        <v>Error?</v>
      </c>
    </row>
    <row r="1117" spans="1:4" x14ac:dyDescent="0.2">
      <c r="A1117" s="5">
        <v>1056</v>
      </c>
      <c r="B1117" s="138">
        <f>'Expenditures 15-22'!K45</f>
        <v>198527</v>
      </c>
      <c r="C1117" s="2" t="s">
        <v>593</v>
      </c>
      <c r="D1117" s="2" t="str">
        <f t="shared" si="16"/>
        <v>Error?</v>
      </c>
    </row>
    <row r="1118" spans="1:4" x14ac:dyDescent="0.2">
      <c r="A1118" s="5">
        <v>1057</v>
      </c>
      <c r="B1118" s="138">
        <f>'Expenditures 15-22'!K46</f>
        <v>7285</v>
      </c>
      <c r="C1118" s="2" t="s">
        <v>593</v>
      </c>
      <c r="D1118" s="2" t="str">
        <f t="shared" si="16"/>
        <v>Error?</v>
      </c>
    </row>
    <row r="1119" spans="1:4" x14ac:dyDescent="0.2">
      <c r="A1119" s="5">
        <v>1058</v>
      </c>
      <c r="B1119" s="138">
        <f>'Expenditures 15-22'!K47</f>
        <v>237444</v>
      </c>
      <c r="C1119" s="2" t="s">
        <v>593</v>
      </c>
      <c r="D1119" s="2" t="str">
        <f t="shared" si="16"/>
        <v>Error?</v>
      </c>
    </row>
    <row r="1120" spans="1:4" x14ac:dyDescent="0.2">
      <c r="A1120" s="5">
        <v>1059</v>
      </c>
      <c r="B1120" s="138">
        <f>'Expenditures 15-22'!K49</f>
        <v>89816</v>
      </c>
      <c r="C1120" s="2" t="s">
        <v>593</v>
      </c>
      <c r="D1120" s="2" t="str">
        <f t="shared" si="16"/>
        <v>Error?</v>
      </c>
    </row>
    <row r="1121" spans="1:4" x14ac:dyDescent="0.2">
      <c r="A1121" s="5">
        <v>1060</v>
      </c>
      <c r="B1121" s="138">
        <f>'Expenditures 15-22'!K50</f>
        <v>212601</v>
      </c>
      <c r="C1121" s="2" t="s">
        <v>593</v>
      </c>
      <c r="D1121" s="2" t="str">
        <f t="shared" si="16"/>
        <v>Error?</v>
      </c>
    </row>
    <row r="1122" spans="1:4" x14ac:dyDescent="0.2">
      <c r="A1122" s="5">
        <v>1061</v>
      </c>
      <c r="B1122" s="138">
        <f>'Expenditures 15-22'!K53</f>
        <v>381906</v>
      </c>
      <c r="C1122" s="2" t="s">
        <v>593</v>
      </c>
      <c r="D1122" s="2" t="str">
        <f t="shared" si="16"/>
        <v>Error?</v>
      </c>
    </row>
    <row r="1123" spans="1:4" x14ac:dyDescent="0.2">
      <c r="A1123" s="5">
        <v>1062</v>
      </c>
      <c r="B1123" s="138">
        <f>'Expenditures 15-22'!K55</f>
        <v>645574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645574</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149624</v>
      </c>
      <c r="C1127" s="2" t="s">
        <v>593</v>
      </c>
      <c r="D1127" s="2" t="str">
        <f t="shared" si="16"/>
        <v>Error?</v>
      </c>
    </row>
    <row r="1128" spans="1:4" x14ac:dyDescent="0.2">
      <c r="A1128" s="5">
        <v>1067</v>
      </c>
      <c r="B1128" s="138">
        <f>'Expenditures 15-22'!K61</f>
        <v>593793</v>
      </c>
      <c r="C1128" s="2" t="s">
        <v>593</v>
      </c>
      <c r="D1128" s="2" t="str">
        <f t="shared" si="16"/>
        <v>Error?</v>
      </c>
    </row>
    <row r="1129" spans="1:4" x14ac:dyDescent="0.2">
      <c r="A1129" s="5">
        <v>1068</v>
      </c>
      <c r="B1129" s="138">
        <f>'Expenditures 15-22'!K62</f>
        <v>2298</v>
      </c>
      <c r="C1129" s="2" t="s">
        <v>593</v>
      </c>
      <c r="D1129" s="2" t="str">
        <f t="shared" si="16"/>
        <v>Error?</v>
      </c>
    </row>
    <row r="1130" spans="1:4" x14ac:dyDescent="0.2">
      <c r="A1130" s="5">
        <v>1069</v>
      </c>
      <c r="B1130" s="138">
        <f>'Expenditures 15-22'!K63</f>
        <v>732916</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1478631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21016</v>
      </c>
      <c r="C1139" s="2" t="s">
        <v>593</v>
      </c>
      <c r="D1139" s="2" t="str">
        <f t="shared" si="16"/>
        <v>Error?</v>
      </c>
    </row>
    <row r="1140" spans="1:4" x14ac:dyDescent="0.2">
      <c r="A1140" s="10">
        <v>1079</v>
      </c>
      <c r="D1140" s="2" t="str">
        <f t="shared" si="16"/>
        <v>OK</v>
      </c>
    </row>
    <row r="1141" spans="1:4" x14ac:dyDescent="0.2">
      <c r="A1141" s="5">
        <v>1080</v>
      </c>
      <c r="B1141" s="138">
        <f>'Expenditures 15-22'!K72</f>
        <v>21016</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3306150</v>
      </c>
      <c r="C1143" s="2" t="s">
        <v>593</v>
      </c>
      <c r="D1143" s="2" t="str">
        <f t="shared" si="16"/>
        <v>Error?</v>
      </c>
    </row>
    <row r="1144" spans="1:4" x14ac:dyDescent="0.2">
      <c r="A1144" s="5">
        <v>1083</v>
      </c>
      <c r="B1144" s="138">
        <f>'Expenditures 15-22'!K75</f>
        <v>11169</v>
      </c>
      <c r="C1144" s="2" t="s">
        <v>593</v>
      </c>
      <c r="D1144" s="2" t="str">
        <f t="shared" si="16"/>
        <v>Error?</v>
      </c>
    </row>
    <row r="1145" spans="1:4" x14ac:dyDescent="0.2">
      <c r="A1145" s="5">
        <v>1084</v>
      </c>
      <c r="B1145" s="138">
        <f>'Expenditures 15-22'!K102</f>
        <v>379578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12067786</v>
      </c>
      <c r="C1152" s="2" t="s">
        <v>593</v>
      </c>
      <c r="D1152" s="2" t="str">
        <f t="shared" si="17"/>
        <v>Error?</v>
      </c>
    </row>
    <row r="1153" spans="1:4" x14ac:dyDescent="0.2">
      <c r="A1153" s="5">
        <v>1092</v>
      </c>
      <c r="B1153" s="138">
        <f>'Expenditures 15-22'!K115</f>
        <v>412950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593</v>
      </c>
      <c r="D1225" s="2" t="str">
        <f t="shared" si="18"/>
        <v>Error?</v>
      </c>
    </row>
    <row r="1226" spans="1:4" x14ac:dyDescent="0.2">
      <c r="A1226" s="5">
        <v>1165</v>
      </c>
      <c r="B1226" s="138">
        <f>'Expenditures 15-22'!C151</f>
        <v>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593</v>
      </c>
      <c r="D1233" s="2" t="str">
        <f t="shared" si="18"/>
        <v>Error?</v>
      </c>
    </row>
    <row r="1234" spans="1:4" x14ac:dyDescent="0.2">
      <c r="A1234" s="5">
        <v>1173</v>
      </c>
      <c r="B1234" s="138">
        <f>'Expenditures 15-22'!D151</f>
        <v>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2988</v>
      </c>
      <c r="D1236" s="2" t="str">
        <f t="shared" si="18"/>
        <v>Error?</v>
      </c>
    </row>
    <row r="1237" spans="1:4" x14ac:dyDescent="0.2">
      <c r="A1237" s="5">
        <v>1176</v>
      </c>
      <c r="B1237" s="138">
        <f>'Expenditures 15-22'!E124</f>
        <v>155937</v>
      </c>
      <c r="D1237" s="2" t="str">
        <f t="shared" si="18"/>
        <v>Error?</v>
      </c>
    </row>
    <row r="1238" spans="1:4" x14ac:dyDescent="0.2">
      <c r="A1238" s="10">
        <v>1177</v>
      </c>
      <c r="D1238" s="2" t="str">
        <f t="shared" si="18"/>
        <v>OK</v>
      </c>
    </row>
    <row r="1239" spans="1:4" x14ac:dyDescent="0.2">
      <c r="A1239" s="5">
        <v>1178</v>
      </c>
      <c r="B1239" s="138">
        <f>'Expenditures 15-22'!E127</f>
        <v>158925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158925</v>
      </c>
      <c r="C1241" s="2" t="s">
        <v>593</v>
      </c>
      <c r="D1241" s="2" t="str">
        <f t="shared" si="18"/>
        <v>Error?</v>
      </c>
    </row>
    <row r="1242" spans="1:4" x14ac:dyDescent="0.2">
      <c r="A1242" s="5">
        <v>1181</v>
      </c>
      <c r="B1242" s="138">
        <f>'Expenditures 15-22'!E151</f>
        <v>158925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412502</v>
      </c>
      <c r="D1245" s="2" t="str">
        <f t="shared" si="18"/>
        <v>Error?</v>
      </c>
    </row>
    <row r="1246" spans="1:4" x14ac:dyDescent="0.2">
      <c r="A1246" s="10">
        <v>1185</v>
      </c>
      <c r="D1246" s="2" t="str">
        <f t="shared" si="18"/>
        <v>OK</v>
      </c>
    </row>
    <row r="1247" spans="1:4" x14ac:dyDescent="0.2">
      <c r="A1247" s="5">
        <v>1186</v>
      </c>
      <c r="B1247" s="138">
        <f>'Expenditures 15-22'!F127</f>
        <v>412502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412502</v>
      </c>
      <c r="C1249" s="2" t="s">
        <v>593</v>
      </c>
      <c r="D1249" s="2" t="str">
        <f t="shared" si="18"/>
        <v>Error?</v>
      </c>
    </row>
    <row r="1250" spans="1:4" x14ac:dyDescent="0.2">
      <c r="A1250" s="5">
        <v>1189</v>
      </c>
      <c r="B1250" s="138">
        <f>'Expenditures 15-22'!F151</f>
        <v>412502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157085</v>
      </c>
      <c r="D1252" s="2" t="str">
        <f t="shared" si="18"/>
        <v>Error?</v>
      </c>
    </row>
    <row r="1253" spans="1:4" x14ac:dyDescent="0.2">
      <c r="A1253" s="5">
        <v>1192</v>
      </c>
      <c r="B1253" s="138">
        <f>'Expenditures 15-22'!G124</f>
        <v>52621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209706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209706</v>
      </c>
      <c r="C1258" s="2" t="s">
        <v>593</v>
      </c>
      <c r="D1258" s="2" t="str">
        <f t="shared" si="18"/>
        <v>Error?</v>
      </c>
    </row>
    <row r="1259" spans="1:4" x14ac:dyDescent="0.2">
      <c r="A1259" s="5">
        <v>1198</v>
      </c>
      <c r="B1259" s="138">
        <f>'Expenditures 15-22'!G151</f>
        <v>209706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160073</v>
      </c>
      <c r="C1275" s="2" t="s">
        <v>593</v>
      </c>
      <c r="D1275" s="2" t="str">
        <f t="shared" si="18"/>
        <v>Error?</v>
      </c>
    </row>
    <row r="1276" spans="1:4" x14ac:dyDescent="0.2">
      <c r="A1276" s="5">
        <v>1215</v>
      </c>
      <c r="B1276" s="138">
        <f>'Expenditures 15-22'!K124</f>
        <v>621060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781133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781133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781133</v>
      </c>
      <c r="C1288" s="2" t="s">
        <v>593</v>
      </c>
      <c r="D1288" s="2" t="str">
        <f t="shared" si="19"/>
        <v>Error?</v>
      </c>
    </row>
    <row r="1289" spans="1:4" x14ac:dyDescent="0.2">
      <c r="A1289" s="5">
        <v>1228</v>
      </c>
      <c r="B1289" s="138">
        <f>'Expenditures 15-22'!K152</f>
        <v>203010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1250</v>
      </c>
      <c r="D1307" s="2" t="str">
        <f t="shared" si="19"/>
        <v>Error?</v>
      </c>
    </row>
    <row r="1308" spans="1:4" x14ac:dyDescent="0.2">
      <c r="A1308" s="5">
        <v>1247</v>
      </c>
      <c r="B1308" s="138">
        <f>'Expenditures 15-22'!E172</f>
        <v>1250</v>
      </c>
      <c r="C1308" s="2" t="s">
        <v>593</v>
      </c>
      <c r="D1308" s="2" t="str">
        <f t="shared" si="19"/>
        <v>Error?</v>
      </c>
    </row>
    <row r="1309" spans="1:4" x14ac:dyDescent="0.2">
      <c r="A1309" s="5">
        <v>1248</v>
      </c>
      <c r="B1309" s="138">
        <f>'Expenditures 15-22'!E174</f>
        <v>1250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438673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1197200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1635873</v>
      </c>
      <c r="C1317" s="2" t="s">
        <v>593</v>
      </c>
      <c r="D1317" s="2" t="str">
        <f t="shared" si="19"/>
        <v>Error?</v>
      </c>
    </row>
    <row r="1318" spans="1:4" x14ac:dyDescent="0.2">
      <c r="A1318" s="5">
        <v>1257</v>
      </c>
      <c r="B1318" s="138">
        <f>'Expenditures 15-22'!H174</f>
        <v>1635873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438673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1197200</v>
      </c>
      <c r="C1329" s="2" t="s">
        <v>593</v>
      </c>
      <c r="D1329" s="2" t="str">
        <f t="shared" si="19"/>
        <v>Error?</v>
      </c>
    </row>
    <row r="1330" spans="1:4" x14ac:dyDescent="0.2">
      <c r="A1330" s="5">
        <v>1269</v>
      </c>
      <c r="B1330" s="138">
        <f>'Expenditures 15-22'!K171</f>
        <v>1250</v>
      </c>
      <c r="C1330" s="2" t="s">
        <v>593</v>
      </c>
      <c r="D1330" s="2" t="str">
        <f t="shared" si="19"/>
        <v>Error?</v>
      </c>
    </row>
    <row r="1331" spans="1:4" x14ac:dyDescent="0.2">
      <c r="A1331" s="5">
        <v>1270</v>
      </c>
      <c r="B1331" s="138">
        <f>'Expenditures 15-22'!K172</f>
        <v>1637123</v>
      </c>
      <c r="C1331" s="2" t="s">
        <v>593</v>
      </c>
      <c r="D1331" s="2" t="str">
        <f t="shared" si="19"/>
        <v>Error?</v>
      </c>
    </row>
    <row r="1332" spans="1:4" x14ac:dyDescent="0.2">
      <c r="A1332" s="5">
        <v>1271</v>
      </c>
      <c r="B1332" s="138">
        <f>'Expenditures 15-22'!K174</f>
        <v>1637123</v>
      </c>
      <c r="C1332" s="2" t="s">
        <v>593</v>
      </c>
      <c r="D1332" s="2" t="str">
        <f t="shared" si="19"/>
        <v>Error?</v>
      </c>
    </row>
    <row r="1333" spans="1:4" x14ac:dyDescent="0.2">
      <c r="A1333" s="5">
        <v>1272</v>
      </c>
      <c r="B1333" s="138">
        <f>'Expenditures 15-22'!K175</f>
        <v>-161570</v>
      </c>
      <c r="C1333" s="2" t="s">
        <v>593</v>
      </c>
      <c r="D1333" s="2" t="str">
        <f t="shared" si="19"/>
        <v>Error?</v>
      </c>
    </row>
    <row r="1334" spans="1:4" x14ac:dyDescent="0.2">
      <c r="A1334" s="10">
        <v>1273</v>
      </c>
      <c r="D1334" s="2" t="str">
        <f t="shared" si="19"/>
        <v>OK</v>
      </c>
    </row>
    <row r="1335" spans="1:4" x14ac:dyDescent="0.2">
      <c r="A1335" s="5">
        <v>1274</v>
      </c>
      <c r="B1335" s="138">
        <f>'Expenditures 15-22'!C182</f>
        <v>393813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393813</v>
      </c>
      <c r="C1339" s="2" t="s">
        <v>593</v>
      </c>
      <c r="D1339" s="2" t="str">
        <f t="shared" si="19"/>
        <v>Error?</v>
      </c>
    </row>
    <row r="1340" spans="1:4" x14ac:dyDescent="0.2">
      <c r="A1340" s="5">
        <v>1279</v>
      </c>
      <c r="B1340" s="138">
        <f>'Expenditures 15-22'!C210</f>
        <v>393813</v>
      </c>
      <c r="C1340" s="2" t="s">
        <v>593</v>
      </c>
      <c r="D1340" s="2" t="str">
        <f t="shared" si="19"/>
        <v>Error?</v>
      </c>
    </row>
    <row r="1341" spans="1:4" x14ac:dyDescent="0.2">
      <c r="A1341" s="5">
        <v>1280</v>
      </c>
      <c r="B1341" s="138">
        <f>'Expenditures 15-22'!D182</f>
        <v>11445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11445</v>
      </c>
      <c r="C1345" s="2" t="s">
        <v>593</v>
      </c>
      <c r="D1345" s="2" t="str">
        <f t="shared" si="20"/>
        <v>Error?</v>
      </c>
    </row>
    <row r="1346" spans="1:4" x14ac:dyDescent="0.2">
      <c r="A1346" s="5">
        <v>1285</v>
      </c>
      <c r="B1346" s="138">
        <f>'Expenditures 15-22'!D210</f>
        <v>11445</v>
      </c>
      <c r="C1346" s="2" t="s">
        <v>593</v>
      </c>
      <c r="D1346" s="2" t="str">
        <f t="shared" si="20"/>
        <v>Error?</v>
      </c>
    </row>
    <row r="1347" spans="1:4" x14ac:dyDescent="0.2">
      <c r="A1347" s="5">
        <v>1286</v>
      </c>
      <c r="B1347" s="138">
        <f>'Expenditures 15-22'!E182</f>
        <v>100206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100206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100206</v>
      </c>
      <c r="C1353" s="2" t="s">
        <v>593</v>
      </c>
      <c r="D1353" s="2" t="str">
        <f t="shared" si="20"/>
        <v>Error?</v>
      </c>
    </row>
    <row r="1354" spans="1:4" x14ac:dyDescent="0.2">
      <c r="A1354" s="5">
        <v>1293</v>
      </c>
      <c r="B1354" s="138">
        <f>'Expenditures 15-22'!F182</f>
        <v>114797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114797</v>
      </c>
      <c r="C1358" s="2" t="s">
        <v>593</v>
      </c>
      <c r="D1358" s="2" t="str">
        <f t="shared" si="20"/>
        <v>Error?</v>
      </c>
    </row>
    <row r="1359" spans="1:4" x14ac:dyDescent="0.2">
      <c r="A1359" s="5">
        <v>1298</v>
      </c>
      <c r="B1359" s="138">
        <f>'Expenditures 15-22'!F210</f>
        <v>114797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620261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620261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620261</v>
      </c>
      <c r="C1388" s="2" t="s">
        <v>593</v>
      </c>
      <c r="D1388" s="2" t="str">
        <f t="shared" si="20"/>
        <v>Error?</v>
      </c>
    </row>
    <row r="1389" spans="1:4" x14ac:dyDescent="0.2">
      <c r="A1389" s="5">
        <v>1328</v>
      </c>
      <c r="B1389" s="138">
        <f>'Expenditures 15-22'!K211</f>
        <v>214484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9868</v>
      </c>
      <c r="D1407" s="2" t="str">
        <f t="shared" ref="D1407:D1470" si="21">IF(ISBLANK(B1407),"OK",IF(A1407-B1407=0,"OK","Error?"))</f>
        <v>Error?</v>
      </c>
    </row>
    <row r="1408" spans="1:4" x14ac:dyDescent="0.2">
      <c r="A1408" s="5">
        <v>1347</v>
      </c>
      <c r="B1408" s="138">
        <f>'Expenditures 15-22'!D223</f>
        <v>9828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170620</v>
      </c>
      <c r="C1410" s="2" t="s">
        <v>593</v>
      </c>
      <c r="D1410" s="2" t="str">
        <f t="shared" si="21"/>
        <v>Error?</v>
      </c>
    </row>
    <row r="1411" spans="1:4" x14ac:dyDescent="0.2">
      <c r="A1411" s="5">
        <v>1350</v>
      </c>
      <c r="B1411" s="138">
        <f>'Expenditures 15-22'!D232</f>
        <v>549</v>
      </c>
      <c r="D1411" s="2" t="str">
        <f t="shared" si="21"/>
        <v>Error?</v>
      </c>
    </row>
    <row r="1412" spans="1:4" x14ac:dyDescent="0.2">
      <c r="A1412" s="5">
        <v>1351</v>
      </c>
      <c r="B1412" s="138">
        <f>'Expenditures 15-22'!D233</f>
        <v>2247</v>
      </c>
      <c r="D1412" s="2" t="str">
        <f t="shared" si="21"/>
        <v>Error?</v>
      </c>
    </row>
    <row r="1413" spans="1:4" x14ac:dyDescent="0.2">
      <c r="A1413" s="5">
        <v>1352</v>
      </c>
      <c r="B1413" s="138">
        <f>'Expenditures 15-22'!D234</f>
        <v>14146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2346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19288</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17724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17724</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10573</v>
      </c>
      <c r="D1423" s="2" t="str">
        <f t="shared" si="21"/>
        <v>Error?</v>
      </c>
    </row>
    <row r="1424" spans="1:4" x14ac:dyDescent="0.2">
      <c r="A1424" s="5">
        <v>1363</v>
      </c>
      <c r="B1424" s="138">
        <f>'Expenditures 15-22'!D257</f>
        <v>11844</v>
      </c>
      <c r="C1424" s="2" t="s">
        <v>593</v>
      </c>
      <c r="D1424" s="2" t="str">
        <f t="shared" si="21"/>
        <v>Error?</v>
      </c>
    </row>
    <row r="1425" spans="1:4" x14ac:dyDescent="0.2">
      <c r="A1425" s="5">
        <v>1364</v>
      </c>
      <c r="B1425" s="138">
        <f>'Expenditures 15-22'!D259</f>
        <v>41026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41026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11351</v>
      </c>
      <c r="D1429" s="2" t="str">
        <f t="shared" si="21"/>
        <v>Error?</v>
      </c>
    </row>
    <row r="1430" spans="1:4" x14ac:dyDescent="0.2">
      <c r="A1430" s="5">
        <v>1369</v>
      </c>
      <c r="B1430" s="138">
        <f>'Expenditures 15-22'!D265</f>
        <v>151</v>
      </c>
      <c r="D1430" s="2" t="str">
        <f t="shared" si="21"/>
        <v>Error?</v>
      </c>
    </row>
    <row r="1431" spans="1:4" x14ac:dyDescent="0.2">
      <c r="A1431" s="5">
        <v>1370</v>
      </c>
      <c r="B1431" s="138">
        <f>'Expenditures 15-22'!D266</f>
        <v>130602</v>
      </c>
      <c r="D1431" s="2" t="str">
        <f t="shared" si="21"/>
        <v>Error?</v>
      </c>
    </row>
    <row r="1432" spans="1:4" x14ac:dyDescent="0.2">
      <c r="A1432" s="5">
        <v>1371</v>
      </c>
      <c r="B1432" s="138">
        <f>'Expenditures 15-22'!D267</f>
        <v>70195</v>
      </c>
      <c r="D1432" s="2" t="str">
        <f t="shared" si="21"/>
        <v>Error?</v>
      </c>
    </row>
    <row r="1433" spans="1:4" x14ac:dyDescent="0.2">
      <c r="A1433" s="5">
        <v>1372</v>
      </c>
      <c r="B1433" s="138">
        <f>'Expenditures 15-22'!D268</f>
        <v>53960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266259</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356141</v>
      </c>
      <c r="C1446" s="2" t="s">
        <v>593</v>
      </c>
      <c r="D1446" s="2" t="str">
        <f t="shared" si="21"/>
        <v>Error?</v>
      </c>
    </row>
    <row r="1447" spans="1:4" x14ac:dyDescent="0.2">
      <c r="A1447" s="5">
        <v>1386</v>
      </c>
      <c r="B1447" s="138">
        <f>'Expenditures 15-22'!D280</f>
        <v>162</v>
      </c>
      <c r="D1447" s="2" t="str">
        <f t="shared" si="21"/>
        <v>Error?</v>
      </c>
    </row>
    <row r="1448" spans="1:4" x14ac:dyDescent="0.2">
      <c r="A1448" s="5">
        <v>1387</v>
      </c>
      <c r="B1448" s="138">
        <f>'Expenditures 15-22'!D295</f>
        <v>526923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9868</v>
      </c>
      <c r="C1471" s="2" t="s">
        <v>593</v>
      </c>
      <c r="D1471" s="2" t="str">
        <f t="shared" ref="D1471:D1534" si="22">IF(ISBLANK(B1471),"OK",IF(A1471-B1471=0,"OK","Error?"))</f>
        <v>Error?</v>
      </c>
    </row>
    <row r="1472" spans="1:4" x14ac:dyDescent="0.2">
      <c r="A1472" s="5">
        <v>1411</v>
      </c>
      <c r="B1472" s="138">
        <f>'Expenditures 15-22'!K223</f>
        <v>9828</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170620</v>
      </c>
      <c r="C1474" s="2" t="s">
        <v>593</v>
      </c>
      <c r="D1474" s="2" t="str">
        <f t="shared" si="22"/>
        <v>Error?</v>
      </c>
    </row>
    <row r="1475" spans="1:4" x14ac:dyDescent="0.2">
      <c r="A1475" s="5">
        <v>1414</v>
      </c>
      <c r="B1475" s="138">
        <f>'Expenditures 15-22'!K232</f>
        <v>549</v>
      </c>
      <c r="C1475" s="2" t="s">
        <v>593</v>
      </c>
      <c r="D1475" s="2" t="str">
        <f t="shared" si="22"/>
        <v>Error?</v>
      </c>
    </row>
    <row r="1476" spans="1:4" x14ac:dyDescent="0.2">
      <c r="A1476" s="5">
        <v>1415</v>
      </c>
      <c r="B1476" s="138">
        <f>'Expenditures 15-22'!K233</f>
        <v>2247</v>
      </c>
      <c r="C1476" s="2" t="s">
        <v>593</v>
      </c>
      <c r="D1476" s="2" t="str">
        <f t="shared" si="22"/>
        <v>Error?</v>
      </c>
    </row>
    <row r="1477" spans="1:4" x14ac:dyDescent="0.2">
      <c r="A1477" s="5">
        <v>1416</v>
      </c>
      <c r="B1477" s="138">
        <f>'Expenditures 15-22'!K234</f>
        <v>14146</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2346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19288</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17724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17724</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10573</v>
      </c>
      <c r="C1487" s="2" t="s">
        <v>593</v>
      </c>
      <c r="D1487" s="2" t="str">
        <f t="shared" si="22"/>
        <v>Error?</v>
      </c>
    </row>
    <row r="1488" spans="1:4" x14ac:dyDescent="0.2">
      <c r="A1488" s="5">
        <v>1427</v>
      </c>
      <c r="B1488" s="138">
        <f>'Expenditures 15-22'!K257</f>
        <v>11844</v>
      </c>
      <c r="C1488" s="2" t="s">
        <v>593</v>
      </c>
      <c r="D1488" s="2" t="str">
        <f t="shared" si="22"/>
        <v>Error?</v>
      </c>
    </row>
    <row r="1489" spans="1:4" x14ac:dyDescent="0.2">
      <c r="A1489" s="5">
        <v>1428</v>
      </c>
      <c r="B1489" s="138">
        <f>'Expenditures 15-22'!K259</f>
        <v>41026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41026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11351</v>
      </c>
      <c r="C1493" s="2" t="s">
        <v>593</v>
      </c>
      <c r="D1493" s="2" t="str">
        <f t="shared" si="22"/>
        <v>Error?</v>
      </c>
    </row>
    <row r="1494" spans="1:4" x14ac:dyDescent="0.2">
      <c r="A1494" s="5">
        <v>1433</v>
      </c>
      <c r="B1494" s="138">
        <f>'Expenditures 15-22'!K265</f>
        <v>151</v>
      </c>
      <c r="C1494" s="2" t="s">
        <v>593</v>
      </c>
      <c r="D1494" s="2" t="str">
        <f t="shared" si="22"/>
        <v>Error?</v>
      </c>
    </row>
    <row r="1495" spans="1:4" x14ac:dyDescent="0.2">
      <c r="A1495" s="5">
        <v>1434</v>
      </c>
      <c r="B1495" s="138">
        <f>'Expenditures 15-22'!K266</f>
        <v>130602</v>
      </c>
      <c r="C1495" s="2" t="s">
        <v>593</v>
      </c>
      <c r="D1495" s="2" t="str">
        <f t="shared" si="22"/>
        <v>Error?</v>
      </c>
    </row>
    <row r="1496" spans="1:4" x14ac:dyDescent="0.2">
      <c r="A1496" s="5">
        <v>1435</v>
      </c>
      <c r="B1496" s="138">
        <f>'Expenditures 15-22'!K267</f>
        <v>70195</v>
      </c>
      <c r="C1496" s="2" t="s">
        <v>593</v>
      </c>
      <c r="D1496" s="2" t="str">
        <f t="shared" si="22"/>
        <v>Error?</v>
      </c>
    </row>
    <row r="1497" spans="1:4" x14ac:dyDescent="0.2">
      <c r="A1497" s="5">
        <v>1436</v>
      </c>
      <c r="B1497" s="138">
        <f>'Expenditures 15-22'!K268</f>
        <v>53960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266259</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356141</v>
      </c>
      <c r="C1510" s="2" t="s">
        <v>593</v>
      </c>
      <c r="D1510" s="2" t="str">
        <f t="shared" si="22"/>
        <v>Error?</v>
      </c>
    </row>
    <row r="1511" spans="1:4" x14ac:dyDescent="0.2">
      <c r="A1511" s="5">
        <v>1450</v>
      </c>
      <c r="B1511" s="138">
        <f>'Expenditures 15-22'!K280</f>
        <v>162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526923</v>
      </c>
      <c r="C1517" s="2" t="s">
        <v>593</v>
      </c>
      <c r="D1517" s="2" t="str">
        <f t="shared" si="22"/>
        <v>Error?</v>
      </c>
    </row>
    <row r="1518" spans="1:4" x14ac:dyDescent="0.2">
      <c r="A1518" s="5">
        <v>1457</v>
      </c>
      <c r="B1518" s="138">
        <f>'Expenditures 15-22'!K296</f>
        <v>-76741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6180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4576793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5054618</v>
      </c>
      <c r="C1630" s="2" t="s">
        <v>593</v>
      </c>
      <c r="D1630" s="2" t="str">
        <f t="shared" si="24"/>
        <v>Error?</v>
      </c>
    </row>
    <row r="1631" spans="1:4" x14ac:dyDescent="0.2">
      <c r="A1631" s="5">
        <v>1570</v>
      </c>
      <c r="B1631" s="138">
        <f>'Acct Summary 7-8'!D79</f>
        <v>1167285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1305420</v>
      </c>
      <c r="C1644" s="2" t="s">
        <v>593</v>
      </c>
      <c r="D1644" s="2" t="str">
        <f t="shared" si="24"/>
        <v>Error?</v>
      </c>
    </row>
    <row r="1645" spans="1:4" x14ac:dyDescent="0.2">
      <c r="A1645" s="5">
        <v>1584</v>
      </c>
      <c r="B1645" s="138">
        <f>'Acct Summary 7-8'!E79</f>
        <v>39540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48970</v>
      </c>
      <c r="C1658" s="2" t="s">
        <v>593</v>
      </c>
      <c r="D1658" s="2" t="str">
        <f t="shared" si="24"/>
        <v>Error?</v>
      </c>
    </row>
    <row r="1659" spans="1:4" x14ac:dyDescent="0.2">
      <c r="A1659" s="5">
        <v>1598</v>
      </c>
      <c r="B1659" s="138">
        <f>'Acct Summary 7-8'!F79</f>
        <v>433460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647944</v>
      </c>
      <c r="C1672" s="2" t="s">
        <v>593</v>
      </c>
      <c r="D1672" s="2" t="str">
        <f t="shared" si="25"/>
        <v>Error?</v>
      </c>
    </row>
    <row r="1673" spans="1:4" x14ac:dyDescent="0.2">
      <c r="A1673" s="5">
        <v>1612</v>
      </c>
      <c r="B1673" s="138">
        <f>'Acct Summary 7-8'!G79</f>
        <v>200418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123677</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6180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2086086</v>
      </c>
      <c r="C1744" s="2" t="s">
        <v>593</v>
      </c>
      <c r="D1744" s="2" t="str">
        <f t="shared" si="26"/>
        <v>Error?</v>
      </c>
    </row>
    <row r="1745" spans="1:5" x14ac:dyDescent="0.2">
      <c r="A1745" s="5">
        <v>1684</v>
      </c>
      <c r="B1745" s="138">
        <f>'Tax Sched 23'!B5</f>
        <v>566703</v>
      </c>
      <c r="C1745" s="2" t="s">
        <v>593</v>
      </c>
      <c r="D1745" s="2" t="str">
        <f t="shared" si="26"/>
        <v>Error?</v>
      </c>
    </row>
    <row r="1746" spans="1:5" x14ac:dyDescent="0.2">
      <c r="A1746" s="5">
        <v>1685</v>
      </c>
      <c r="B1746" s="138">
        <f>'Tax Sched 23'!B6</f>
        <v>1469674</v>
      </c>
      <c r="C1746" s="2" t="s">
        <v>593</v>
      </c>
      <c r="D1746" s="2" t="str">
        <f t="shared" si="26"/>
        <v>Error?</v>
      </c>
    </row>
    <row r="1747" spans="1:5" x14ac:dyDescent="0.2">
      <c r="A1747" s="5">
        <v>1686</v>
      </c>
      <c r="B1747" s="138">
        <f>'Tax Sched 23'!B7</f>
        <v>226681</v>
      </c>
      <c r="C1747" s="2" t="s">
        <v>593</v>
      </c>
      <c r="D1747" s="2" t="str">
        <f t="shared" si="26"/>
        <v>Error?</v>
      </c>
    </row>
    <row r="1748" spans="1:5" x14ac:dyDescent="0.2">
      <c r="A1748" s="5">
        <v>1687</v>
      </c>
      <c r="B1748" s="138">
        <f>'Tax Sched 23'!B8</f>
        <v>200662</v>
      </c>
      <c r="C1748" s="2" t="s">
        <v>593</v>
      </c>
      <c r="D1748" s="2" t="str">
        <f t="shared" si="26"/>
        <v>Error?</v>
      </c>
    </row>
    <row r="1749" spans="1:5" x14ac:dyDescent="0.2">
      <c r="A1749" s="5">
        <v>1688</v>
      </c>
      <c r="B1749" s="138">
        <f>'Tax Sched 23'!B10</f>
        <v>56670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902918</v>
      </c>
      <c r="C1752" s="2" t="s">
        <v>593</v>
      </c>
      <c r="D1752" s="2" t="str">
        <f t="shared" si="26"/>
        <v>Error?</v>
      </c>
    </row>
    <row r="1753" spans="1:5" x14ac:dyDescent="0.2">
      <c r="A1753" s="5">
        <v>1692</v>
      </c>
      <c r="B1753" s="138">
        <f>'Tax Sched 23'!B12</f>
        <v>56670</v>
      </c>
      <c r="C1753" s="2" t="s">
        <v>593</v>
      </c>
      <c r="D1753" s="2" t="str">
        <f t="shared" si="26"/>
        <v>Error?</v>
      </c>
    </row>
    <row r="1754" spans="1:5" x14ac:dyDescent="0.2">
      <c r="A1754" s="5">
        <v>1693</v>
      </c>
      <c r="B1754" s="138">
        <f>'Tax Sched 23'!B14</f>
        <v>45336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5868732</v>
      </c>
      <c r="C1759" s="2" t="s">
        <v>593</v>
      </c>
      <c r="D1759" s="2" t="str">
        <f t="shared" si="26"/>
        <v>Error?</v>
      </c>
    </row>
    <row r="1760" spans="1:5" x14ac:dyDescent="0.2">
      <c r="A1760" s="5">
        <v>1699</v>
      </c>
      <c r="B1760" s="138">
        <f>'Tax Sched 23'!D4</f>
        <v>2086086</v>
      </c>
      <c r="C1760" s="2" t="s">
        <v>593</v>
      </c>
      <c r="D1760" s="2" t="str">
        <f t="shared" si="26"/>
        <v>Error?</v>
      </c>
    </row>
    <row r="1761" spans="1:5" x14ac:dyDescent="0.2">
      <c r="A1761" s="5">
        <v>1700</v>
      </c>
      <c r="B1761" s="138">
        <f>'Tax Sched 23'!D5</f>
        <v>566703</v>
      </c>
      <c r="C1761" s="2" t="s">
        <v>593</v>
      </c>
      <c r="D1761" s="2" t="str">
        <f t="shared" si="26"/>
        <v>Error?</v>
      </c>
    </row>
    <row r="1762" spans="1:5" s="8" customFormat="1" x14ac:dyDescent="0.2">
      <c r="A1762" s="5">
        <v>1701</v>
      </c>
      <c r="B1762" s="138">
        <f>'Tax Sched 23'!D6</f>
        <v>1469674</v>
      </c>
      <c r="C1762" s="2" t="s">
        <v>593</v>
      </c>
      <c r="D1762" s="2" t="str">
        <f t="shared" si="26"/>
        <v>Error?</v>
      </c>
      <c r="E1762" s="9"/>
    </row>
    <row r="1763" spans="1:5" x14ac:dyDescent="0.2">
      <c r="A1763" s="5">
        <v>1702</v>
      </c>
      <c r="B1763" s="138">
        <f>'Tax Sched 23'!D7</f>
        <v>226681</v>
      </c>
      <c r="C1763" s="2" t="s">
        <v>593</v>
      </c>
      <c r="D1763" s="2" t="str">
        <f t="shared" si="26"/>
        <v>Error?</v>
      </c>
    </row>
    <row r="1764" spans="1:5" x14ac:dyDescent="0.2">
      <c r="A1764" s="5">
        <v>1703</v>
      </c>
      <c r="B1764" s="138">
        <f>'Tax Sched 23'!D8</f>
        <v>200662</v>
      </c>
      <c r="C1764" s="2" t="s">
        <v>593</v>
      </c>
      <c r="D1764" s="2" t="str">
        <f t="shared" si="26"/>
        <v>Error?</v>
      </c>
    </row>
    <row r="1765" spans="1:5" x14ac:dyDescent="0.2">
      <c r="A1765" s="5">
        <v>1704</v>
      </c>
      <c r="B1765" s="138">
        <f>'Tax Sched 23'!D10</f>
        <v>56670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902918</v>
      </c>
      <c r="C1768" s="2" t="s">
        <v>593</v>
      </c>
      <c r="D1768" s="2" t="str">
        <f t="shared" si="26"/>
        <v>Error?</v>
      </c>
    </row>
    <row r="1769" spans="1:5" x14ac:dyDescent="0.2">
      <c r="A1769" s="5">
        <v>1708</v>
      </c>
      <c r="B1769" s="138">
        <f>'Tax Sched 23'!D12</f>
        <v>56670</v>
      </c>
      <c r="C1769" s="2" t="s">
        <v>593</v>
      </c>
      <c r="D1769" s="2" t="str">
        <f t="shared" si="26"/>
        <v>Error?</v>
      </c>
    </row>
    <row r="1770" spans="1:5" x14ac:dyDescent="0.2">
      <c r="A1770" s="5">
        <v>1709</v>
      </c>
      <c r="B1770" s="138">
        <f>'Tax Sched 23'!D14</f>
        <v>45336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5868732</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2158165</v>
      </c>
      <c r="C1792" s="2" t="s">
        <v>593</v>
      </c>
      <c r="D1792" s="2" t="str">
        <f t="shared" si="27"/>
        <v>Error?</v>
      </c>
    </row>
    <row r="1793" spans="1:4" x14ac:dyDescent="0.2">
      <c r="A1793" s="5">
        <v>1732</v>
      </c>
      <c r="B1793" s="138">
        <f>'Tax Sched 23'!F5</f>
        <v>586459</v>
      </c>
      <c r="C1793" s="2" t="s">
        <v>593</v>
      </c>
      <c r="D1793" s="2" t="str">
        <f t="shared" si="27"/>
        <v>Error?</v>
      </c>
    </row>
    <row r="1794" spans="1:4" x14ac:dyDescent="0.2">
      <c r="A1794" s="5">
        <v>1733</v>
      </c>
      <c r="B1794" s="138">
        <f>'Tax Sched 23'!F6</f>
        <v>1509174</v>
      </c>
      <c r="C1794" s="2" t="s">
        <v>593</v>
      </c>
      <c r="D1794" s="2" t="str">
        <f t="shared" si="27"/>
        <v>Error?</v>
      </c>
    </row>
    <row r="1795" spans="1:4" x14ac:dyDescent="0.2">
      <c r="A1795" s="5">
        <v>1734</v>
      </c>
      <c r="B1795" s="138">
        <f>'Tax Sched 23'!F7</f>
        <v>234588</v>
      </c>
      <c r="C1795" s="2" t="s">
        <v>593</v>
      </c>
      <c r="D1795" s="2" t="str">
        <f t="shared" si="27"/>
        <v>Error?</v>
      </c>
    </row>
    <row r="1796" spans="1:4" x14ac:dyDescent="0.2">
      <c r="A1796" s="5">
        <v>1735</v>
      </c>
      <c r="B1796" s="138">
        <f>'Tax Sched 23'!F8</f>
        <v>219478</v>
      </c>
      <c r="C1796" s="2" t="s">
        <v>593</v>
      </c>
      <c r="D1796" s="2" t="str">
        <f t="shared" si="27"/>
        <v>Error?</v>
      </c>
    </row>
    <row r="1797" spans="1:4" x14ac:dyDescent="0.2">
      <c r="A1797" s="5">
        <v>1736</v>
      </c>
      <c r="B1797" s="138">
        <f>'Tax Sched 23'!F10</f>
        <v>58647</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893776</v>
      </c>
      <c r="C1800" s="2" t="s">
        <v>593</v>
      </c>
      <c r="D1800" s="2" t="str">
        <f t="shared" si="27"/>
        <v>Error?</v>
      </c>
    </row>
    <row r="1801" spans="1:4" x14ac:dyDescent="0.2">
      <c r="A1801" s="5">
        <v>1740</v>
      </c>
      <c r="B1801" s="138">
        <f>'Tax Sched 23'!F12</f>
        <v>58647</v>
      </c>
      <c r="C1801" s="2" t="s">
        <v>593</v>
      </c>
      <c r="D1801" s="2" t="str">
        <f t="shared" si="27"/>
        <v>Error?</v>
      </c>
    </row>
    <row r="1802" spans="1:4" x14ac:dyDescent="0.2">
      <c r="A1802" s="5">
        <v>1741</v>
      </c>
      <c r="B1802" s="138">
        <f>'Tax Sched 23'!F14</f>
        <v>46918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6043977</v>
      </c>
      <c r="C1807" s="2" t="s">
        <v>593</v>
      </c>
      <c r="D1807" s="2" t="str">
        <f t="shared" si="27"/>
        <v>Error?</v>
      </c>
    </row>
    <row r="1808" spans="1:4" x14ac:dyDescent="0.2">
      <c r="A1808" s="5">
        <v>1747</v>
      </c>
      <c r="B1808" s="138">
        <f>'Tax Sched 23'!E4</f>
        <v>2158165</v>
      </c>
      <c r="D1808" s="2" t="str">
        <f t="shared" si="27"/>
        <v>Error?</v>
      </c>
    </row>
    <row r="1809" spans="1:4" x14ac:dyDescent="0.2">
      <c r="A1809" s="5">
        <v>1748</v>
      </c>
      <c r="B1809" s="138">
        <f>'Tax Sched 23'!E5</f>
        <v>586459</v>
      </c>
      <c r="D1809" s="2" t="str">
        <f t="shared" si="27"/>
        <v>Error?</v>
      </c>
    </row>
    <row r="1810" spans="1:4" x14ac:dyDescent="0.2">
      <c r="A1810" s="5">
        <v>1749</v>
      </c>
      <c r="B1810" s="138">
        <f>'Tax Sched 23'!E6</f>
        <v>1509174</v>
      </c>
      <c r="D1810" s="2" t="str">
        <f t="shared" si="27"/>
        <v>Error?</v>
      </c>
    </row>
    <row r="1811" spans="1:4" x14ac:dyDescent="0.2">
      <c r="A1811" s="5">
        <v>1750</v>
      </c>
      <c r="B1811" s="138">
        <f>'Tax Sched 23'!E7</f>
        <v>234588</v>
      </c>
      <c r="D1811" s="2" t="str">
        <f t="shared" si="27"/>
        <v>Error?</v>
      </c>
    </row>
    <row r="1812" spans="1:4" x14ac:dyDescent="0.2">
      <c r="A1812" s="5">
        <v>1751</v>
      </c>
      <c r="B1812" s="138">
        <f>'Tax Sched 23'!E8</f>
        <v>219478</v>
      </c>
      <c r="D1812" s="2" t="str">
        <f t="shared" si="27"/>
        <v>Error?</v>
      </c>
    </row>
    <row r="1813" spans="1:4" x14ac:dyDescent="0.2">
      <c r="A1813" s="5">
        <v>1752</v>
      </c>
      <c r="B1813" s="138">
        <f>'Tax Sched 23'!E10</f>
        <v>58647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893776</v>
      </c>
      <c r="D1816" s="2" t="str">
        <f t="shared" si="27"/>
        <v>Error?</v>
      </c>
    </row>
    <row r="1817" spans="1:4" x14ac:dyDescent="0.2">
      <c r="A1817" s="5">
        <v>1756</v>
      </c>
      <c r="B1817" s="138">
        <f>'Tax Sched 23'!E12</f>
        <v>58647</v>
      </c>
      <c r="D1817" s="2" t="str">
        <f t="shared" si="27"/>
        <v>Error?</v>
      </c>
    </row>
    <row r="1818" spans="1:4" x14ac:dyDescent="0.2">
      <c r="A1818" s="5">
        <v>1757</v>
      </c>
      <c r="B1818" s="138">
        <f>'Tax Sched 23'!E14</f>
        <v>46918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6043977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15586300</v>
      </c>
      <c r="C1939" s="2" t="s">
        <v>593</v>
      </c>
      <c r="D1939" s="2" t="str">
        <f t="shared" si="29"/>
        <v>Error?</v>
      </c>
    </row>
    <row r="1940" spans="1:5" x14ac:dyDescent="0.2">
      <c r="A1940" s="5">
        <v>1879</v>
      </c>
      <c r="B1940" s="138">
        <f>'Short-Term Long-Term Debt 24'!F49</f>
        <v>226800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45336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93</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45429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45429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143601</v>
      </c>
      <c r="D2008" s="2" t="str">
        <f t="shared" si="30"/>
        <v>Error?</v>
      </c>
    </row>
    <row r="2009" spans="1:4" x14ac:dyDescent="0.2">
      <c r="A2009" s="5">
        <v>1948</v>
      </c>
      <c r="B2009" s="138">
        <f>'Cap Outlay Deprec 26'!C8</f>
        <v>26348660</v>
      </c>
      <c r="D2009" s="2" t="str">
        <f t="shared" si="30"/>
        <v>Error?</v>
      </c>
    </row>
    <row r="2010" spans="1:4" x14ac:dyDescent="0.2">
      <c r="A2010" s="5">
        <v>1949</v>
      </c>
      <c r="B2010" s="138">
        <f>'Cap Outlay Deprec 26'!C10</f>
        <v>2545958</v>
      </c>
      <c r="D2010" s="2" t="str">
        <f t="shared" si="30"/>
        <v>Error?</v>
      </c>
    </row>
    <row r="2011" spans="1:4" x14ac:dyDescent="0.2">
      <c r="A2011" s="5">
        <v>1950</v>
      </c>
      <c r="B2011" s="138">
        <f>'Cap Outlay Deprec 26'!C12</f>
        <v>1726106</v>
      </c>
      <c r="D2011" s="2" t="str">
        <f t="shared" si="30"/>
        <v>Error?</v>
      </c>
    </row>
    <row r="2012" spans="1:4" x14ac:dyDescent="0.2">
      <c r="A2012" s="5">
        <v>1951</v>
      </c>
      <c r="B2012" s="138">
        <f>'Cap Outlay Deprec 26'!C13</f>
        <v>1551061</v>
      </c>
      <c r="D2012" s="2" t="str">
        <f t="shared" si="30"/>
        <v>Error?</v>
      </c>
    </row>
    <row r="2013" spans="1:4" x14ac:dyDescent="0.2">
      <c r="A2013" s="5">
        <v>1952</v>
      </c>
      <c r="B2013" s="138">
        <f>'Cap Outlay Deprec 26'!C16</f>
        <v>32368731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414202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392832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807034</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143601</v>
      </c>
      <c r="C2026" s="2" t="s">
        <v>593</v>
      </c>
      <c r="D2026" s="2" t="str">
        <f t="shared" si="30"/>
        <v>Error?</v>
      </c>
    </row>
    <row r="2027" spans="1:4" x14ac:dyDescent="0.2">
      <c r="A2027" s="5">
        <v>1966</v>
      </c>
      <c r="B2027" s="138">
        <f>'Cap Outlay Deprec 26'!F8</f>
        <v>26762862</v>
      </c>
      <c r="C2027" s="2" t="s">
        <v>593</v>
      </c>
      <c r="D2027" s="2" t="str">
        <f t="shared" si="30"/>
        <v>Error?</v>
      </c>
    </row>
    <row r="2028" spans="1:4" x14ac:dyDescent="0.2">
      <c r="A2028" s="5">
        <v>1967</v>
      </c>
      <c r="B2028" s="138">
        <f>'Cap Outlay Deprec 26'!F10</f>
        <v>2545958</v>
      </c>
      <c r="C2028" s="2" t="s">
        <v>593</v>
      </c>
      <c r="D2028" s="2" t="str">
        <f t="shared" si="30"/>
        <v>Error?</v>
      </c>
    </row>
    <row r="2029" spans="1:4" x14ac:dyDescent="0.2">
      <c r="A2029" s="5">
        <v>1968</v>
      </c>
      <c r="B2029" s="138">
        <f>'Cap Outlay Deprec 26'!F12</f>
        <v>2118938</v>
      </c>
      <c r="C2029" s="2" t="s">
        <v>593</v>
      </c>
      <c r="D2029" s="2" t="str">
        <f t="shared" si="30"/>
        <v>Error?</v>
      </c>
    </row>
    <row r="2030" spans="1:4" x14ac:dyDescent="0.2">
      <c r="A2030" s="5">
        <v>1969</v>
      </c>
      <c r="B2030" s="138">
        <f>'Cap Outlay Deprec 26'!F13</f>
        <v>1551061</v>
      </c>
      <c r="C2030" s="2" t="s">
        <v>593</v>
      </c>
      <c r="D2030" s="2" t="str">
        <f t="shared" si="30"/>
        <v>Error?</v>
      </c>
    </row>
    <row r="2031" spans="1:4" x14ac:dyDescent="0.2">
      <c r="A2031" s="5">
        <v>1970</v>
      </c>
      <c r="B2031" s="138">
        <f>'Cap Outlay Deprec 26'!F16</f>
        <v>33175765</v>
      </c>
      <c r="C2031" s="2" t="s">
        <v>593</v>
      </c>
      <c r="D2031" s="2" t="str">
        <f t="shared" si="30"/>
        <v>Error?</v>
      </c>
    </row>
    <row r="2032" spans="1:4" x14ac:dyDescent="0.2">
      <c r="A2032" s="10">
        <v>1971</v>
      </c>
      <c r="D2032" s="2" t="str">
        <f t="shared" si="30"/>
        <v>OK</v>
      </c>
    </row>
    <row r="2033" spans="1:4" x14ac:dyDescent="0.2">
      <c r="A2033" s="5">
        <v>1972</v>
      </c>
      <c r="B2033" s="138">
        <f>'Cap Outlay Deprec 26'!H8</f>
        <v>10158547</v>
      </c>
      <c r="D2033" s="2" t="str">
        <f t="shared" si="30"/>
        <v>Error?</v>
      </c>
    </row>
    <row r="2034" spans="1:4" x14ac:dyDescent="0.2">
      <c r="A2034" s="5">
        <v>1973</v>
      </c>
      <c r="B2034" s="138">
        <f>'Cap Outlay Deprec 26'!H10</f>
        <v>1570193</v>
      </c>
      <c r="D2034" s="2" t="str">
        <f t="shared" si="30"/>
        <v>Error?</v>
      </c>
    </row>
    <row r="2035" spans="1:4" x14ac:dyDescent="0.2">
      <c r="A2035" s="5">
        <v>1974</v>
      </c>
      <c r="B2035" s="138">
        <f>'Cap Outlay Deprec 26'!H12</f>
        <v>753588</v>
      </c>
      <c r="D2035" s="2" t="str">
        <f t="shared" si="30"/>
        <v>Error?</v>
      </c>
    </row>
    <row r="2036" spans="1:4" x14ac:dyDescent="0.2">
      <c r="A2036" s="5">
        <v>1975</v>
      </c>
      <c r="B2036" s="138">
        <f>'Cap Outlay Deprec 26'!H13</f>
        <v>1271084</v>
      </c>
      <c r="D2036" s="2" t="str">
        <f t="shared" si="30"/>
        <v>Error?</v>
      </c>
    </row>
    <row r="2037" spans="1:4" x14ac:dyDescent="0.2">
      <c r="A2037" s="5">
        <v>1976</v>
      </c>
      <c r="B2037" s="138">
        <f>'Cap Outlay Deprec 26'!H16</f>
        <v>13804514</v>
      </c>
      <c r="C2037" s="2" t="s">
        <v>593</v>
      </c>
      <c r="D2037" s="2" t="str">
        <f t="shared" si="30"/>
        <v>Error?</v>
      </c>
    </row>
    <row r="2038" spans="1:4" x14ac:dyDescent="0.2">
      <c r="A2038" s="10">
        <v>1977</v>
      </c>
      <c r="D2038" s="2" t="str">
        <f t="shared" si="30"/>
        <v>OK</v>
      </c>
    </row>
    <row r="2039" spans="1:4" x14ac:dyDescent="0.2">
      <c r="A2039" s="5">
        <v>1978</v>
      </c>
      <c r="B2039" s="138">
        <f>'Cap Outlay Deprec 26'!I8</f>
        <v>473391</v>
      </c>
      <c r="D2039" s="2" t="str">
        <f t="shared" si="30"/>
        <v>Error?</v>
      </c>
    </row>
    <row r="2040" spans="1:4" x14ac:dyDescent="0.2">
      <c r="A2040" s="5">
        <v>1979</v>
      </c>
      <c r="B2040" s="138">
        <f>'Cap Outlay Deprec 26'!I10</f>
        <v>98780</v>
      </c>
      <c r="D2040" s="2" t="str">
        <f t="shared" si="30"/>
        <v>Error?</v>
      </c>
    </row>
    <row r="2041" spans="1:4" x14ac:dyDescent="0.2">
      <c r="A2041" s="5">
        <v>1980</v>
      </c>
      <c r="B2041" s="138">
        <f>'Cap Outlay Deprec 26'!I12</f>
        <v>211894</v>
      </c>
      <c r="D2041" s="2" t="str">
        <f t="shared" si="30"/>
        <v>Error?</v>
      </c>
    </row>
    <row r="2042" spans="1:4" x14ac:dyDescent="0.2">
      <c r="A2042" s="5">
        <v>1981</v>
      </c>
      <c r="B2042" s="138">
        <f>'Cap Outlay Deprec 26'!I13</f>
        <v>101954</v>
      </c>
      <c r="D2042" s="2" t="str">
        <f t="shared" si="30"/>
        <v>Error?</v>
      </c>
    </row>
    <row r="2043" spans="1:4" x14ac:dyDescent="0.2">
      <c r="A2043" s="5">
        <v>1982</v>
      </c>
      <c r="B2043" s="138">
        <f>'Cap Outlay Deprec 26'!I16</f>
        <v>887117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10631938</v>
      </c>
      <c r="C2051" s="2" t="s">
        <v>593</v>
      </c>
      <c r="D2051" s="2" t="str">
        <f t="shared" si="31"/>
        <v>Error?</v>
      </c>
    </row>
    <row r="2052" spans="1:4" x14ac:dyDescent="0.2">
      <c r="A2052" s="5">
        <v>1991</v>
      </c>
      <c r="B2052" s="138">
        <f>'Cap Outlay Deprec 26'!K10</f>
        <v>1668973</v>
      </c>
      <c r="C2052" s="2" t="s">
        <v>593</v>
      </c>
      <c r="D2052" s="2" t="str">
        <f t="shared" si="31"/>
        <v>Error?</v>
      </c>
    </row>
    <row r="2053" spans="1:4" x14ac:dyDescent="0.2">
      <c r="A2053" s="5">
        <v>1992</v>
      </c>
      <c r="B2053" s="138">
        <f>'Cap Outlay Deprec 26'!K12</f>
        <v>965482</v>
      </c>
      <c r="C2053" s="2" t="s">
        <v>593</v>
      </c>
      <c r="D2053" s="2" t="str">
        <f t="shared" si="31"/>
        <v>Error?</v>
      </c>
    </row>
    <row r="2054" spans="1:4" x14ac:dyDescent="0.2">
      <c r="A2054" s="5">
        <v>1993</v>
      </c>
      <c r="B2054" s="138">
        <f>'Cap Outlay Deprec 26'!K13</f>
        <v>1373038</v>
      </c>
      <c r="C2054" s="2" t="s">
        <v>593</v>
      </c>
      <c r="D2054" s="2" t="str">
        <f t="shared" si="31"/>
        <v>Error?</v>
      </c>
    </row>
    <row r="2055" spans="1:4" x14ac:dyDescent="0.2">
      <c r="A2055" s="5">
        <v>1994</v>
      </c>
      <c r="B2055" s="138">
        <f>'Cap Outlay Deprec 26'!K16</f>
        <v>14691631</v>
      </c>
      <c r="C2055" s="2" t="s">
        <v>593</v>
      </c>
      <c r="D2055" s="2" t="str">
        <f t="shared" si="31"/>
        <v>Error?</v>
      </c>
    </row>
    <row r="2056" spans="1:4" x14ac:dyDescent="0.2">
      <c r="A2056" s="5">
        <v>1995</v>
      </c>
      <c r="B2056" s="138">
        <f>'Cap Outlay Deprec 26'!L5</f>
        <v>143601</v>
      </c>
      <c r="C2056" s="2" t="s">
        <v>593</v>
      </c>
      <c r="D2056" s="2" t="str">
        <f t="shared" si="31"/>
        <v>Error?</v>
      </c>
    </row>
    <row r="2057" spans="1:4" x14ac:dyDescent="0.2">
      <c r="A2057" s="5">
        <v>1996</v>
      </c>
      <c r="B2057" s="138">
        <f>'Cap Outlay Deprec 26'!L8</f>
        <v>16130924</v>
      </c>
      <c r="C2057" s="2" t="s">
        <v>593</v>
      </c>
      <c r="D2057" s="2" t="str">
        <f t="shared" si="31"/>
        <v>Error?</v>
      </c>
    </row>
    <row r="2058" spans="1:4" x14ac:dyDescent="0.2">
      <c r="A2058" s="5">
        <v>1997</v>
      </c>
      <c r="B2058" s="138">
        <f>'Cap Outlay Deprec 26'!L10</f>
        <v>876985</v>
      </c>
      <c r="C2058" s="2" t="s">
        <v>593</v>
      </c>
      <c r="D2058" s="2" t="str">
        <f t="shared" si="31"/>
        <v>Error?</v>
      </c>
    </row>
    <row r="2059" spans="1:4" x14ac:dyDescent="0.2">
      <c r="A2059" s="5">
        <v>1998</v>
      </c>
      <c r="B2059" s="138">
        <f>'Cap Outlay Deprec 26'!L12</f>
        <v>1153456</v>
      </c>
      <c r="C2059" s="2" t="s">
        <v>593</v>
      </c>
      <c r="D2059" s="2" t="str">
        <f t="shared" si="31"/>
        <v>Error?</v>
      </c>
    </row>
    <row r="2060" spans="1:4" x14ac:dyDescent="0.2">
      <c r="A2060" s="5">
        <v>1999</v>
      </c>
      <c r="B2060" s="138">
        <f>'Cap Outlay Deprec 26'!L13</f>
        <v>178023</v>
      </c>
      <c r="C2060" s="2" t="s">
        <v>593</v>
      </c>
      <c r="D2060" s="2" t="str">
        <f t="shared" si="31"/>
        <v>Error?</v>
      </c>
    </row>
    <row r="2061" spans="1:4" x14ac:dyDescent="0.2">
      <c r="A2061" s="5">
        <v>2000</v>
      </c>
      <c r="B2061" s="138">
        <f>'Cap Outlay Deprec 26'!L16</f>
        <v>18484134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223214</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223214</v>
      </c>
      <c r="C2088" s="2" t="s">
        <v>593</v>
      </c>
      <c r="D2088" s="2" t="str">
        <f t="shared" si="31"/>
        <v>Error?</v>
      </c>
    </row>
    <row r="2089" spans="1:4" x14ac:dyDescent="0.2">
      <c r="A2089" s="5">
        <v>2028</v>
      </c>
      <c r="B2089" s="138">
        <f>'Expenditures 15-22'!K92</f>
        <v>156364</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171000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42485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6180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3691512</v>
      </c>
      <c r="C2551" s="2" t="s">
        <v>593</v>
      </c>
      <c r="D2551" s="2" t="str">
        <f t="shared" si="38"/>
        <v>Error?</v>
      </c>
    </row>
    <row r="2552" spans="1:4" x14ac:dyDescent="0.2">
      <c r="A2552" s="10">
        <v>2491</v>
      </c>
      <c r="D2552" s="2" t="str">
        <f t="shared" si="38"/>
        <v>OK</v>
      </c>
    </row>
    <row r="2553" spans="1:4" x14ac:dyDescent="0.2">
      <c r="A2553" s="5">
        <v>2492</v>
      </c>
      <c r="B2553" s="138">
        <f>'Acct Summary 7-8'!C6</f>
        <v>7577443</v>
      </c>
      <c r="C2553" s="2" t="s">
        <v>593</v>
      </c>
      <c r="D2553" s="2" t="str">
        <f t="shared" si="38"/>
        <v>Error?</v>
      </c>
    </row>
    <row r="2554" spans="1:4" x14ac:dyDescent="0.2">
      <c r="A2554" s="5">
        <v>2493</v>
      </c>
      <c r="B2554" s="138">
        <f>'Acct Summary 7-8'!C7</f>
        <v>1211781</v>
      </c>
      <c r="C2554" s="2" t="s">
        <v>593</v>
      </c>
      <c r="D2554" s="2" t="str">
        <f t="shared" si="38"/>
        <v>Error?</v>
      </c>
    </row>
    <row r="2555" spans="1:4" x14ac:dyDescent="0.2">
      <c r="A2555" s="5">
        <v>2494</v>
      </c>
      <c r="B2555" s="138">
        <f>'Acct Summary 7-8'!C8</f>
        <v>12480736</v>
      </c>
      <c r="C2555" s="2" t="s">
        <v>593</v>
      </c>
      <c r="D2555" s="2" t="str">
        <f t="shared" si="38"/>
        <v>Error?</v>
      </c>
    </row>
    <row r="2556" spans="1:4" x14ac:dyDescent="0.2">
      <c r="A2556" s="5">
        <v>2495</v>
      </c>
      <c r="B2556" s="138">
        <f>'Acct Summary 7-8'!C12</f>
        <v>8370889</v>
      </c>
      <c r="C2556" s="2" t="s">
        <v>593</v>
      </c>
      <c r="D2556" s="2" t="str">
        <f t="shared" si="38"/>
        <v>Error?</v>
      </c>
    </row>
    <row r="2557" spans="1:4" x14ac:dyDescent="0.2">
      <c r="A2557" s="5">
        <v>2496</v>
      </c>
      <c r="B2557" s="138">
        <f>'Acct Summary 7-8'!C13</f>
        <v>3306150</v>
      </c>
      <c r="C2557" s="2" t="s">
        <v>593</v>
      </c>
      <c r="D2557" s="2" t="str">
        <f t="shared" si="38"/>
        <v>Error?</v>
      </c>
    </row>
    <row r="2558" spans="1:4" x14ac:dyDescent="0.2">
      <c r="A2558" s="5">
        <v>2497</v>
      </c>
      <c r="B2558" s="138">
        <f>'Acct Summary 7-8'!C14</f>
        <v>11169</v>
      </c>
      <c r="C2558" s="2" t="s">
        <v>593</v>
      </c>
      <c r="D2558" s="2" t="str">
        <f t="shared" si="38"/>
        <v>Error?</v>
      </c>
    </row>
    <row r="2559" spans="1:4" x14ac:dyDescent="0.2">
      <c r="A2559" s="5">
        <v>2498</v>
      </c>
      <c r="B2559" s="138">
        <f>'Acct Summary 7-8'!C15</f>
        <v>379578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12067786</v>
      </c>
      <c r="C2561" s="2" t="s">
        <v>593</v>
      </c>
      <c r="D2561" s="2" t="str">
        <f t="shared" si="39"/>
        <v>Error?</v>
      </c>
    </row>
    <row r="2562" spans="1:4" x14ac:dyDescent="0.2">
      <c r="A2562" s="5">
        <v>2501</v>
      </c>
      <c r="B2562" s="138">
        <f>'Acct Summary 7-8'!C20</f>
        <v>412950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951504</v>
      </c>
      <c r="C2564" s="2" t="s">
        <v>593</v>
      </c>
      <c r="D2564" s="2" t="str">
        <f t="shared" si="39"/>
        <v>Error?</v>
      </c>
    </row>
    <row r="2565" spans="1:4" x14ac:dyDescent="0.2">
      <c r="A2565" s="10">
        <v>2504</v>
      </c>
      <c r="D2565" s="2" t="str">
        <f t="shared" si="39"/>
        <v>OK</v>
      </c>
    </row>
    <row r="2566" spans="1:4" x14ac:dyDescent="0.2">
      <c r="A2566" s="5">
        <v>2505</v>
      </c>
      <c r="B2566" s="138">
        <f>'Acct Summary 7-8'!D6</f>
        <v>32639</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984143</v>
      </c>
      <c r="C2568" s="2" t="s">
        <v>593</v>
      </c>
      <c r="D2568" s="2" t="str">
        <f t="shared" si="39"/>
        <v>Error?</v>
      </c>
    </row>
    <row r="2569" spans="1:4" x14ac:dyDescent="0.2">
      <c r="A2569" s="5">
        <v>2508</v>
      </c>
      <c r="B2569" s="138">
        <f>'Acct Summary 7-8'!D13</f>
        <v>781133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781133</v>
      </c>
      <c r="C2573" s="2" t="s">
        <v>593</v>
      </c>
      <c r="D2573" s="2" t="str">
        <f t="shared" si="39"/>
        <v>Error?</v>
      </c>
    </row>
    <row r="2574" spans="1:4" x14ac:dyDescent="0.2">
      <c r="A2574" s="5">
        <v>2513</v>
      </c>
      <c r="B2574" s="138">
        <f>'Acct Summary 7-8'!D20</f>
        <v>203010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290336</v>
      </c>
      <c r="C2591" s="2" t="s">
        <v>593</v>
      </c>
      <c r="D2591" s="2" t="str">
        <f t="shared" si="39"/>
        <v>Error?</v>
      </c>
    </row>
    <row r="2592" spans="1:4" x14ac:dyDescent="0.2">
      <c r="A2592" s="10">
        <v>2531</v>
      </c>
      <c r="D2592" s="2" t="str">
        <f t="shared" si="39"/>
        <v>OK</v>
      </c>
    </row>
    <row r="2593" spans="1:4" x14ac:dyDescent="0.2">
      <c r="A2593" s="5">
        <v>2532</v>
      </c>
      <c r="B2593" s="138">
        <f>'Acct Summary 7-8'!F6</f>
        <v>544409</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834745</v>
      </c>
      <c r="C2595" s="2" t="s">
        <v>593</v>
      </c>
      <c r="D2595" s="2" t="str">
        <f t="shared" si="39"/>
        <v>Error?</v>
      </c>
    </row>
    <row r="2596" spans="1:4" x14ac:dyDescent="0.2">
      <c r="A2596" s="5">
        <v>2535</v>
      </c>
      <c r="B2596" s="138">
        <f>'Acct Summary 7-8'!F13</f>
        <v>620261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620261</v>
      </c>
      <c r="C2600" s="2" t="s">
        <v>593</v>
      </c>
      <c r="D2600" s="2" t="str">
        <f t="shared" si="39"/>
        <v>Error?</v>
      </c>
    </row>
    <row r="2601" spans="1:4" x14ac:dyDescent="0.2">
      <c r="A2601" s="5">
        <v>2540</v>
      </c>
      <c r="B2601" s="138">
        <f>'Acct Summary 7-8'!F20</f>
        <v>214484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437187</v>
      </c>
      <c r="C2603" s="2" t="s">
        <v>593</v>
      </c>
      <c r="D2603" s="2" t="str">
        <f t="shared" si="39"/>
        <v>Error?</v>
      </c>
    </row>
    <row r="2604" spans="1:4" x14ac:dyDescent="0.2">
      <c r="A2604" s="5">
        <v>2543</v>
      </c>
      <c r="B2604" s="138">
        <f>'Acct Summary 7-8'!G6</f>
        <v>10920</v>
      </c>
      <c r="C2604" s="2" t="s">
        <v>593</v>
      </c>
      <c r="D2604" s="2" t="str">
        <f t="shared" si="39"/>
        <v>Error?</v>
      </c>
    </row>
    <row r="2605" spans="1:4" x14ac:dyDescent="0.2">
      <c r="A2605" s="5">
        <v>2544</v>
      </c>
      <c r="B2605" s="138">
        <f>'Acct Summary 7-8'!G7</f>
        <v>2075</v>
      </c>
      <c r="C2605" s="2" t="s">
        <v>593</v>
      </c>
      <c r="D2605" s="2" t="str">
        <f t="shared" si="39"/>
        <v>Error?</v>
      </c>
    </row>
    <row r="2606" spans="1:4" x14ac:dyDescent="0.2">
      <c r="A2606" s="5">
        <v>2545</v>
      </c>
      <c r="B2606" s="138">
        <f>'Acct Summary 7-8'!G8</f>
        <v>450182</v>
      </c>
      <c r="C2606" s="2" t="s">
        <v>593</v>
      </c>
      <c r="D2606" s="2" t="str">
        <f t="shared" si="39"/>
        <v>Error?</v>
      </c>
    </row>
    <row r="2607" spans="1:4" x14ac:dyDescent="0.2">
      <c r="A2607" s="5">
        <v>2546</v>
      </c>
      <c r="B2607" s="138">
        <f>'Acct Summary 7-8'!G12</f>
        <v>170620</v>
      </c>
      <c r="C2607" s="2" t="s">
        <v>593</v>
      </c>
      <c r="D2607" s="2" t="str">
        <f t="shared" si="39"/>
        <v>Error?</v>
      </c>
    </row>
    <row r="2608" spans="1:4" x14ac:dyDescent="0.2">
      <c r="A2608" s="5">
        <v>2547</v>
      </c>
      <c r="B2608" s="138">
        <f>'Acct Summary 7-8'!G13</f>
        <v>356141</v>
      </c>
      <c r="C2608" s="2" t="s">
        <v>593</v>
      </c>
      <c r="D2608" s="2" t="str">
        <f t="shared" si="39"/>
        <v>Error?</v>
      </c>
    </row>
    <row r="2609" spans="1:4" x14ac:dyDescent="0.2">
      <c r="A2609" s="5">
        <v>2548</v>
      </c>
      <c r="B2609" s="138">
        <f>'Acct Summary 7-8'!G14</f>
        <v>162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526923</v>
      </c>
      <c r="C2612" s="2" t="s">
        <v>593</v>
      </c>
      <c r="D2612" s="2" t="str">
        <f t="shared" si="39"/>
        <v>Error?</v>
      </c>
    </row>
    <row r="2613" spans="1:4" x14ac:dyDescent="0.2">
      <c r="A2613" s="5">
        <v>2552</v>
      </c>
      <c r="B2613" s="138">
        <f>'Acct Summary 7-8'!G20</f>
        <v>-76741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1475553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1475553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1637123</v>
      </c>
      <c r="C2634" s="2" t="s">
        <v>593</v>
      </c>
      <c r="D2634" s="2" t="str">
        <f t="shared" si="40"/>
        <v>Error?</v>
      </c>
    </row>
    <row r="2635" spans="1:4" x14ac:dyDescent="0.2">
      <c r="A2635" s="5">
        <v>2574</v>
      </c>
      <c r="B2635" s="138">
        <f>'Acct Summary 7-8'!E17</f>
        <v>1637123</v>
      </c>
      <c r="C2635" s="2" t="s">
        <v>593</v>
      </c>
      <c r="D2635" s="2" t="str">
        <f t="shared" si="40"/>
        <v>Error?</v>
      </c>
    </row>
    <row r="2636" spans="1:4" x14ac:dyDescent="0.2">
      <c r="A2636" s="5">
        <v>2575</v>
      </c>
      <c r="B2636" s="138">
        <f>'Acct Summary 7-8'!E20</f>
        <v>-161570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6180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6180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6180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63876</v>
      </c>
      <c r="D2718" s="2" t="str">
        <f t="shared" si="41"/>
        <v>Error?</v>
      </c>
    </row>
    <row r="2719" spans="1:4" x14ac:dyDescent="0.2">
      <c r="A2719" s="5">
        <v>2658</v>
      </c>
      <c r="B2719" s="138">
        <f>'Expenditures 15-22'!D51</f>
        <v>15613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79489</v>
      </c>
      <c r="C2724" s="2" t="s">
        <v>593</v>
      </c>
      <c r="D2724" s="2" t="str">
        <f t="shared" si="41"/>
        <v>Error?</v>
      </c>
    </row>
    <row r="2725" spans="1:4" x14ac:dyDescent="0.2">
      <c r="A2725" s="5">
        <v>2664</v>
      </c>
      <c r="B2725" s="138">
        <f>'Expenditures 15-22'!D247</f>
        <v>1271</v>
      </c>
      <c r="D2725" s="2" t="str">
        <f t="shared" si="41"/>
        <v>Error?</v>
      </c>
    </row>
    <row r="2726" spans="1:4" x14ac:dyDescent="0.2">
      <c r="A2726" s="5">
        <v>2665</v>
      </c>
      <c r="B2726" s="138">
        <f>'Expenditures 15-22'!K247</f>
        <v>1271</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409278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409467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182733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409467</v>
      </c>
      <c r="D2912" s="2" t="str">
        <f t="shared" si="44"/>
        <v>Error?</v>
      </c>
    </row>
    <row r="2913" spans="1:4" x14ac:dyDescent="0.2">
      <c r="A2913" s="5">
        <v>2852</v>
      </c>
      <c r="B2913" s="138">
        <f>'Assets-Liab 5-6'!I41</f>
        <v>409467</v>
      </c>
      <c r="C2913" s="2" t="s">
        <v>593</v>
      </c>
      <c r="D2913" s="2" t="str">
        <f t="shared" si="44"/>
        <v>Error?</v>
      </c>
    </row>
    <row r="2914" spans="1:4" x14ac:dyDescent="0.2">
      <c r="A2914" s="5">
        <v>2853</v>
      </c>
      <c r="B2914" s="138">
        <f>'Assets-Liab 5-6'!L33</f>
        <v>182733</v>
      </c>
      <c r="D2914" s="2" t="str">
        <f t="shared" si="44"/>
        <v>Error?</v>
      </c>
    </row>
    <row r="2915" spans="1:4" x14ac:dyDescent="0.2">
      <c r="A2915" s="10">
        <v>2854</v>
      </c>
      <c r="D2915" s="2" t="str">
        <f t="shared" si="44"/>
        <v>OK</v>
      </c>
    </row>
    <row r="2916" spans="1:4" x14ac:dyDescent="0.2">
      <c r="A2916" s="5">
        <v>2855</v>
      </c>
      <c r="B2916" s="138">
        <f>'Assets-Liab 5-6'!L34</f>
        <v>182733</v>
      </c>
      <c r="C2916" s="2" t="s">
        <v>593</v>
      </c>
      <c r="D2916" s="2" t="str">
        <f t="shared" si="44"/>
        <v>Error?</v>
      </c>
    </row>
    <row r="2917" spans="1:4" x14ac:dyDescent="0.2">
      <c r="A2917" s="5">
        <v>2856</v>
      </c>
      <c r="B2917" s="138">
        <f>'Assets-Liab 5-6'!L41</f>
        <v>182733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223214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223214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343456</v>
      </c>
      <c r="D3055" s="2" t="str">
        <f t="shared" si="46"/>
        <v>Error?</v>
      </c>
    </row>
    <row r="3056" spans="1:4" x14ac:dyDescent="0.2">
      <c r="A3056" s="5">
        <v>2995</v>
      </c>
      <c r="B3056" s="138">
        <f>'Expenditures 15-22'!D10</f>
        <v>80633</v>
      </c>
      <c r="D3056" s="2" t="str">
        <f t="shared" si="46"/>
        <v>Error?</v>
      </c>
    </row>
    <row r="3057" spans="1:4" x14ac:dyDescent="0.2">
      <c r="A3057" s="5">
        <v>2996</v>
      </c>
      <c r="B3057" s="138">
        <f>'Expenditures 15-22'!E10</f>
        <v>37507</v>
      </c>
      <c r="D3057" s="2" t="str">
        <f t="shared" si="46"/>
        <v>Error?</v>
      </c>
    </row>
    <row r="3058" spans="1:4" x14ac:dyDescent="0.2">
      <c r="A3058" s="5">
        <v>2997</v>
      </c>
      <c r="B3058" s="138">
        <f>'Expenditures 15-22'!F10</f>
        <v>104616</v>
      </c>
      <c r="D3058" s="2" t="str">
        <f t="shared" si="46"/>
        <v>Error?</v>
      </c>
    </row>
    <row r="3059" spans="1:4" x14ac:dyDescent="0.2">
      <c r="A3059" s="5">
        <v>2998</v>
      </c>
      <c r="B3059" s="138">
        <f>'Expenditures 15-22'!G10</f>
        <v>5593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571805</v>
      </c>
      <c r="C3062" s="2" t="s">
        <v>593</v>
      </c>
      <c r="D3062" s="2" t="str">
        <f t="shared" si="46"/>
        <v>Error?</v>
      </c>
    </row>
    <row r="3063" spans="1:4" x14ac:dyDescent="0.2">
      <c r="A3063" s="10">
        <v>3002</v>
      </c>
      <c r="D3063" s="2" t="str">
        <f t="shared" si="46"/>
        <v>OK</v>
      </c>
    </row>
    <row r="3064" spans="1:4" x14ac:dyDescent="0.2">
      <c r="A3064" s="5">
        <v>3003</v>
      </c>
      <c r="B3064" s="138">
        <f>'Expenditures 15-22'!D219</f>
        <v>16755</v>
      </c>
      <c r="D3064" s="2" t="str">
        <f t="shared" si="46"/>
        <v>Error?</v>
      </c>
    </row>
    <row r="3065" spans="1:4" x14ac:dyDescent="0.2">
      <c r="A3065" s="5">
        <v>3004</v>
      </c>
      <c r="B3065" s="138">
        <f>'Expenditures 15-22'!K219</f>
        <v>16755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60264</v>
      </c>
      <c r="C3225" s="2" t="s">
        <v>593</v>
      </c>
      <c r="D3225" s="2" t="str">
        <f t="shared" si="49"/>
        <v>Error?</v>
      </c>
    </row>
    <row r="3226" spans="1:4" x14ac:dyDescent="0.2">
      <c r="A3226" s="5">
        <v>3165</v>
      </c>
      <c r="B3226" s="138">
        <f>'Acct Summary 7-8'!I8</f>
        <v>60264</v>
      </c>
      <c r="C3226" s="2" t="s">
        <v>593</v>
      </c>
      <c r="D3226" s="2" t="str">
        <f t="shared" si="49"/>
        <v>Error?</v>
      </c>
    </row>
    <row r="3227" spans="1:4" x14ac:dyDescent="0.2">
      <c r="A3227" s="5">
        <v>3166</v>
      </c>
      <c r="B3227" s="138">
        <f>'Acct Summary 7-8'!I20</f>
        <v>60264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64875</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64875</v>
      </c>
      <c r="C3232" s="2" t="s">
        <v>593</v>
      </c>
      <c r="D3232" s="2" t="str">
        <f t="shared" si="49"/>
        <v>Error?</v>
      </c>
    </row>
    <row r="3233" spans="1:4" x14ac:dyDescent="0.2">
      <c r="A3233" s="5">
        <v>3172</v>
      </c>
      <c r="B3233" s="138">
        <f>'Acct Summary 7-8'!C78</f>
        <v>477825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64875</v>
      </c>
      <c r="C3237" s="2" t="s">
        <v>593</v>
      </c>
      <c r="D3237" s="2" t="str">
        <f t="shared" si="49"/>
        <v>Error?</v>
      </c>
    </row>
    <row r="3238" spans="1:4" x14ac:dyDescent="0.2">
      <c r="A3238" s="5">
        <v>3177</v>
      </c>
      <c r="B3238" s="138">
        <f>'Acct Summary 7-8'!D77</f>
        <v>-64875</v>
      </c>
      <c r="C3238" s="2" t="s">
        <v>593</v>
      </c>
      <c r="D3238" s="2" t="str">
        <f t="shared" si="49"/>
        <v>Error?</v>
      </c>
    </row>
    <row r="3239" spans="1:4" x14ac:dyDescent="0.2">
      <c r="A3239" s="5">
        <v>3178</v>
      </c>
      <c r="B3239" s="138">
        <f>'Acct Summary 7-8'!D78</f>
        <v>138135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214484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-76741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171000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171000</v>
      </c>
      <c r="C3277" s="2" t="s">
        <v>593</v>
      </c>
      <c r="D3277" s="2" t="str">
        <f t="shared" si="50"/>
        <v>Error?</v>
      </c>
    </row>
    <row r="3278" spans="1:4" x14ac:dyDescent="0.2">
      <c r="A3278" s="5">
        <v>3217</v>
      </c>
      <c r="B3278" s="138">
        <f>'Acct Summary 7-8'!E78</f>
        <v>9430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6180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171000</v>
      </c>
      <c r="C3318" s="2" t="s">
        <v>593</v>
      </c>
      <c r="D3318" s="2" t="str">
        <f t="shared" si="50"/>
        <v>Error?</v>
      </c>
    </row>
    <row r="3319" spans="1:4" x14ac:dyDescent="0.2">
      <c r="A3319" s="5">
        <v>3258</v>
      </c>
      <c r="B3319" s="138">
        <f>'Acct Summary 7-8'!I77</f>
        <v>-171000</v>
      </c>
      <c r="C3319" s="2" t="s">
        <v>593</v>
      </c>
      <c r="D3319" s="2" t="str">
        <f t="shared" si="50"/>
        <v>Error?</v>
      </c>
    </row>
    <row r="3320" spans="1:4" x14ac:dyDescent="0.2">
      <c r="A3320" s="5">
        <v>3259</v>
      </c>
      <c r="B3320" s="138">
        <f>'Acct Summary 7-8'!I78</f>
        <v>-110736</v>
      </c>
      <c r="C3320" s="2" t="s">
        <v>593</v>
      </c>
      <c r="D3320" s="2" t="str">
        <f t="shared" si="50"/>
        <v>Error?</v>
      </c>
    </row>
    <row r="3321" spans="1:4" x14ac:dyDescent="0.2">
      <c r="A3321" s="5">
        <v>3260</v>
      </c>
      <c r="B3321" s="138">
        <f>'Acct Summary 7-8'!I79</f>
        <v>345203</v>
      </c>
      <c r="D3321" s="2" t="str">
        <f t="shared" si="50"/>
        <v>Error?</v>
      </c>
    </row>
    <row r="3322" spans="1:4" x14ac:dyDescent="0.2">
      <c r="A3322" s="5">
        <v>3261</v>
      </c>
      <c r="B3322" s="138">
        <f>'Acct Summary 7-8'!I80</f>
        <v>175000</v>
      </c>
      <c r="D3322" s="2" t="str">
        <f t="shared" si="50"/>
        <v>Error?</v>
      </c>
    </row>
    <row r="3323" spans="1:4" x14ac:dyDescent="0.2">
      <c r="A3323" s="5">
        <v>3262</v>
      </c>
      <c r="B3323" s="138">
        <f>'Acct Summary 7-8'!I81</f>
        <v>409467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972245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140272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1789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1123467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56710</v>
      </c>
      <c r="D3387" s="2" t="str">
        <f t="shared" si="51"/>
        <v>Error?</v>
      </c>
    </row>
    <row r="3388" spans="1:4" x14ac:dyDescent="0.2">
      <c r="A3388" s="5">
        <v>3327</v>
      </c>
      <c r="B3388" s="138">
        <f>'Expenditures 15-22'!D217</f>
        <v>67300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56710</v>
      </c>
      <c r="C3390" s="2" t="s">
        <v>593</v>
      </c>
      <c r="D3390" s="2" t="str">
        <f t="shared" si="51"/>
        <v>Error?</v>
      </c>
    </row>
    <row r="3391" spans="1:4" x14ac:dyDescent="0.2">
      <c r="A3391" s="5">
        <v>3330</v>
      </c>
      <c r="B3391" s="138">
        <f>'Expenditures 15-22'!K217</f>
        <v>67300</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653104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42554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v>
      </c>
      <c r="D3417" s="2" t="str">
        <f t="shared" si="52"/>
        <v>Error?</v>
      </c>
    </row>
    <row r="3418" spans="1:4" x14ac:dyDescent="0.2">
      <c r="A3418" s="10">
        <v>3357</v>
      </c>
      <c r="D3418" s="2" t="str">
        <f t="shared" si="52"/>
        <v>OK</v>
      </c>
    </row>
    <row r="3419" spans="1:4" x14ac:dyDescent="0.2">
      <c r="A3419" s="5">
        <v>3358</v>
      </c>
      <c r="B3419" s="138">
        <f>'Assets-Liab 5-6'!F4</f>
        <v>159219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28995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6180</v>
      </c>
      <c r="D3425" s="2" t="str">
        <f t="shared" si="52"/>
        <v>Error?</v>
      </c>
    </row>
    <row r="3426" spans="1:4" x14ac:dyDescent="0.2">
      <c r="A3426" s="10">
        <v>3365</v>
      </c>
      <c r="D3426" s="2" t="str">
        <f t="shared" si="52"/>
        <v>OK</v>
      </c>
    </row>
    <row r="3427" spans="1:4" x14ac:dyDescent="0.2">
      <c r="A3427" s="5">
        <v>3366</v>
      </c>
      <c r="B3427" s="138">
        <f>'Assets-Liab 5-6'!I4</f>
        <v>189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182733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200662</v>
      </c>
      <c r="C3446" s="2" t="s">
        <v>593</v>
      </c>
      <c r="D3446" s="2" t="str">
        <f t="shared" si="52"/>
        <v>Error?</v>
      </c>
    </row>
    <row r="3447" spans="1:4" x14ac:dyDescent="0.2">
      <c r="A3447" s="5">
        <v>3386</v>
      </c>
      <c r="B3447" s="138">
        <f>'Tax Sched 23'!D16</f>
        <v>200662</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219478</v>
      </c>
      <c r="C3449" s="2" t="s">
        <v>593</v>
      </c>
      <c r="D3449" s="2" t="str">
        <f t="shared" si="52"/>
        <v>Error?</v>
      </c>
    </row>
    <row r="3450" spans="1:4" x14ac:dyDescent="0.2">
      <c r="A3450" s="5">
        <v>3389</v>
      </c>
      <c r="B3450" s="138">
        <f>'Tax Sched 23'!E16</f>
        <v>219478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10139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171671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181810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181810</v>
      </c>
      <c r="D3567" s="2" t="str">
        <f t="shared" si="54"/>
        <v>Error?</v>
      </c>
    </row>
    <row r="3568" spans="1:4" x14ac:dyDescent="0.2">
      <c r="A3568" s="5">
        <v>3507</v>
      </c>
      <c r="B3568" s="138">
        <f>'Assets-Liab 5-6'!K41</f>
        <v>181810</v>
      </c>
      <c r="C3568" s="2" t="s">
        <v>593</v>
      </c>
      <c r="D3568" s="2" t="str">
        <f t="shared" si="54"/>
        <v>Error?</v>
      </c>
    </row>
    <row r="3569" spans="1:4" x14ac:dyDescent="0.2">
      <c r="A3569" s="5">
        <v>3508</v>
      </c>
      <c r="B3569" s="138">
        <f>'Acct Summary 7-8'!K4</f>
        <v>138449</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138449</v>
      </c>
      <c r="C3571" s="2" t="s">
        <v>593</v>
      </c>
      <c r="D3571" s="2" t="str">
        <f t="shared" si="54"/>
        <v>Error?</v>
      </c>
    </row>
    <row r="3572" spans="1:4" x14ac:dyDescent="0.2">
      <c r="A3572" s="5">
        <v>3511</v>
      </c>
      <c r="B3572" s="138">
        <f>'Acct Summary 7-8'!K13</f>
        <v>382317</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382317</v>
      </c>
      <c r="C3575" s="2" t="s">
        <v>593</v>
      </c>
      <c r="D3575" s="2" t="str">
        <f t="shared" si="54"/>
        <v>Error?</v>
      </c>
    </row>
    <row r="3576" spans="1:4" x14ac:dyDescent="0.2">
      <c r="A3576" s="5">
        <v>3515</v>
      </c>
      <c r="B3576" s="138">
        <f>'Acct Summary 7-8'!K20</f>
        <v>-243868</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226800</v>
      </c>
      <c r="D3579" s="2" t="str">
        <f t="shared" si="54"/>
        <v>Error?</v>
      </c>
    </row>
    <row r="3580" spans="1:4" x14ac:dyDescent="0.2">
      <c r="A3580" s="5">
        <v>3519</v>
      </c>
      <c r="B3580" s="138">
        <f>'Acct Summary 7-8'!K34</f>
        <v>6434</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233234</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233234</v>
      </c>
      <c r="C3587" s="2" t="s">
        <v>593</v>
      </c>
      <c r="D3587" s="2" t="str">
        <f t="shared" si="55"/>
        <v>Error?</v>
      </c>
    </row>
    <row r="3588" spans="1:4" x14ac:dyDescent="0.2">
      <c r="A3588" s="5">
        <v>3527</v>
      </c>
      <c r="B3588" s="138">
        <f>'Acct Summary 7-8'!K78</f>
        <v>-10634</v>
      </c>
      <c r="C3588" s="2" t="s">
        <v>593</v>
      </c>
      <c r="D3588" s="2" t="str">
        <f t="shared" si="55"/>
        <v>Error?</v>
      </c>
    </row>
    <row r="3589" spans="1:4" x14ac:dyDescent="0.2">
      <c r="A3589" s="5">
        <v>3528</v>
      </c>
      <c r="B3589" s="138">
        <f>'Acct Summary 7-8'!K79</f>
        <v>192444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181810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758</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758</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758</v>
      </c>
      <c r="C3621" s="2" t="s">
        <v>593</v>
      </c>
      <c r="D3621" s="2" t="str">
        <f t="shared" si="55"/>
        <v>Error?</v>
      </c>
    </row>
    <row r="3622" spans="1:4" x14ac:dyDescent="0.2">
      <c r="A3622" s="5">
        <v>3561</v>
      </c>
      <c r="B3622" s="138">
        <f>'Expenditures 15-22'!C367</f>
        <v>758</v>
      </c>
      <c r="C3622" s="2" t="s">
        <v>593</v>
      </c>
      <c r="D3622" s="2" t="str">
        <f t="shared" si="55"/>
        <v>Error?</v>
      </c>
    </row>
    <row r="3623" spans="1:4" x14ac:dyDescent="0.2">
      <c r="A3623" s="10">
        <v>3562</v>
      </c>
      <c r="D3623" s="2" t="str">
        <f t="shared" si="55"/>
        <v>OK</v>
      </c>
    </row>
    <row r="3624" spans="1:4" x14ac:dyDescent="0.2">
      <c r="A3624" s="5">
        <v>3563</v>
      </c>
      <c r="B3624" s="138">
        <f>'Expenditures 15-22'!D348</f>
        <v>28</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28</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28</v>
      </c>
      <c r="C3628" s="2" t="s">
        <v>593</v>
      </c>
      <c r="D3628" s="2" t="str">
        <f t="shared" si="55"/>
        <v>Error?</v>
      </c>
    </row>
    <row r="3629" spans="1:4" x14ac:dyDescent="0.2">
      <c r="A3629" s="5">
        <v>3568</v>
      </c>
      <c r="B3629" s="138">
        <f>'Expenditures 15-22'!D367</f>
        <v>28</v>
      </c>
      <c r="C3629" s="2" t="s">
        <v>593</v>
      </c>
      <c r="D3629" s="2" t="str">
        <f t="shared" si="55"/>
        <v>Error?</v>
      </c>
    </row>
    <row r="3630" spans="1:4" x14ac:dyDescent="0.2">
      <c r="A3630" s="10">
        <v>3569</v>
      </c>
      <c r="D3630" s="2" t="str">
        <f t="shared" si="55"/>
        <v>OK</v>
      </c>
    </row>
    <row r="3631" spans="1:4" x14ac:dyDescent="0.2">
      <c r="A3631" s="5">
        <v>3570</v>
      </c>
      <c r="B3631" s="138">
        <f>'Expenditures 15-22'!E348</f>
        <v>37536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37536</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37536</v>
      </c>
      <c r="C3635" s="2" t="s">
        <v>593</v>
      </c>
      <c r="D3635" s="2" t="str">
        <f t="shared" si="55"/>
        <v>Error?</v>
      </c>
    </row>
    <row r="3636" spans="1:4" x14ac:dyDescent="0.2">
      <c r="A3636" s="5">
        <v>3575</v>
      </c>
      <c r="B3636" s="138">
        <f>'Expenditures 15-22'!E367</f>
        <v>37536</v>
      </c>
      <c r="C3636" s="2" t="s">
        <v>593</v>
      </c>
      <c r="D3636" s="2" t="str">
        <f t="shared" si="55"/>
        <v>Error?</v>
      </c>
    </row>
    <row r="3637" spans="1:4" x14ac:dyDescent="0.2">
      <c r="A3637" s="10">
        <v>3576</v>
      </c>
      <c r="D3637" s="2" t="str">
        <f t="shared" si="55"/>
        <v>OK</v>
      </c>
    </row>
    <row r="3638" spans="1:4" x14ac:dyDescent="0.2">
      <c r="A3638" s="5">
        <v>3577</v>
      </c>
      <c r="B3638" s="138">
        <f>'Expenditures 15-22'!F348</f>
        <v>4012</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4012</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4012</v>
      </c>
      <c r="C3642" s="2" t="s">
        <v>593</v>
      </c>
      <c r="D3642" s="2" t="str">
        <f t="shared" si="55"/>
        <v>Error?</v>
      </c>
    </row>
    <row r="3643" spans="1:4" x14ac:dyDescent="0.2">
      <c r="A3643" s="5">
        <v>3582</v>
      </c>
      <c r="B3643" s="138">
        <f>'Expenditures 15-22'!F367</f>
        <v>4012</v>
      </c>
      <c r="C3643" s="2" t="s">
        <v>593</v>
      </c>
      <c r="D3643" s="2" t="str">
        <f t="shared" si="55"/>
        <v>Error?</v>
      </c>
    </row>
    <row r="3644" spans="1:4" x14ac:dyDescent="0.2">
      <c r="A3644" s="10">
        <v>3583</v>
      </c>
      <c r="D3644" s="2" t="str">
        <f t="shared" si="55"/>
        <v>OK</v>
      </c>
    </row>
    <row r="3645" spans="1:4" x14ac:dyDescent="0.2">
      <c r="A3645" s="5">
        <v>3584</v>
      </c>
      <c r="B3645" s="138">
        <f>'Expenditures 15-22'!G348</f>
        <v>339983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339983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339983</v>
      </c>
      <c r="C3649" s="2" t="s">
        <v>593</v>
      </c>
      <c r="D3649" s="2" t="str">
        <f t="shared" si="56"/>
        <v>Error?</v>
      </c>
    </row>
    <row r="3650" spans="1:4" x14ac:dyDescent="0.2">
      <c r="A3650" s="5">
        <v>3589</v>
      </c>
      <c r="B3650" s="138">
        <f>'Expenditures 15-22'!G367</f>
        <v>339983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382317</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382317</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382317</v>
      </c>
      <c r="C3672" s="2" t="s">
        <v>593</v>
      </c>
      <c r="D3672" s="2" t="str">
        <f t="shared" si="56"/>
        <v>Error?</v>
      </c>
    </row>
    <row r="3673" spans="1:4" x14ac:dyDescent="0.2">
      <c r="A3673" s="5">
        <v>3612</v>
      </c>
      <c r="B3673" s="138" t="str">
        <f>'Expenditures 15-22'!K354</f>
        <v xml:space="preserve"> </v>
      </c>
      <c r="C3673" s="2" t="s">
        <v>593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382317</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-243868</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56670</v>
      </c>
      <c r="C3725" s="2" t="s">
        <v>593</v>
      </c>
      <c r="D3725" s="2" t="str">
        <f t="shared" si="57"/>
        <v>Error?</v>
      </c>
    </row>
    <row r="3726" spans="1:4" x14ac:dyDescent="0.2">
      <c r="A3726" s="5">
        <v>3665</v>
      </c>
      <c r="B3726" s="138">
        <f>'Tax Sched 23'!D13</f>
        <v>56670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58647</v>
      </c>
      <c r="C3728" s="2" t="s">
        <v>593</v>
      </c>
      <c r="D3728" s="2" t="str">
        <f t="shared" si="57"/>
        <v>Error?</v>
      </c>
    </row>
    <row r="3729" spans="1:4" x14ac:dyDescent="0.2">
      <c r="A3729" s="5">
        <v>3668</v>
      </c>
      <c r="B3729" s="138">
        <f>'Tax Sched 23'!E13</f>
        <v>58647</v>
      </c>
      <c r="D3729" s="2" t="str">
        <f t="shared" si="57"/>
        <v>Error?</v>
      </c>
    </row>
    <row r="3730" spans="1:4" x14ac:dyDescent="0.2">
      <c r="A3730" s="5">
        <v>3669</v>
      </c>
      <c r="B3730" s="138">
        <f>'ICR Computation 30'!E10</f>
        <v>465775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5617358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18098094</v>
      </c>
      <c r="C4122" s="2" t="s">
        <v>593</v>
      </c>
      <c r="D4122" s="2" t="str">
        <f t="shared" si="63"/>
        <v>Error?</v>
      </c>
    </row>
    <row r="4123" spans="1:4" x14ac:dyDescent="0.2">
      <c r="A4123" s="5">
        <v>4062</v>
      </c>
      <c r="B4123" s="138">
        <f>'Acct Summary 7-8'!D10</f>
        <v>984143</v>
      </c>
      <c r="C4123" s="2" t="s">
        <v>593</v>
      </c>
      <c r="D4123" s="2" t="str">
        <f t="shared" si="63"/>
        <v>Error?</v>
      </c>
    </row>
    <row r="4124" spans="1:4" x14ac:dyDescent="0.2">
      <c r="A4124" s="5">
        <v>4063</v>
      </c>
      <c r="B4124" s="138">
        <f>'Acct Summary 7-8'!E10</f>
        <v>1475553</v>
      </c>
      <c r="C4124" s="2" t="s">
        <v>593</v>
      </c>
      <c r="D4124" s="2" t="str">
        <f t="shared" si="63"/>
        <v>Error?</v>
      </c>
    </row>
    <row r="4125" spans="1:4" x14ac:dyDescent="0.2">
      <c r="A4125" s="5">
        <v>4064</v>
      </c>
      <c r="B4125" s="138">
        <f>'Acct Summary 7-8'!F10</f>
        <v>834745</v>
      </c>
      <c r="C4125" s="2" t="s">
        <v>593</v>
      </c>
      <c r="D4125" s="2" t="str">
        <f t="shared" si="63"/>
        <v>Error?</v>
      </c>
    </row>
    <row r="4126" spans="1:4" x14ac:dyDescent="0.2">
      <c r="A4126" s="5">
        <v>4065</v>
      </c>
      <c r="B4126" s="138">
        <f>'Acct Summary 7-8'!G10</f>
        <v>450182</v>
      </c>
      <c r="C4126" s="2" t="s">
        <v>593</v>
      </c>
      <c r="D4126" s="2" t="str">
        <f t="shared" si="63"/>
        <v>Error?</v>
      </c>
    </row>
    <row r="4127" spans="1:4" x14ac:dyDescent="0.2">
      <c r="A4127" s="5">
        <v>4066</v>
      </c>
      <c r="B4127" s="138">
        <f>'Acct Summary 7-8'!H10</f>
        <v>6180</v>
      </c>
      <c r="C4127" s="2" t="s">
        <v>593</v>
      </c>
      <c r="D4127" s="2" t="str">
        <f t="shared" si="63"/>
        <v>Error?</v>
      </c>
    </row>
    <row r="4128" spans="1:4" x14ac:dyDescent="0.2">
      <c r="A4128" s="5">
        <v>4067</v>
      </c>
      <c r="B4128" s="138">
        <f>'Acct Summary 7-8'!I10</f>
        <v>60264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138449</v>
      </c>
      <c r="C4130" s="2" t="s">
        <v>593</v>
      </c>
      <c r="D4130" s="2" t="str">
        <f t="shared" si="63"/>
        <v>Error?</v>
      </c>
    </row>
    <row r="4131" spans="1:4" x14ac:dyDescent="0.2">
      <c r="A4131" s="5">
        <v>4070</v>
      </c>
      <c r="B4131" s="138">
        <f>'Acct Summary 7-8'!C18</f>
        <v>5617358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17685144</v>
      </c>
      <c r="C4136" s="2" t="s">
        <v>593</v>
      </c>
      <c r="D4136" s="2" t="str">
        <f t="shared" si="63"/>
        <v>Error?</v>
      </c>
    </row>
    <row r="4137" spans="1:4" x14ac:dyDescent="0.2">
      <c r="A4137" s="5">
        <v>4076</v>
      </c>
      <c r="B4137" s="138">
        <f>'Acct Summary 7-8'!D19</f>
        <v>781133</v>
      </c>
      <c r="C4137" s="2" t="s">
        <v>593</v>
      </c>
      <c r="D4137" s="2" t="str">
        <f t="shared" si="63"/>
        <v>Error?</v>
      </c>
    </row>
    <row r="4138" spans="1:4" x14ac:dyDescent="0.2">
      <c r="A4138" s="5">
        <v>4077</v>
      </c>
      <c r="B4138" s="138">
        <f>'Acct Summary 7-8'!E19</f>
        <v>1637123</v>
      </c>
      <c r="C4138" s="2" t="s">
        <v>593</v>
      </c>
      <c r="D4138" s="2" t="str">
        <f t="shared" si="63"/>
        <v>Error?</v>
      </c>
    </row>
    <row r="4139" spans="1:4" x14ac:dyDescent="0.2">
      <c r="A4139" s="5">
        <v>4078</v>
      </c>
      <c r="B4139" s="138">
        <f>'Acct Summary 7-8'!F19</f>
        <v>620261</v>
      </c>
      <c r="C4139" s="2" t="s">
        <v>593</v>
      </c>
      <c r="D4139" s="2" t="str">
        <f t="shared" si="63"/>
        <v>Error?</v>
      </c>
    </row>
    <row r="4140" spans="1:4" x14ac:dyDescent="0.2">
      <c r="A4140" s="5">
        <v>4079</v>
      </c>
      <c r="B4140" s="138">
        <f>'Acct Summary 7-8'!G19</f>
        <v>526923</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382317</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14615900</v>
      </c>
      <c r="C4171" s="2" t="s">
        <v>593</v>
      </c>
      <c r="D4171" s="2" t="str">
        <f t="shared" si="64"/>
        <v>Error?</v>
      </c>
    </row>
    <row r="4172" spans="1:4" x14ac:dyDescent="0.2">
      <c r="A4172" s="5">
        <v>4111</v>
      </c>
      <c r="B4172" s="138">
        <f>'Short-Term Long-Term Debt 24'!J49</f>
        <v>14566930</v>
      </c>
      <c r="C4172" s="2" t="s">
        <v>593</v>
      </c>
      <c r="D4172" s="2" t="str">
        <f t="shared" si="64"/>
        <v>Error?</v>
      </c>
    </row>
    <row r="4173" spans="1:4" x14ac:dyDescent="0.2">
      <c r="A4173" s="5">
        <v>4112</v>
      </c>
      <c r="B4173" s="138">
        <f>'Short-Term Long-Term Debt 24'!H49</f>
        <v>1197200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1827.08</v>
      </c>
      <c r="C4265" s="2" t="s">
        <v>593</v>
      </c>
      <c r="D4265" s="2" t="str">
        <f t="shared" si="65"/>
        <v>Error?</v>
      </c>
      <c r="E4265" s="128"/>
    </row>
    <row r="4266" spans="1:5" x14ac:dyDescent="0.2">
      <c r="A4266" s="12">
        <v>4205</v>
      </c>
      <c r="B4266" s="138">
        <f>('FP Info 3'!F10)*100000</f>
        <v>496.49000000000007</v>
      </c>
      <c r="C4266" s="2" t="s">
        <v>593</v>
      </c>
      <c r="D4266" s="2" t="str">
        <f t="shared" si="65"/>
        <v>Error?</v>
      </c>
      <c r="E4266" s="128"/>
    </row>
    <row r="4267" spans="1:5" x14ac:dyDescent="0.2">
      <c r="A4267" s="12">
        <v>4206</v>
      </c>
      <c r="B4267" s="138">
        <f>('FP Info 3'!H10)*100000</f>
        <v>198.6</v>
      </c>
      <c r="C4267" s="2" t="s">
        <v>593</v>
      </c>
      <c r="D4267" s="2" t="str">
        <f t="shared" si="65"/>
        <v>Error?</v>
      </c>
      <c r="E4267" s="128"/>
    </row>
    <row r="4268" spans="1:5" x14ac:dyDescent="0.2">
      <c r="A4268" s="12">
        <v>4207</v>
      </c>
      <c r="B4268" s="138">
        <f>('FP Info 3'!J10)*100000</f>
        <v>2522</v>
      </c>
      <c r="C4268" s="2" t="s">
        <v>593</v>
      </c>
      <c r="D4268" s="2" t="str">
        <f t="shared" si="65"/>
        <v>Error?</v>
      </c>
    </row>
    <row r="4269" spans="1:5" x14ac:dyDescent="0.2">
      <c r="A4269" s="12">
        <v>4208</v>
      </c>
      <c r="B4269" s="138">
        <f>'FP Info 3'!J16</f>
        <v>7417449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23274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46668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27285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27285</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6231</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64329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49.65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118106671</v>
      </c>
      <c r="D4995" s="2" t="str">
        <f t="shared" si="77"/>
        <v>Error?</v>
      </c>
    </row>
    <row r="4996" spans="1:4" x14ac:dyDescent="0.2">
      <c r="A4996" s="12">
        <v>4935</v>
      </c>
      <c r="B4996" s="138">
        <f>'FP Info 3'!H31</f>
        <v>16298720.598000001</v>
      </c>
      <c r="D4996" s="2" t="str">
        <f t="shared" si="77"/>
        <v>Error?</v>
      </c>
    </row>
    <row r="4997" spans="1:4" x14ac:dyDescent="0.2">
      <c r="A4997" s="12">
        <v>4936</v>
      </c>
      <c r="B4997" s="138">
        <f>'FP Info 3'!H37</f>
        <v>14615900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64875</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64875</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2086086</v>
      </c>
      <c r="D5061" s="2" t="str">
        <f t="shared" si="78"/>
        <v>Error?</v>
      </c>
    </row>
    <row r="5062" spans="1:4" x14ac:dyDescent="0.2">
      <c r="A5062" s="10">
        <v>5001</v>
      </c>
      <c r="D5062" s="2" t="str">
        <f t="shared" si="78"/>
        <v>OK</v>
      </c>
    </row>
    <row r="5063" spans="1:4" x14ac:dyDescent="0.2">
      <c r="A5063" s="5">
        <v>5002</v>
      </c>
      <c r="B5063" s="138">
        <f>'Revenues 9-14'!C7</f>
        <v>45336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2131422</v>
      </c>
      <c r="C5066" s="2" t="s">
        <v>593</v>
      </c>
      <c r="D5066" s="2" t="str">
        <f t="shared" si="78"/>
        <v>Error?</v>
      </c>
    </row>
    <row r="5067" spans="1:4" x14ac:dyDescent="0.2">
      <c r="A5067" s="5">
        <v>5006</v>
      </c>
      <c r="B5067" s="138">
        <f>'Revenues 9-14'!C14</f>
        <v>4378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199749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204127</v>
      </c>
      <c r="C5071" s="2" t="s">
        <v>593</v>
      </c>
      <c r="D5071" s="2" t="str">
        <f t="shared" si="78"/>
        <v>Error?</v>
      </c>
    </row>
    <row r="5072" spans="1:4" x14ac:dyDescent="0.2">
      <c r="A5072" s="5">
        <v>5011</v>
      </c>
      <c r="B5072" s="138">
        <f>'Revenues 9-14'!C20</f>
        <v>680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85793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86473</v>
      </c>
      <c r="C5087" s="2" t="s">
        <v>593</v>
      </c>
      <c r="D5087" s="2" t="str">
        <f t="shared" si="78"/>
        <v>Error?</v>
      </c>
    </row>
    <row r="5088" spans="1:4" x14ac:dyDescent="0.2">
      <c r="A5088" s="5">
        <v>5027</v>
      </c>
      <c r="B5088" s="138">
        <f>'Revenues 9-14'!C65</f>
        <v>25411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25411</v>
      </c>
      <c r="C5090" s="2" t="s">
        <v>593</v>
      </c>
      <c r="D5090" s="2" t="str">
        <f t="shared" si="78"/>
        <v>Error?</v>
      </c>
    </row>
    <row r="5091" spans="1:4" x14ac:dyDescent="0.2">
      <c r="A5091" s="5">
        <v>5030</v>
      </c>
      <c r="B5091" s="138">
        <f>'Revenues 9-14'!C70</f>
        <v>23064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12889</v>
      </c>
      <c r="D5094" s="2" t="str">
        <f t="shared" si="78"/>
        <v>Error?</v>
      </c>
    </row>
    <row r="5095" spans="1:4" x14ac:dyDescent="0.2">
      <c r="A5095" s="5">
        <v>5034</v>
      </c>
      <c r="B5095" s="138">
        <f>'Revenues 9-14'!C74</f>
        <v>19467</v>
      </c>
      <c r="D5095" s="2" t="str">
        <f t="shared" si="78"/>
        <v>Error?</v>
      </c>
    </row>
    <row r="5096" spans="1:4" x14ac:dyDescent="0.2">
      <c r="A5096" s="5">
        <v>5035</v>
      </c>
      <c r="B5096" s="138">
        <f>'Revenues 9-14'!C75</f>
        <v>249146</v>
      </c>
      <c r="C5096" s="2" t="s">
        <v>593</v>
      </c>
      <c r="D5096" s="2" t="str">
        <f t="shared" si="78"/>
        <v>Error?</v>
      </c>
    </row>
    <row r="5097" spans="1:4" x14ac:dyDescent="0.2">
      <c r="A5097" s="5">
        <v>5036</v>
      </c>
      <c r="B5097" s="138">
        <f>'Revenues 9-14'!C77</f>
        <v>104611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92050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196661</v>
      </c>
      <c r="C5102" s="2" t="s">
        <v>593</v>
      </c>
      <c r="D5102" s="2" t="str">
        <f t="shared" si="78"/>
        <v>Error?</v>
      </c>
    </row>
    <row r="5103" spans="1:4" x14ac:dyDescent="0.2">
      <c r="A5103" s="5">
        <v>5042</v>
      </c>
      <c r="B5103" s="138">
        <f>'Revenues 9-14'!C84</f>
        <v>34601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34601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30122</v>
      </c>
      <c r="D5114" s="2" t="str">
        <f t="shared" si="78"/>
        <v>Error?</v>
      </c>
    </row>
    <row r="5115" spans="1:4" x14ac:dyDescent="0.2">
      <c r="A5115" s="5">
        <v>5054</v>
      </c>
      <c r="B5115" s="138">
        <f>'Revenues 9-14'!C98</f>
        <v>696378</v>
      </c>
      <c r="D5115" s="2" t="str">
        <f t="shared" si="78"/>
        <v>Error?</v>
      </c>
    </row>
    <row r="5116" spans="1:4" x14ac:dyDescent="0.2">
      <c r="A5116" s="5">
        <v>5055</v>
      </c>
      <c r="B5116" s="138">
        <f>'Revenues 9-14'!C99</f>
        <v>20312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15809</v>
      </c>
      <c r="D5119" s="2" t="str">
        <f t="shared" ref="D5119:D5182" si="79">IF(ISBLANK(B5119),"OK",IF(A5119-B5119=0,"OK","Error?"))</f>
        <v>Error?</v>
      </c>
    </row>
    <row r="5120" spans="1:4" x14ac:dyDescent="0.2">
      <c r="A5120" s="5">
        <v>5059</v>
      </c>
      <c r="B5120" s="138">
        <f>'Revenues 9-14'!C108</f>
        <v>763671</v>
      </c>
      <c r="C5120" s="2" t="s">
        <v>593</v>
      </c>
      <c r="D5120" s="2" t="str">
        <f t="shared" si="79"/>
        <v>Error?</v>
      </c>
    </row>
    <row r="5121" spans="1:4" x14ac:dyDescent="0.2">
      <c r="A5121" s="5">
        <v>5060</v>
      </c>
      <c r="B5121" s="138">
        <f>'Revenues 9-14'!C109</f>
        <v>3691512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6804775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6804775</v>
      </c>
      <c r="C5132" s="2" t="s">
        <v>593</v>
      </c>
      <c r="D5132" s="2" t="str">
        <f t="shared" si="79"/>
        <v>Error?</v>
      </c>
    </row>
    <row r="5133" spans="1:4" x14ac:dyDescent="0.2">
      <c r="A5133" s="5">
        <v>5072</v>
      </c>
      <c r="B5133" s="138">
        <f>'Revenues 9-14'!C124</f>
        <v>339974</v>
      </c>
      <c r="D5133" s="2" t="str">
        <f t="shared" si="79"/>
        <v>Error?</v>
      </c>
    </row>
    <row r="5134" spans="1:4" x14ac:dyDescent="0.2">
      <c r="A5134" s="5">
        <v>5073</v>
      </c>
      <c r="B5134" s="138">
        <f>'Revenues 9-14'!C125</f>
        <v>101374</v>
      </c>
      <c r="D5134" s="2" t="str">
        <f t="shared" si="79"/>
        <v>Error?</v>
      </c>
    </row>
    <row r="5135" spans="1:4" x14ac:dyDescent="0.2">
      <c r="A5135" s="5">
        <v>5074</v>
      </c>
      <c r="B5135" s="138">
        <f>'Revenues 9-14'!C126</f>
        <v>119431</v>
      </c>
      <c r="D5135" s="2" t="str">
        <f t="shared" si="79"/>
        <v>Error?</v>
      </c>
    </row>
    <row r="5136" spans="1:4" x14ac:dyDescent="0.2">
      <c r="A5136" s="10">
        <v>5075</v>
      </c>
      <c r="D5136" s="2" t="str">
        <f t="shared" si="79"/>
        <v>OK</v>
      </c>
    </row>
    <row r="5137" spans="1:4" x14ac:dyDescent="0.2">
      <c r="A5137" s="5">
        <v>5076</v>
      </c>
      <c r="B5137" s="138">
        <f>'Revenues 9-14'!C127</f>
        <v>15108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1541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577428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16947</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6733</v>
      </c>
      <c r="D5167" s="2" t="str">
        <f t="shared" si="79"/>
        <v>Error?</v>
      </c>
    </row>
    <row r="5168" spans="1:4" x14ac:dyDescent="0.2">
      <c r="A5168" s="5">
        <v>5107</v>
      </c>
      <c r="B5168" s="138">
        <f>'Revenues 9-14'!C147</f>
        <v>20809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149251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772668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7577443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340715</v>
      </c>
      <c r="D5239" s="2" t="str">
        <f t="shared" si="80"/>
        <v>Error?</v>
      </c>
    </row>
    <row r="5240" spans="1:4" x14ac:dyDescent="0.2">
      <c r="A5240" s="5">
        <v>5179</v>
      </c>
      <c r="B5240" s="138">
        <f>'Revenues 9-14'!C195</f>
        <v>2081</v>
      </c>
      <c r="D5240" s="2" t="str">
        <f t="shared" si="80"/>
        <v>Error?</v>
      </c>
    </row>
    <row r="5241" spans="1:4" x14ac:dyDescent="0.2">
      <c r="A5241" s="5">
        <v>5180</v>
      </c>
      <c r="B5241" s="138">
        <f>'Revenues 9-14'!C196</f>
        <v>103021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445817</v>
      </c>
      <c r="C5246" s="2" t="s">
        <v>593</v>
      </c>
      <c r="D5246" s="2" t="str">
        <f t="shared" si="80"/>
        <v>Error?</v>
      </c>
    </row>
    <row r="5247" spans="1:4" x14ac:dyDescent="0.2">
      <c r="A5247" s="5">
        <v>5186</v>
      </c>
      <c r="B5247" s="138">
        <f>'Revenues 9-14'!C203</f>
        <v>381987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6231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381987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216190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216190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1211781</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1211781</v>
      </c>
      <c r="C5326" s="2" t="s">
        <v>593</v>
      </c>
      <c r="D5326" s="2" t="str">
        <f t="shared" si="82"/>
        <v>Error?</v>
      </c>
    </row>
    <row r="5327" spans="1:4" x14ac:dyDescent="0.2">
      <c r="A5327" s="5">
        <v>5266</v>
      </c>
      <c r="B5327" s="138">
        <f>'Revenues 9-14'!C275</f>
        <v>12480736</v>
      </c>
      <c r="C5327" s="2" t="s">
        <v>593</v>
      </c>
      <c r="D5327" s="2" t="str">
        <f t="shared" si="82"/>
        <v>Error?</v>
      </c>
    </row>
    <row r="5328" spans="1:4" x14ac:dyDescent="0.2">
      <c r="A5328" s="5">
        <v>5267</v>
      </c>
      <c r="B5328" s="138">
        <f>'Revenues 9-14'!D5</f>
        <v>566703</v>
      </c>
      <c r="D5328" s="2" t="str">
        <f t="shared" si="82"/>
        <v>Error?</v>
      </c>
    </row>
    <row r="5329" spans="1:4" x14ac:dyDescent="0.2">
      <c r="A5329" s="10">
        <v>5268</v>
      </c>
      <c r="D5329" s="2" t="str">
        <f t="shared" si="82"/>
        <v>OK</v>
      </c>
    </row>
    <row r="5330" spans="1:4" x14ac:dyDescent="0.2">
      <c r="A5330" s="5">
        <v>5269</v>
      </c>
      <c r="B5330" s="138">
        <f>'Revenues 9-14'!D6</f>
        <v>56670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623373</v>
      </c>
      <c r="C5334" s="2" t="s">
        <v>593</v>
      </c>
      <c r="D5334" s="2" t="str">
        <f t="shared" si="82"/>
        <v>Error?</v>
      </c>
    </row>
    <row r="5335" spans="1:4" x14ac:dyDescent="0.2">
      <c r="A5335" s="5">
        <v>5274</v>
      </c>
      <c r="B5335" s="138">
        <f>'Revenues 9-14'!D14</f>
        <v>1280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1280</v>
      </c>
      <c r="C5339" s="2" t="s">
        <v>593</v>
      </c>
      <c r="D5339" s="2" t="str">
        <f t="shared" si="82"/>
        <v>Error?</v>
      </c>
    </row>
    <row r="5340" spans="1:4" x14ac:dyDescent="0.2">
      <c r="A5340" s="5">
        <v>5279</v>
      </c>
      <c r="B5340" s="138">
        <f>'Revenues 9-14'!D65</f>
        <v>9072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9072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196775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109737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11267</v>
      </c>
      <c r="D5354" s="2" t="str">
        <f t="shared" si="82"/>
        <v>Error?</v>
      </c>
    </row>
    <row r="5355" spans="1:4" x14ac:dyDescent="0.2">
      <c r="A5355" s="5">
        <v>5294</v>
      </c>
      <c r="B5355" s="138">
        <f>'Revenues 9-14'!D108</f>
        <v>317779</v>
      </c>
      <c r="C5355" s="2" t="s">
        <v>593</v>
      </c>
      <c r="D5355" s="2" t="str">
        <f t="shared" si="82"/>
        <v>Error?</v>
      </c>
    </row>
    <row r="5356" spans="1:4" x14ac:dyDescent="0.2">
      <c r="A5356" s="5">
        <v>5295</v>
      </c>
      <c r="B5356" s="138">
        <f>'Revenues 9-14'!D109</f>
        <v>951504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32639</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32639</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32639</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984143</v>
      </c>
      <c r="C5508" s="2" t="s">
        <v>593</v>
      </c>
      <c r="D5508" s="2" t="str">
        <f t="shared" si="85"/>
        <v>Error?</v>
      </c>
    </row>
    <row r="5509" spans="1:4" x14ac:dyDescent="0.2">
      <c r="A5509" s="5">
        <v>5448</v>
      </c>
      <c r="B5509" s="138">
        <f>'Revenues 9-14'!E5</f>
        <v>1469674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1469674</v>
      </c>
      <c r="C5513" s="2" t="s">
        <v>593</v>
      </c>
      <c r="D5513" s="2" t="str">
        <f t="shared" si="85"/>
        <v>Error?</v>
      </c>
    </row>
    <row r="5514" spans="1:4" x14ac:dyDescent="0.2">
      <c r="A5514" s="5">
        <v>5453</v>
      </c>
      <c r="B5514" s="138">
        <f>'Revenues 9-14'!E14</f>
        <v>3436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3436</v>
      </c>
      <c r="C5518" s="2" t="s">
        <v>593</v>
      </c>
      <c r="D5518" s="2" t="str">
        <f t="shared" si="85"/>
        <v>Error?</v>
      </c>
    </row>
    <row r="5519" spans="1:4" x14ac:dyDescent="0.2">
      <c r="A5519" s="5">
        <v>5458</v>
      </c>
      <c r="B5519" s="138">
        <f>'Revenues 9-14'!E65</f>
        <v>2443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2443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1475553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1475553</v>
      </c>
      <c r="C5552" s="2" t="s">
        <v>593</v>
      </c>
      <c r="D5552" s="2" t="str">
        <f t="shared" si="85"/>
        <v>Error?</v>
      </c>
    </row>
    <row r="5553" spans="1:4" x14ac:dyDescent="0.2">
      <c r="A5553" s="5">
        <v>5492</v>
      </c>
      <c r="B5553" s="138">
        <f>'Revenues 9-14'!F5</f>
        <v>226681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226681</v>
      </c>
      <c r="C5557" s="2" t="s">
        <v>593</v>
      </c>
      <c r="D5557" s="2" t="str">
        <f t="shared" si="85"/>
        <v>Error?</v>
      </c>
    </row>
    <row r="5558" spans="1:4" x14ac:dyDescent="0.2">
      <c r="A5558" s="5">
        <v>5497</v>
      </c>
      <c r="B5558" s="138">
        <f>'Revenues 9-14'!F14</f>
        <v>465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16846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17311</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25034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25034</v>
      </c>
      <c r="C5579" s="2" t="s">
        <v>593</v>
      </c>
      <c r="D5579" s="2" t="str">
        <f t="shared" si="86"/>
        <v>Error?</v>
      </c>
    </row>
    <row r="5580" spans="1:4" x14ac:dyDescent="0.2">
      <c r="A5580" s="5">
        <v>5519</v>
      </c>
      <c r="B5580" s="138">
        <f>'Revenues 9-14'!F65</f>
        <v>3473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3473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17837</v>
      </c>
      <c r="D5586" s="2" t="str">
        <f t="shared" si="86"/>
        <v>Error?</v>
      </c>
    </row>
    <row r="5587" spans="1:4" x14ac:dyDescent="0.2">
      <c r="A5587" s="5">
        <v>5526</v>
      </c>
      <c r="B5587" s="138">
        <f>'Revenues 9-14'!F108</f>
        <v>17837</v>
      </c>
      <c r="C5587" s="2" t="s">
        <v>593</v>
      </c>
      <c r="D5587" s="2" t="str">
        <f t="shared" si="86"/>
        <v>Error?</v>
      </c>
    </row>
    <row r="5588" spans="1:4" x14ac:dyDescent="0.2">
      <c r="A5588" s="5">
        <v>5527</v>
      </c>
      <c r="B5588" s="138">
        <f>'Revenues 9-14'!F109</f>
        <v>290336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363054</v>
      </c>
      <c r="D5615" s="2" t="str">
        <f t="shared" si="86"/>
        <v>Error?</v>
      </c>
    </row>
    <row r="5616" spans="1:4" x14ac:dyDescent="0.2">
      <c r="A5616" s="10">
        <v>5555</v>
      </c>
      <c r="D5616" s="2" t="str">
        <f t="shared" si="86"/>
        <v>OK</v>
      </c>
    </row>
    <row r="5617" spans="1:4" x14ac:dyDescent="0.2">
      <c r="A5617" s="5">
        <v>5556</v>
      </c>
      <c r="B5617" s="138">
        <f>'Revenues 9-14'!F152</f>
        <v>179487</v>
      </c>
      <c r="D5617" s="2" t="str">
        <f t="shared" si="86"/>
        <v>Error?</v>
      </c>
    </row>
    <row r="5618" spans="1:4" x14ac:dyDescent="0.2">
      <c r="A5618" s="5">
        <v>5557</v>
      </c>
      <c r="B5618" s="138">
        <f>'Revenues 9-14'!F154</f>
        <v>542541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1868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544409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544409</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834745</v>
      </c>
      <c r="C5720" s="2" t="s">
        <v>593</v>
      </c>
      <c r="D5720" s="2" t="str">
        <f t="shared" si="88"/>
        <v>Error?</v>
      </c>
    </row>
    <row r="5721" spans="1:4" x14ac:dyDescent="0.2">
      <c r="A5721" s="5">
        <v>5660</v>
      </c>
      <c r="B5721" s="138">
        <f>'Revenues 9-14'!G5</f>
        <v>200662</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200662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401324</v>
      </c>
      <c r="C5725" s="2" t="s">
        <v>593</v>
      </c>
      <c r="D5725" s="2" t="str">
        <f t="shared" si="88"/>
        <v>Error?</v>
      </c>
    </row>
    <row r="5726" spans="1:4" x14ac:dyDescent="0.2">
      <c r="A5726" s="5">
        <v>5665</v>
      </c>
      <c r="B5726" s="138">
        <f>'Revenues 9-14'!G14</f>
        <v>1090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24066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25156</v>
      </c>
      <c r="C5730" s="2" t="s">
        <v>593</v>
      </c>
      <c r="D5730" s="2" t="str">
        <f t="shared" si="88"/>
        <v>Error?</v>
      </c>
    </row>
    <row r="5731" spans="1:4" x14ac:dyDescent="0.2">
      <c r="A5731" s="5">
        <v>5670</v>
      </c>
      <c r="B5731" s="138">
        <f>'Revenues 9-14'!G65</f>
        <v>1555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1555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9152</v>
      </c>
      <c r="D5736" s="2" t="str">
        <f t="shared" si="88"/>
        <v>Error?</v>
      </c>
    </row>
    <row r="5737" spans="1:4" x14ac:dyDescent="0.2">
      <c r="A5737" s="5">
        <v>5676</v>
      </c>
      <c r="B5737" s="138">
        <f>'Revenues 9-14'!G108</f>
        <v>9152</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10920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10920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10920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2075</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2075</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2075</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2075</v>
      </c>
      <c r="C5869" s="2" t="s">
        <v>593</v>
      </c>
      <c r="D5869" s="2" t="str">
        <f t="shared" si="90"/>
        <v>Error?</v>
      </c>
    </row>
    <row r="5870" spans="1:4" x14ac:dyDescent="0.2">
      <c r="A5870" s="5">
        <v>5809</v>
      </c>
      <c r="B5870" s="138">
        <f>'Revenues 9-14'!G275</f>
        <v>450182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6175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6180</v>
      </c>
      <c r="C5915" s="2" t="s">
        <v>593</v>
      </c>
      <c r="D5915" s="2" t="str">
        <f t="shared" si="91"/>
        <v>Error?</v>
      </c>
    </row>
    <row r="5916" spans="1:4" x14ac:dyDescent="0.2">
      <c r="A5916" s="5">
        <v>5855</v>
      </c>
      <c r="B5916" s="138">
        <f>'Revenues 9-14'!I5</f>
        <v>56670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56670</v>
      </c>
      <c r="C5918" s="2" t="s">
        <v>593</v>
      </c>
      <c r="D5918" s="2" t="str">
        <f t="shared" si="91"/>
        <v>Error?</v>
      </c>
    </row>
    <row r="5919" spans="1:4" x14ac:dyDescent="0.2">
      <c r="A5919" s="5">
        <v>5858</v>
      </c>
      <c r="B5919" s="138">
        <f>'Revenues 9-14'!I14</f>
        <v>116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116</v>
      </c>
      <c r="C5923" s="2" t="s">
        <v>593</v>
      </c>
      <c r="D5923" s="2" t="str">
        <f t="shared" si="91"/>
        <v>Error?</v>
      </c>
    </row>
    <row r="5924" spans="1:4" x14ac:dyDescent="0.2">
      <c r="A5924" s="5">
        <v>5863</v>
      </c>
      <c r="B5924" s="138">
        <f>'Revenues 9-14'!I65</f>
        <v>3478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3478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60264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56670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56670</v>
      </c>
      <c r="C5987" s="2" t="s">
        <v>593</v>
      </c>
      <c r="D5987" s="2" t="str">
        <f t="shared" si="92"/>
        <v>Error?</v>
      </c>
    </row>
    <row r="5988" spans="1:4" x14ac:dyDescent="0.2">
      <c r="A5988" s="5">
        <v>5927</v>
      </c>
      <c r="B5988" s="138">
        <f>'Revenues 9-14'!K14</f>
        <v>116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116</v>
      </c>
      <c r="C5992" s="2" t="s">
        <v>593</v>
      </c>
      <c r="D5992" s="2" t="str">
        <f t="shared" si="92"/>
        <v>Error?</v>
      </c>
    </row>
    <row r="5993" spans="1:4" x14ac:dyDescent="0.2">
      <c r="A5993" s="5">
        <v>5932</v>
      </c>
      <c r="B5993" s="138">
        <f>'Revenues 9-14'!K65</f>
        <v>1663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1663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80000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138449</v>
      </c>
      <c r="C6023" s="2" t="s">
        <v>593</v>
      </c>
      <c r="D6023" s="2" t="str">
        <f t="shared" si="93"/>
        <v>Error?</v>
      </c>
    </row>
    <row r="6024" spans="1:5" x14ac:dyDescent="0.2">
      <c r="A6024" s="5">
        <v>5963</v>
      </c>
      <c r="B6024" s="138">
        <f>'Revenues 9-14'!G109</f>
        <v>437187</v>
      </c>
      <c r="C6024" s="2" t="s">
        <v>593</v>
      </c>
      <c r="D6024" s="2" t="str">
        <f t="shared" si="93"/>
        <v>Error?</v>
      </c>
    </row>
    <row r="6025" spans="1:5" x14ac:dyDescent="0.2">
      <c r="A6025" s="5">
        <v>5964</v>
      </c>
      <c r="B6025" s="138">
        <f>'Revenues 9-14'!H109</f>
        <v>6180</v>
      </c>
      <c r="C6025" s="2" t="s">
        <v>593</v>
      </c>
      <c r="D6025" s="2" t="str">
        <f t="shared" si="93"/>
        <v>Error?</v>
      </c>
    </row>
    <row r="6026" spans="1:5" x14ac:dyDescent="0.2">
      <c r="A6026" s="5">
        <v>5965</v>
      </c>
      <c r="B6026" s="138">
        <f>'Revenues 9-14'!I109</f>
        <v>60264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138449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193726</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70076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1318.61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65184</v>
      </c>
      <c r="D6077" s="2" t="str">
        <f t="shared" si="93"/>
        <v>Error?</v>
      </c>
      <c r="E6077" s="2" t="s">
        <v>986</v>
      </c>
    </row>
    <row r="6078" spans="1:5" x14ac:dyDescent="0.2">
      <c r="A6078">
        <v>6017</v>
      </c>
      <c r="B6078" s="138">
        <f>'Short-Term Long-Term Debt 24'!E27</f>
        <v>65184</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360033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360033</v>
      </c>
      <c r="D6215" s="2" t="str">
        <f t="shared" si="96"/>
        <v>Error?</v>
      </c>
      <c r="E6215" s="2" t="s">
        <v>199</v>
      </c>
    </row>
    <row r="6216" spans="1:5" x14ac:dyDescent="0.2">
      <c r="A6216">
        <v>6155</v>
      </c>
      <c r="B6216" s="138">
        <f>'Assets-Liab 5-6'!J41</f>
        <v>360033</v>
      </c>
      <c r="D6216" s="2" t="str">
        <f t="shared" si="96"/>
        <v>Error?</v>
      </c>
      <c r="E6216" s="2" t="s">
        <v>199</v>
      </c>
    </row>
    <row r="6217" spans="1:5" x14ac:dyDescent="0.2">
      <c r="A6217">
        <v>6156</v>
      </c>
      <c r="B6217" s="138">
        <f>'Assets-Liab 5-6'!J4</f>
        <v>10593</v>
      </c>
      <c r="D6217" s="2" t="str">
        <f t="shared" si="96"/>
        <v>Error?</v>
      </c>
      <c r="E6217" s="2" t="s">
        <v>199</v>
      </c>
    </row>
    <row r="6218" spans="1:5" x14ac:dyDescent="0.2">
      <c r="A6218">
        <v>6157</v>
      </c>
      <c r="B6218" s="138">
        <f>'Assets-Liab 5-6'!J5</f>
        <v>349440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923715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923715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923715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904826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904826</v>
      </c>
      <c r="D6229" s="2" t="str">
        <f t="shared" si="96"/>
        <v>Error?</v>
      </c>
      <c r="E6229" s="2" t="s">
        <v>199</v>
      </c>
    </row>
    <row r="6230" spans="1:5" x14ac:dyDescent="0.2">
      <c r="A6230">
        <v>6169</v>
      </c>
      <c r="B6230" s="138">
        <f>'Acct Summary 7-8'!J20</f>
        <v>18889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18889</v>
      </c>
      <c r="D6263" s="2" t="str">
        <f t="shared" si="96"/>
        <v>Error?</v>
      </c>
      <c r="E6263" s="2" t="s">
        <v>199</v>
      </c>
    </row>
    <row r="6264" spans="1:5" x14ac:dyDescent="0.2">
      <c r="A6264">
        <v>6203</v>
      </c>
      <c r="B6264" s="138">
        <f>'Acct Summary 7-8'!J79</f>
        <v>341144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360033</v>
      </c>
      <c r="D6266" s="2" t="str">
        <f t="shared" si="96"/>
        <v>Error?</v>
      </c>
      <c r="E6266" s="2" t="s">
        <v>199</v>
      </c>
    </row>
    <row r="6267" spans="1:5" x14ac:dyDescent="0.2">
      <c r="A6267">
        <v>6206</v>
      </c>
      <c r="B6267" s="138">
        <f>'Acct Summary 7-8'!C82</f>
        <v>477825</v>
      </c>
      <c r="D6267" s="2" t="str">
        <f t="shared" si="96"/>
        <v>Error?</v>
      </c>
      <c r="E6267" s="2" t="s">
        <v>199</v>
      </c>
    </row>
    <row r="6268" spans="1:5" x14ac:dyDescent="0.2">
      <c r="A6268">
        <v>6207</v>
      </c>
      <c r="B6268" s="138">
        <f>'Acct Summary 7-8'!D82</f>
        <v>138135</v>
      </c>
      <c r="D6268" s="2" t="str">
        <f t="shared" si="96"/>
        <v>Error?</v>
      </c>
      <c r="E6268" s="2" t="s">
        <v>199</v>
      </c>
    </row>
    <row r="6269" spans="1:5" x14ac:dyDescent="0.2">
      <c r="A6269">
        <v>6208</v>
      </c>
      <c r="B6269" s="138">
        <f>'Acct Summary 7-8'!E82</f>
        <v>9430</v>
      </c>
      <c r="D6269" s="2" t="str">
        <f t="shared" si="96"/>
        <v>Error?</v>
      </c>
      <c r="E6269" s="2" t="s">
        <v>199</v>
      </c>
    </row>
    <row r="6270" spans="1:5" x14ac:dyDescent="0.2">
      <c r="A6270">
        <v>6209</v>
      </c>
      <c r="B6270" s="138">
        <f>'Acct Summary 7-8'!F82</f>
        <v>214484</v>
      </c>
      <c r="D6270" s="2" t="str">
        <f t="shared" si="96"/>
        <v>Error?</v>
      </c>
      <c r="E6270" s="2" t="s">
        <v>199</v>
      </c>
    </row>
    <row r="6271" spans="1:5" x14ac:dyDescent="0.2">
      <c r="A6271">
        <v>6210</v>
      </c>
      <c r="B6271" s="138">
        <f>'Acct Summary 7-8'!G82</f>
        <v>-76741</v>
      </c>
      <c r="D6271" s="2" t="str">
        <f t="shared" ref="D6271:D6334" si="97">IF(ISBLANK(B6271),"OK",IF(A6271-B6271=0,"OK","Error?"))</f>
        <v>Error?</v>
      </c>
      <c r="E6271" s="2" t="s">
        <v>199</v>
      </c>
    </row>
    <row r="6272" spans="1:5" x14ac:dyDescent="0.2">
      <c r="A6272">
        <v>6211</v>
      </c>
      <c r="B6272" s="138">
        <f>'Acct Summary 7-8'!H82</f>
        <v>6180</v>
      </c>
      <c r="D6272" s="2" t="str">
        <f t="shared" si="97"/>
        <v>Error?</v>
      </c>
      <c r="E6272" s="2" t="s">
        <v>199</v>
      </c>
    </row>
    <row r="6273" spans="1:5" x14ac:dyDescent="0.2">
      <c r="A6273">
        <v>6212</v>
      </c>
      <c r="B6273" s="138">
        <f>'Acct Summary 7-8'!I82</f>
        <v>64264</v>
      </c>
      <c r="D6273" s="2" t="str">
        <f t="shared" si="97"/>
        <v>Error?</v>
      </c>
      <c r="E6273" s="2" t="s">
        <v>199</v>
      </c>
    </row>
    <row r="6274" spans="1:5" x14ac:dyDescent="0.2">
      <c r="A6274">
        <v>6213</v>
      </c>
      <c r="B6274" s="138">
        <f>'Acct Summary 7-8'!J82</f>
        <v>18889</v>
      </c>
      <c r="D6274" s="2" t="str">
        <f t="shared" si="97"/>
        <v>Error?</v>
      </c>
      <c r="E6274" s="2" t="s">
        <v>199</v>
      </c>
    </row>
    <row r="6275" spans="1:5" x14ac:dyDescent="0.2">
      <c r="A6275">
        <v>6214</v>
      </c>
      <c r="B6275" s="138">
        <f>'Acct Summary 7-8'!K82</f>
        <v>-10634</v>
      </c>
      <c r="D6275" s="2" t="str">
        <f t="shared" si="97"/>
        <v>Error?</v>
      </c>
      <c r="E6275" s="2" t="s">
        <v>199</v>
      </c>
    </row>
    <row r="6276" spans="1:5" x14ac:dyDescent="0.2">
      <c r="A6276">
        <v>6215</v>
      </c>
      <c r="B6276" s="138">
        <f>'Acct Summary 7-8'!C83</f>
        <v>9.4532366244095986E-2</v>
      </c>
      <c r="D6276" s="2" t="str">
        <f t="shared" si="97"/>
        <v>Error?</v>
      </c>
      <c r="E6276" s="2" t="s">
        <v>199</v>
      </c>
    </row>
    <row r="6277" spans="1:5" x14ac:dyDescent="0.2">
      <c r="A6277">
        <v>6216</v>
      </c>
      <c r="B6277" s="138">
        <f>'Acct Summary 7-8'!D83</f>
        <v>0.1058165188215287</v>
      </c>
      <c r="D6277" s="2" t="str">
        <f t="shared" si="97"/>
        <v>Error?</v>
      </c>
      <c r="E6277" s="2" t="s">
        <v>199</v>
      </c>
    </row>
    <row r="6278" spans="1:5" x14ac:dyDescent="0.2">
      <c r="A6278">
        <v>6217</v>
      </c>
      <c r="B6278" s="138">
        <f>'Acct Summary 7-8'!E83</f>
        <v>0.19256687768021238</v>
      </c>
      <c r="D6278" s="2" t="str">
        <f t="shared" si="97"/>
        <v>Error?</v>
      </c>
      <c r="E6278" s="2" t="s">
        <v>199</v>
      </c>
    </row>
    <row r="6279" spans="1:5" x14ac:dyDescent="0.2">
      <c r="A6279">
        <v>6218</v>
      </c>
      <c r="B6279" s="138">
        <f>'Acct Summary 7-8'!F83</f>
        <v>0.33102243403750942</v>
      </c>
      <c r="D6279" s="2" t="str">
        <f t="shared" si="97"/>
        <v>Error?</v>
      </c>
      <c r="E6279" s="2" t="s">
        <v>199</v>
      </c>
    </row>
    <row r="6280" spans="1:5" x14ac:dyDescent="0.2">
      <c r="A6280">
        <v>6219</v>
      </c>
      <c r="B6280" s="138">
        <f>'Acct Summary 7-8'!G83</f>
        <v>-0.62049532249326877</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0.1569454925549556</v>
      </c>
      <c r="D6282" s="2" t="str">
        <f t="shared" si="97"/>
        <v>Error?</v>
      </c>
      <c r="E6282" s="2" t="s">
        <v>199</v>
      </c>
    </row>
    <row r="6283" spans="1:5" x14ac:dyDescent="0.2">
      <c r="A6283">
        <v>6222</v>
      </c>
      <c r="B6283" s="138">
        <f>'Acct Summary 7-8'!J83</f>
        <v>5.2464635186219043E-2</v>
      </c>
      <c r="D6283" s="2" t="str">
        <f t="shared" si="97"/>
        <v>Error?</v>
      </c>
      <c r="E6283" s="2" t="s">
        <v>199</v>
      </c>
    </row>
    <row r="6284" spans="1:5" x14ac:dyDescent="0.2">
      <c r="A6284">
        <v>6223</v>
      </c>
      <c r="B6284" s="138">
        <f>'Acct Summary 7-8'!K83</f>
        <v>-5.8489632033441506E-2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902918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902918</v>
      </c>
      <c r="D6301" s="2" t="str">
        <f t="shared" si="97"/>
        <v>Error?</v>
      </c>
      <c r="E6301" s="2" t="s">
        <v>199</v>
      </c>
    </row>
    <row r="6302" spans="1:5" x14ac:dyDescent="0.2">
      <c r="A6302">
        <v>6241</v>
      </c>
      <c r="B6302" s="138">
        <f>'Revenues 9-14'!J14</f>
        <v>1386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1386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3710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3710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80000</v>
      </c>
      <c r="D6338" s="2" t="str">
        <f t="shared" si="98"/>
        <v>Error?</v>
      </c>
      <c r="E6338" s="2" t="s">
        <v>199</v>
      </c>
    </row>
    <row r="6339" spans="1:5" x14ac:dyDescent="0.2">
      <c r="A6339">
        <v>6278</v>
      </c>
      <c r="B6339" s="138">
        <f>'Revenues 9-14'!C101</f>
        <v>1050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15701</v>
      </c>
      <c r="D6350" s="2" t="str">
        <f t="shared" si="98"/>
        <v>Error?</v>
      </c>
      <c r="E6350" s="2" t="s">
        <v>199</v>
      </c>
    </row>
    <row r="6351" spans="1:5" x14ac:dyDescent="0.2">
      <c r="A6351">
        <v>6290</v>
      </c>
      <c r="B6351" s="138">
        <f>'Revenues 9-14'!J108</f>
        <v>15701</v>
      </c>
      <c r="D6351" s="2" t="str">
        <f t="shared" si="98"/>
        <v>Error?</v>
      </c>
      <c r="E6351" s="2" t="s">
        <v>199</v>
      </c>
    </row>
    <row r="6352" spans="1:5" x14ac:dyDescent="0.2">
      <c r="A6352">
        <v>6291</v>
      </c>
      <c r="B6352" s="138">
        <f>'Revenues 9-14'!J109</f>
        <v>923715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16947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122362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133405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35068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432111</v>
      </c>
      <c r="D6880" s="2" t="str">
        <f t="shared" si="106"/>
        <v>Error?</v>
      </c>
    </row>
    <row r="6881" spans="1:4" x14ac:dyDescent="0.2">
      <c r="A6881">
        <v>6820</v>
      </c>
      <c r="B6881" s="138">
        <f>'Expenditures 15-22'!K22</f>
        <v>432111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8519</v>
      </c>
      <c r="D6981" s="2" t="str">
        <f t="shared" si="108"/>
        <v>Error?</v>
      </c>
    </row>
    <row r="6982" spans="1:4" x14ac:dyDescent="0.2">
      <c r="A6982">
        <v>6921</v>
      </c>
      <c r="B6982" s="138">
        <f>'Expenditures 15-22'!K85</f>
        <v>8519</v>
      </c>
      <c r="D6982" s="2" t="str">
        <f t="shared" si="108"/>
        <v>Error?</v>
      </c>
    </row>
    <row r="6983" spans="1:4" x14ac:dyDescent="0.2">
      <c r="A6983">
        <v>6922</v>
      </c>
      <c r="B6983" s="138">
        <f>'Expenditures 15-22'!H86</f>
        <v>1231</v>
      </c>
      <c r="D6983" s="2" t="str">
        <f t="shared" si="108"/>
        <v>Error?</v>
      </c>
    </row>
    <row r="6984" spans="1:4" x14ac:dyDescent="0.2">
      <c r="A6984">
        <v>6923</v>
      </c>
      <c r="B6984" s="138">
        <f>'Expenditures 15-22'!K86</f>
        <v>1231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146614</v>
      </c>
      <c r="D6987" s="2" t="str">
        <f t="shared" si="108"/>
        <v>Error?</v>
      </c>
    </row>
    <row r="6988" spans="1:4" x14ac:dyDescent="0.2">
      <c r="A6988">
        <v>6927</v>
      </c>
      <c r="B6988" s="138">
        <f>'Expenditures 15-22'!K88</f>
        <v>146614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156364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904826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923715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9790</v>
      </c>
      <c r="D7073" s="2" t="str">
        <f t="shared" si="109"/>
        <v>Error?</v>
      </c>
    </row>
    <row r="7074" spans="1:4" x14ac:dyDescent="0.2">
      <c r="A7074">
        <v>7013</v>
      </c>
      <c r="B7074" s="138">
        <f>'Expenditures 15-22'!K216</f>
        <v>9790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369</v>
      </c>
      <c r="D7079" s="2" t="str">
        <f t="shared" si="109"/>
        <v>Error?</v>
      </c>
    </row>
    <row r="7080" spans="1:4" x14ac:dyDescent="0.2">
      <c r="A7080">
        <v>7019</v>
      </c>
      <c r="B7080" s="138">
        <f>'Expenditures 15-22'!K226</f>
        <v>369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102680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102680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182019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182019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399679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5623</v>
      </c>
      <c r="D7174" s="2" t="str">
        <f t="shared" si="111"/>
        <v>Error?</v>
      </c>
    </row>
    <row r="7175" spans="1:4" x14ac:dyDescent="0.2">
      <c r="A7175">
        <v>7114</v>
      </c>
      <c r="B7175" s="138">
        <f>'Expenditures 15-22'!F325</f>
        <v>8169</v>
      </c>
      <c r="D7175" s="2" t="str">
        <f t="shared" si="111"/>
        <v>Error?</v>
      </c>
    </row>
    <row r="7176" spans="1:4" x14ac:dyDescent="0.2">
      <c r="A7176">
        <v>7115</v>
      </c>
      <c r="B7176" s="138">
        <f>'Expenditures 15-22'!G325</f>
        <v>171199</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584670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26547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26547</v>
      </c>
      <c r="D7198" s="2" t="str">
        <f t="shared" si="111"/>
        <v>Error?</v>
      </c>
    </row>
    <row r="7199" spans="1:4" x14ac:dyDescent="0.2">
      <c r="A7199">
        <v>7138</v>
      </c>
      <c r="B7199" s="138">
        <f>'Expenditures 15-22'!C330</f>
        <v>399679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325779</v>
      </c>
      <c r="D7201" s="2" t="str">
        <f t="shared" si="111"/>
        <v>Error?</v>
      </c>
    </row>
    <row r="7202" spans="1:4" x14ac:dyDescent="0.2">
      <c r="A7202">
        <v>7141</v>
      </c>
      <c r="B7202" s="138">
        <f>'Expenditures 15-22'!F330</f>
        <v>8169</v>
      </c>
      <c r="D7202" s="2" t="str">
        <f t="shared" si="111"/>
        <v>Error?</v>
      </c>
    </row>
    <row r="7203" spans="1:4" x14ac:dyDescent="0.2">
      <c r="A7203">
        <v>7142</v>
      </c>
      <c r="B7203" s="138">
        <f>'Expenditures 15-22'!G330</f>
        <v>171199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904826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399679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325779</v>
      </c>
      <c r="D7218" s="2" t="str">
        <f t="shared" si="111"/>
        <v>Error?</v>
      </c>
    </row>
    <row r="7219" spans="1:4" x14ac:dyDescent="0.2">
      <c r="A7219">
        <v>7158</v>
      </c>
      <c r="B7219" s="138">
        <f>'Expenditures 15-22'!F342</f>
        <v>8169</v>
      </c>
      <c r="D7219" s="2" t="str">
        <f t="shared" si="111"/>
        <v>Error?</v>
      </c>
    </row>
    <row r="7220" spans="1:4" x14ac:dyDescent="0.2">
      <c r="A7220">
        <v>7159</v>
      </c>
      <c r="B7220" s="138">
        <f>'Expenditures 15-22'!G342</f>
        <v>171199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904826</v>
      </c>
      <c r="D7224" s="2" t="str">
        <f t="shared" si="111"/>
        <v>Error?</v>
      </c>
    </row>
    <row r="7225" spans="1:4" x14ac:dyDescent="0.2">
      <c r="A7225">
        <v>7164</v>
      </c>
      <c r="B7225" s="138">
        <f>'Expenditures 15-22'!K343</f>
        <v>18889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10338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705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27611</v>
      </c>
      <c r="D7263" s="2" t="str">
        <f t="shared" si="112"/>
        <v>Error?</v>
      </c>
    </row>
    <row r="7264" spans="1:4" x14ac:dyDescent="0.2">
      <c r="A7264">
        <f t="shared" si="113"/>
        <v>7203</v>
      </c>
      <c r="B7264" s="138">
        <f>'Expenditures 15-22'!D17</f>
        <v>4894</v>
      </c>
      <c r="D7264" s="2" t="str">
        <f t="shared" si="112"/>
        <v>Error?</v>
      </c>
    </row>
    <row r="7265" spans="1:5" x14ac:dyDescent="0.2">
      <c r="A7265">
        <f t="shared" si="113"/>
        <v>7204</v>
      </c>
      <c r="B7265" s="138">
        <f>'Expenditures 15-22'!E17</f>
        <v>808</v>
      </c>
      <c r="D7265" s="2" t="str">
        <f t="shared" si="112"/>
        <v>Error?</v>
      </c>
    </row>
    <row r="7266" spans="1:5" x14ac:dyDescent="0.2">
      <c r="A7266">
        <f t="shared" si="113"/>
        <v>7205</v>
      </c>
      <c r="B7266" s="138">
        <f>'Expenditures 15-22'!F17</f>
        <v>1755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53345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53345</v>
      </c>
      <c r="D7618" s="2" t="str">
        <f t="shared" si="124"/>
        <v>Error?</v>
      </c>
      <c r="E7618" s="2" t="s">
        <v>19</v>
      </c>
    </row>
    <row r="7619" spans="1:5" x14ac:dyDescent="0.2">
      <c r="A7619">
        <f t="shared" si="123"/>
        <v>7558</v>
      </c>
      <c r="B7619" s="138">
        <f>'Cap Outlay Deprec 26'!H14</f>
        <v>51102</v>
      </c>
      <c r="D7619" s="2" t="str">
        <f t="shared" si="124"/>
        <v>Error?</v>
      </c>
      <c r="E7619" s="2" t="s">
        <v>19</v>
      </c>
    </row>
    <row r="7620" spans="1:5" x14ac:dyDescent="0.2">
      <c r="A7620">
        <f t="shared" si="123"/>
        <v>7559</v>
      </c>
      <c r="B7620" s="138">
        <f>'Cap Outlay Deprec 26'!I14</f>
        <v>1098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52200</v>
      </c>
      <c r="D7622" s="2" t="str">
        <f t="shared" si="124"/>
        <v>Error?</v>
      </c>
      <c r="E7622" s="2" t="s">
        <v>19</v>
      </c>
    </row>
    <row r="7623" spans="1:5" x14ac:dyDescent="0.2">
      <c r="A7623">
        <f t="shared" si="123"/>
        <v>7562</v>
      </c>
      <c r="B7623" s="138">
        <f>'Cap Outlay Deprec 26'!L14</f>
        <v>1145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887117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5</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1050</v>
      </c>
      <c r="D7712" s="2" t="str">
        <f t="shared" si="126"/>
        <v>Error?</v>
      </c>
      <c r="E7712" s="2" t="s">
        <v>880</v>
      </c>
    </row>
    <row r="7713" spans="1:6" x14ac:dyDescent="0.2">
      <c r="A7713">
        <v>7652</v>
      </c>
      <c r="B7713" s="138">
        <f>'Rest Tax Levies-Tort Im 25'!J8</f>
        <v>6175</v>
      </c>
      <c r="D7713" s="2" t="str">
        <f t="shared" si="126"/>
        <v>Error?</v>
      </c>
      <c r="E7713" s="2" t="s">
        <v>880</v>
      </c>
    </row>
    <row r="7714" spans="1:6" x14ac:dyDescent="0.2">
      <c r="A7714">
        <v>7653</v>
      </c>
      <c r="B7714" s="138">
        <f>'Rest Tax Levies-Tort Im 25'!K9</f>
        <v>20809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6180</v>
      </c>
      <c r="D7718" s="2" t="str">
        <f t="shared" si="126"/>
        <v>Error?</v>
      </c>
      <c r="E7718" s="2" t="s">
        <v>880</v>
      </c>
    </row>
    <row r="7719" spans="1:6" x14ac:dyDescent="0.2">
      <c r="A7719">
        <v>7658</v>
      </c>
      <c r="B7719" s="138">
        <f>'Rest Tax Levies-Tort Im 25'!K12</f>
        <v>21859</v>
      </c>
      <c r="D7719" s="2" t="str">
        <f t="shared" si="126"/>
        <v>Error?</v>
      </c>
      <c r="E7719" s="2" t="s">
        <v>880</v>
      </c>
    </row>
    <row r="7720" spans="1:6" x14ac:dyDescent="0.2">
      <c r="A7720">
        <v>7659</v>
      </c>
      <c r="B7720" s="138">
        <f>'Rest Tax Levies-Tort Im 25'!H14</f>
        <v>45429</v>
      </c>
      <c r="D7720" s="2" t="str">
        <f t="shared" si="126"/>
        <v>Error?</v>
      </c>
      <c r="E7720" s="2" t="s">
        <v>880</v>
      </c>
    </row>
    <row r="7721" spans="1:6" x14ac:dyDescent="0.2">
      <c r="A7721">
        <v>7660</v>
      </c>
      <c r="B7721" s="138">
        <f>'Rest Tax Levies-Tort Im 25'!K14</f>
        <v>21859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6175</v>
      </c>
      <c r="D7731" s="2" t="str">
        <f t="shared" si="126"/>
        <v>Error?</v>
      </c>
      <c r="E7731" s="2" t="s">
        <v>880</v>
      </c>
    </row>
    <row r="7732" spans="1:6" x14ac:dyDescent="0.2">
      <c r="A7732">
        <v>7671</v>
      </c>
      <c r="B7732" s="138">
        <f>'Rest Tax Levies-Tort Im 25'!J24</f>
        <v>6180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6180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171000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t="str">
        <f>'Revenues 9-14'!C260</f>
        <v xml:space="preserve"> </v>
      </c>
      <c r="D7761" s="2" t="e">
        <f t="shared" si="127"/>
        <v>#VALUE!</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t="str">
        <f>'Revenues 9-14'!C261</f>
        <v xml:space="preserve"> </v>
      </c>
      <c r="D7765" s="2" t="e">
        <f t="shared" si="127"/>
        <v>#VALUE!</v>
      </c>
      <c r="E7765" s="4" t="s">
        <v>1538</v>
      </c>
    </row>
    <row r="7766" spans="1:5" x14ac:dyDescent="0.2">
      <c r="A7766">
        <v>7705</v>
      </c>
      <c r="B7766" s="138" t="str">
        <f>'Revenues 9-14'!D261</f>
        <v xml:space="preserve"> </v>
      </c>
      <c r="D7766" s="2" t="e">
        <f t="shared" si="127"/>
        <v>#VALUE!</v>
      </c>
      <c r="E7766" s="4" t="s">
        <v>1538</v>
      </c>
    </row>
    <row r="7767" spans="1:5" x14ac:dyDescent="0.2">
      <c r="A7767" s="129">
        <v>7706</v>
      </c>
      <c r="E7767" s="4"/>
    </row>
    <row r="7768" spans="1:5" x14ac:dyDescent="0.2">
      <c r="A7768">
        <v>7707</v>
      </c>
      <c r="B7768" s="138" t="str">
        <f>'Revenues 9-14'!F261</f>
        <v xml:space="preserve"> </v>
      </c>
      <c r="D7768" s="2" t="e">
        <f t="shared" si="127"/>
        <v>#VALUE!</v>
      </c>
      <c r="E7768" s="4" t="s">
        <v>1538</v>
      </c>
    </row>
    <row r="7769" spans="1:5" x14ac:dyDescent="0.2">
      <c r="A7769">
        <v>7708</v>
      </c>
      <c r="B7769" s="138" t="str">
        <f>'Revenues 9-14'!G261</f>
        <v xml:space="preserve"> </v>
      </c>
      <c r="D7769" s="2" t="e">
        <f t="shared" si="127"/>
        <v>#VALUE!</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t="str">
        <f>'Expenditures 15-22'!E133</f>
        <v xml:space="preserve"> </v>
      </c>
      <c r="D7774" s="2" t="e">
        <f t="shared" si="127"/>
        <v>#VALUE!</v>
      </c>
      <c r="E7774" s="4" t="s">
        <v>1963</v>
      </c>
    </row>
    <row r="7775" spans="1:5" x14ac:dyDescent="0.2">
      <c r="A7775">
        <v>7714</v>
      </c>
      <c r="B7775" s="138" t="str">
        <f>'Expenditures 15-22'!H133</f>
        <v xml:space="preserve"> </v>
      </c>
      <c r="D7775" s="2" t="e">
        <f t="shared" si="127"/>
        <v>#VALUE!</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t="str">
        <f>'Expenditures 15-22'!H158</f>
        <v xml:space="preserve"> </v>
      </c>
      <c r="D7779" s="2" t="e">
        <f t="shared" si="127"/>
        <v>#VALUE!</v>
      </c>
      <c r="E7779" s="4" t="s">
        <v>1963</v>
      </c>
    </row>
    <row r="7780" spans="1:5" x14ac:dyDescent="0.2">
      <c r="A7780">
        <v>7719</v>
      </c>
      <c r="B7780" s="138" t="str">
        <f>'Expenditures 15-22'!K158</f>
        <v xml:space="preserve"> </v>
      </c>
      <c r="D7780" s="2" t="e">
        <f t="shared" si="127"/>
        <v>#VALUE!</v>
      </c>
      <c r="E7780" s="4" t="s">
        <v>1963</v>
      </c>
    </row>
    <row r="7781" spans="1:5" x14ac:dyDescent="0.2">
      <c r="A7781">
        <v>7720</v>
      </c>
      <c r="B7781" s="138" t="str">
        <f>'Expenditures 15-22'!H159</f>
        <v xml:space="preserve"> </v>
      </c>
      <c r="D7781" s="2" t="e">
        <f t="shared" si="127"/>
        <v>#VALUE!</v>
      </c>
      <c r="E7781" s="4" t="s">
        <v>1963</v>
      </c>
    </row>
    <row r="7782" spans="1:5" x14ac:dyDescent="0.2">
      <c r="A7782">
        <v>7721</v>
      </c>
      <c r="B7782" s="138" t="str">
        <f>'Expenditures 15-22'!K159</f>
        <v xml:space="preserve"> </v>
      </c>
      <c r="D7782" s="2" t="e">
        <f t="shared" si="127"/>
        <v>#VALUE!</v>
      </c>
      <c r="E7782" s="4" t="s">
        <v>1963</v>
      </c>
    </row>
    <row r="7783" spans="1:5" x14ac:dyDescent="0.2">
      <c r="A7783">
        <v>7722</v>
      </c>
      <c r="B7783" s="138" t="str">
        <f>'Expenditures 15-22'!D282</f>
        <v xml:space="preserve"> </v>
      </c>
      <c r="D7783" s="2" t="e">
        <f t="shared" si="127"/>
        <v>#VALUE!</v>
      </c>
      <c r="E7783" s="4" t="s">
        <v>1963</v>
      </c>
    </row>
    <row r="7784" spans="1:5" x14ac:dyDescent="0.2">
      <c r="A7784">
        <v>7723</v>
      </c>
      <c r="B7784" s="138" t="str">
        <f>'Expenditures 15-22'!K282</f>
        <v xml:space="preserve"> </v>
      </c>
      <c r="D7784" s="2" t="e">
        <f t="shared" si="127"/>
        <v>#VALUE!</v>
      </c>
      <c r="E7784" s="4" t="s">
        <v>1963</v>
      </c>
    </row>
    <row r="7785" spans="1:5" x14ac:dyDescent="0.2">
      <c r="A7785">
        <v>7724</v>
      </c>
      <c r="B7785" s="138" t="str">
        <f>'Expenditures 15-22'!H332</f>
        <v xml:space="preserve"> </v>
      </c>
      <c r="D7785" s="2" t="e">
        <f t="shared" si="127"/>
        <v>#VALUE!</v>
      </c>
      <c r="E7785" s="4" t="s">
        <v>1963</v>
      </c>
    </row>
    <row r="7786" spans="1:5" x14ac:dyDescent="0.2">
      <c r="A7786">
        <v>7725</v>
      </c>
      <c r="B7786" s="138" t="str">
        <f>'Expenditures 15-22'!K332</f>
        <v xml:space="preserve"> </v>
      </c>
      <c r="D7786" s="2" t="e">
        <f t="shared" si="127"/>
        <v>#VALUE!</v>
      </c>
      <c r="E7786" s="4" t="s">
        <v>1963</v>
      </c>
    </row>
    <row r="7787" spans="1:5" x14ac:dyDescent="0.2">
      <c r="A7787">
        <v>7726</v>
      </c>
      <c r="B7787" s="138" t="str">
        <f>'Expenditures 15-22'!H333</f>
        <v xml:space="preserve"> </v>
      </c>
      <c r="D7787" s="2" t="e">
        <f t="shared" si="127"/>
        <v>#VALUE!</v>
      </c>
      <c r="E7787" s="4" t="s">
        <v>1963</v>
      </c>
    </row>
    <row r="7788" spans="1:5" x14ac:dyDescent="0.2">
      <c r="A7788">
        <v>7727</v>
      </c>
      <c r="B7788" s="138" t="str">
        <f>'Expenditures 15-22'!K333</f>
        <v xml:space="preserve"> </v>
      </c>
      <c r="D7788" s="2" t="e">
        <f t="shared" si="127"/>
        <v>#VALUE!</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t="str">
        <f>'Expenditures 15-22'!H354</f>
        <v xml:space="preserve"> </v>
      </c>
      <c r="D7791" s="2" t="e">
        <f t="shared" si="127"/>
        <v>#VALUE!</v>
      </c>
      <c r="E7791" s="4" t="s">
        <v>1963</v>
      </c>
    </row>
    <row r="7792" spans="1:5" x14ac:dyDescent="0.2">
      <c r="A7792">
        <v>7731</v>
      </c>
      <c r="B7792" s="138" t="str">
        <f>'Expenditures 15-22'!K354</f>
        <v xml:space="preserve"> </v>
      </c>
      <c r="D7792" s="2" t="e">
        <f t="shared" si="127"/>
        <v>#VALUE!</v>
      </c>
      <c r="E7792" s="4" t="s">
        <v>1963</v>
      </c>
    </row>
    <row r="7793" spans="1:5" x14ac:dyDescent="0.2">
      <c r="A7793">
        <v>7732</v>
      </c>
      <c r="B7793" s="138" t="str">
        <f>'Expenditures 15-22'!H355</f>
        <v xml:space="preserve"> </v>
      </c>
      <c r="D7793" s="2" t="e">
        <f t="shared" si="127"/>
        <v>#VALUE!</v>
      </c>
      <c r="E7793" s="4" t="s">
        <v>1963</v>
      </c>
    </row>
    <row r="7794" spans="1:5" x14ac:dyDescent="0.2">
      <c r="A7794">
        <v>7733</v>
      </c>
      <c r="B7794" s="138" t="str">
        <f>'Expenditures 15-22'!K355</f>
        <v xml:space="preserve"> </v>
      </c>
      <c r="D7794" s="2" t="e">
        <f t="shared" si="127"/>
        <v>#VALUE!</v>
      </c>
      <c r="E7794" s="4" t="s">
        <v>1963</v>
      </c>
    </row>
    <row r="7795" spans="1:5" x14ac:dyDescent="0.2">
      <c r="A7795">
        <v>7734</v>
      </c>
      <c r="B7795" s="138" t="str">
        <f>'Expenditures 15-22'!E138</f>
        <v xml:space="preserve"> </v>
      </c>
      <c r="D7795" s="2" t="e">
        <f t="shared" si="127"/>
        <v>#VALUE!</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29'!D32</f>
        <v>1825220</v>
      </c>
      <c r="D7797" s="2" t="str">
        <f t="shared" si="127"/>
        <v>Error?</v>
      </c>
      <c r="E7797" s="4" t="s">
        <v>2016</v>
      </c>
    </row>
    <row r="7798" spans="1:5" x14ac:dyDescent="0.2">
      <c r="A7798">
        <v>7737</v>
      </c>
      <c r="B7798" s="138">
        <f>'Contracts Paid in CY 29'!F32</f>
        <v>275000</v>
      </c>
      <c r="D7798" s="2" t="str">
        <f t="shared" si="127"/>
        <v>Error?</v>
      </c>
      <c r="E7798" s="4" t="s">
        <v>2016</v>
      </c>
    </row>
    <row r="7799" spans="1:5" x14ac:dyDescent="0.2">
      <c r="A7799">
        <v>7738</v>
      </c>
      <c r="B7799" s="138">
        <f>'Contracts Paid in CY 29'!G32</f>
        <v>1185905</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5" t="s">
        <v>1252</v>
      </c>
      <c r="B2" s="2425"/>
      <c r="C2" s="2425"/>
      <c r="D2" s="2425"/>
      <c r="E2" s="2425"/>
      <c r="F2" s="2425"/>
      <c r="G2" s="2425"/>
      <c r="H2" s="2425"/>
      <c r="I2" s="2425"/>
      <c r="J2" s="2425"/>
      <c r="K2" s="2425"/>
      <c r="L2" s="2425"/>
    </row>
    <row r="3" spans="1:29" ht="13.5" customHeight="1" x14ac:dyDescent="0.2">
      <c r="A3" s="2411" t="s">
        <v>1251</v>
      </c>
      <c r="B3" s="2411"/>
      <c r="C3" s="2411"/>
      <c r="D3" s="2411"/>
      <c r="E3" s="2411"/>
      <c r="F3" s="2411"/>
      <c r="G3" s="2411"/>
      <c r="H3" s="2411"/>
      <c r="I3" s="2411"/>
      <c r="J3" s="2411"/>
      <c r="K3" s="2411"/>
      <c r="L3" s="2411"/>
    </row>
    <row r="4" spans="1:29" ht="13.5" customHeight="1" x14ac:dyDescent="0.2">
      <c r="A4" s="2425" t="s">
        <v>1798</v>
      </c>
      <c r="B4" s="2442"/>
      <c r="C4" s="2442"/>
      <c r="D4" s="2442"/>
      <c r="E4" s="2442"/>
      <c r="F4" s="2442"/>
      <c r="G4" s="2442"/>
      <c r="H4" s="2442"/>
      <c r="I4" s="2442"/>
      <c r="J4" s="2442"/>
      <c r="K4" s="2442"/>
      <c r="L4" s="2442"/>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1250</v>
      </c>
      <c r="B6" s="1183"/>
      <c r="C6" s="1184"/>
      <c r="D6" s="1184"/>
      <c r="E6" s="1185" t="s">
        <v>1249</v>
      </c>
      <c r="F6" s="1186"/>
      <c r="G6" s="1187" t="s">
        <v>1248</v>
      </c>
      <c r="H6" s="1184"/>
      <c r="I6" s="1184"/>
      <c r="J6" s="1184"/>
      <c r="K6" s="1184"/>
      <c r="L6" s="1188"/>
      <c r="V6" s="1181"/>
      <c r="W6" s="1181"/>
      <c r="X6" s="1181"/>
      <c r="Y6" s="1181"/>
      <c r="Z6" s="1181"/>
      <c r="AA6" s="1181"/>
      <c r="AB6" s="1181"/>
      <c r="AC6" s="1181"/>
    </row>
    <row r="7" spans="1:29" ht="16.5" customHeight="1" x14ac:dyDescent="0.2">
      <c r="A7" s="2405" t="str">
        <f>COVER!A17</f>
        <v>Vandalia CUSD 203</v>
      </c>
      <c r="B7" s="2406"/>
      <c r="C7" s="2406"/>
      <c r="D7" s="2443"/>
      <c r="E7" s="2444">
        <f>COVER!A13</f>
        <v>3026203026</v>
      </c>
      <c r="F7" s="2445"/>
      <c r="G7" s="2412" t="str">
        <f>COVER!T23</f>
        <v>066-003845</v>
      </c>
      <c r="H7" s="2413"/>
      <c r="I7" s="2413"/>
      <c r="J7" s="2413"/>
      <c r="K7" s="2413"/>
      <c r="L7" s="2414"/>
    </row>
    <row r="8" spans="1:29" ht="13.5" customHeight="1" x14ac:dyDescent="0.2">
      <c r="A8" s="1182" t="s">
        <v>1596</v>
      </c>
      <c r="B8" s="1183"/>
      <c r="C8" s="1184"/>
      <c r="D8" s="1184"/>
      <c r="E8" s="1189"/>
      <c r="F8" s="1188"/>
      <c r="G8" s="1190" t="s">
        <v>1247</v>
      </c>
      <c r="H8" s="1191"/>
      <c r="I8" s="1191"/>
      <c r="J8" s="1191"/>
      <c r="K8" s="1191"/>
      <c r="L8" s="1192"/>
    </row>
    <row r="9" spans="1:29" ht="13.5" customHeight="1" x14ac:dyDescent="0.2">
      <c r="A9" s="2415"/>
      <c r="B9" s="2416"/>
      <c r="C9" s="2416"/>
      <c r="D9" s="2416"/>
      <c r="E9" s="2416"/>
      <c r="F9" s="2417"/>
      <c r="G9" s="2418" t="str">
        <f>COVER!T13</f>
        <v>MOSE, YOCKEY, BROWN &amp; KULL, LLC</v>
      </c>
      <c r="H9" s="2419"/>
      <c r="I9" s="2419"/>
      <c r="J9" s="2419"/>
      <c r="K9" s="2419"/>
      <c r="L9" s="2420"/>
    </row>
    <row r="10" spans="1:29" ht="13.5" customHeight="1" x14ac:dyDescent="0.2">
      <c r="A10" s="2402" t="str">
        <f>COVER!A38</f>
        <v>DR. JENNIFER GARRISON</v>
      </c>
      <c r="B10" s="2403"/>
      <c r="C10" s="2403"/>
      <c r="D10" s="2403"/>
      <c r="E10" s="2403"/>
      <c r="F10" s="2404"/>
      <c r="G10" s="2418" t="str">
        <f>COVER!T17</f>
        <v>230 N. MORGAN, PO BOX 317</v>
      </c>
      <c r="H10" s="2431"/>
      <c r="I10" s="2431"/>
      <c r="J10" s="2431"/>
      <c r="K10" s="2431"/>
      <c r="L10" s="2432"/>
    </row>
    <row r="11" spans="1:29" ht="13.5" customHeight="1" x14ac:dyDescent="0.2">
      <c r="A11" s="1182" t="s">
        <v>1598</v>
      </c>
      <c r="B11" s="1183"/>
      <c r="C11" s="1184"/>
      <c r="D11" s="1189"/>
      <c r="E11" s="1184"/>
      <c r="F11" s="1188"/>
      <c r="G11" s="2418" t="str">
        <f>COVER!T19</f>
        <v>SHELBYVILLE</v>
      </c>
      <c r="H11" s="2431"/>
      <c r="I11" s="2431"/>
      <c r="J11" s="2431"/>
      <c r="K11" s="2431"/>
      <c r="L11" s="2432"/>
    </row>
    <row r="12" spans="1:29" ht="13.5" customHeight="1" x14ac:dyDescent="0.2">
      <c r="A12" s="2436" t="s">
        <v>1597</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1599</v>
      </c>
      <c r="H13" s="2427"/>
      <c r="I13" s="2439" t="str">
        <f>COVER!T25</f>
        <v>mybkcpas@consolidated.net</v>
      </c>
      <c r="J13" s="2440"/>
      <c r="K13" s="2440"/>
      <c r="L13" s="2441"/>
    </row>
    <row r="14" spans="1:29" ht="13.5" customHeight="1" x14ac:dyDescent="0.2">
      <c r="A14" s="2418" t="str">
        <f>COVER!A19</f>
        <v>1109 N. 8TH ST.</v>
      </c>
      <c r="B14" s="2431"/>
      <c r="C14" s="2431"/>
      <c r="D14" s="2431"/>
      <c r="E14" s="2431"/>
      <c r="F14" s="2432"/>
      <c r="G14" s="1193" t="s">
        <v>1246</v>
      </c>
      <c r="H14" s="1191"/>
      <c r="I14" s="1191"/>
      <c r="J14" s="1191"/>
      <c r="K14" s="1191"/>
      <c r="L14" s="1192"/>
    </row>
    <row r="15" spans="1:29" ht="13.5" customHeight="1" x14ac:dyDescent="0.2">
      <c r="A15" s="2418" t="str">
        <f>COVER!A21</f>
        <v>VANDALIA</v>
      </c>
      <c r="B15" s="2431"/>
      <c r="C15" s="2431"/>
      <c r="D15" s="2431"/>
      <c r="E15" s="2431"/>
      <c r="F15" s="2432"/>
      <c r="G15" s="2428" t="str">
        <f>COVER!T15</f>
        <v>ROBIN R. YOCKEY</v>
      </c>
      <c r="H15" s="2429"/>
      <c r="I15" s="2429"/>
      <c r="J15" s="2429"/>
      <c r="K15" s="2429"/>
      <c r="L15" s="2430"/>
    </row>
    <row r="16" spans="1:29" ht="12.2" customHeight="1" x14ac:dyDescent="0.2">
      <c r="A16" s="2408">
        <f>COVER!A25</f>
        <v>62471</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3" t="s">
        <v>1245</v>
      </c>
      <c r="H17" s="1191"/>
      <c r="I17" s="1191"/>
      <c r="J17" s="1191"/>
      <c r="K17" s="1195" t="s">
        <v>1244</v>
      </c>
      <c r="L17" s="1188"/>
      <c r="M17" s="1181"/>
    </row>
    <row r="18" spans="1:13" ht="12.2" customHeight="1" x14ac:dyDescent="0.2">
      <c r="A18" s="2402"/>
      <c r="B18" s="2403"/>
      <c r="C18" s="2403"/>
      <c r="D18" s="2403"/>
      <c r="E18" s="2403"/>
      <c r="F18" s="2404"/>
      <c r="G18" s="2405" t="str">
        <f>COVER!T21</f>
        <v>217-774-9587</v>
      </c>
      <c r="H18" s="2406"/>
      <c r="I18" s="2406"/>
      <c r="J18" s="2406"/>
      <c r="K18" s="2405" t="str">
        <f>COVER!X21</f>
        <v>217-774-9589</v>
      </c>
      <c r="L18" s="2407"/>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1230</v>
      </c>
      <c r="K20" s="1174" t="s">
        <v>1230</v>
      </c>
    </row>
    <row r="21" spans="1:13" ht="12.2" customHeight="1" x14ac:dyDescent="0.2">
      <c r="A21" s="1197" t="s">
        <v>1799</v>
      </c>
    </row>
    <row r="22" spans="1:13" ht="12.2" customHeight="1" x14ac:dyDescent="0.2">
      <c r="A22" s="1198"/>
    </row>
    <row r="23" spans="1:13" ht="12.2" customHeight="1" x14ac:dyDescent="0.2">
      <c r="A23" s="1198"/>
      <c r="B23" s="1199"/>
      <c r="C23" s="1200" t="s">
        <v>1243</v>
      </c>
    </row>
    <row r="24" spans="1:13" ht="10.15" customHeight="1" x14ac:dyDescent="0.2">
      <c r="A24" s="1198"/>
      <c r="C24" s="1200" t="s">
        <v>1242</v>
      </c>
    </row>
    <row r="25" spans="1:13" ht="9" customHeight="1" x14ac:dyDescent="0.2">
      <c r="B25" s="1201" t="s">
        <v>1230</v>
      </c>
      <c r="C25" s="1202"/>
    </row>
    <row r="26" spans="1:13" s="1196" customFormat="1" ht="12.2" customHeight="1" x14ac:dyDescent="0.2">
      <c r="B26" s="1199"/>
      <c r="C26" s="1200" t="s">
        <v>1800</v>
      </c>
    </row>
    <row r="27" spans="1:13" s="1196" customFormat="1" ht="9" customHeight="1" x14ac:dyDescent="0.2">
      <c r="B27" s="1201"/>
      <c r="C27" s="1200"/>
    </row>
    <row r="28" spans="1:13" s="1196" customFormat="1" ht="12.2" customHeight="1" x14ac:dyDescent="0.2">
      <c r="A28" s="1203"/>
      <c r="B28" s="1199"/>
      <c r="C28" s="1200" t="s">
        <v>1801</v>
      </c>
    </row>
    <row r="29" spans="1:13" s="1196" customFormat="1" ht="9" customHeight="1" x14ac:dyDescent="0.2">
      <c r="A29" s="1203"/>
      <c r="B29" s="1201"/>
      <c r="C29" s="1200"/>
    </row>
    <row r="30" spans="1:13" s="1196" customFormat="1" ht="12.2" customHeight="1" x14ac:dyDescent="0.2">
      <c r="B30" s="1199"/>
      <c r="C30" s="1200" t="s">
        <v>1642</v>
      </c>
      <c r="D30" s="1194"/>
      <c r="E30" s="1194"/>
    </row>
    <row r="31" spans="1:13" s="1196" customFormat="1" ht="9" customHeight="1" x14ac:dyDescent="0.2">
      <c r="B31" s="1201"/>
      <c r="C31" s="1200"/>
      <c r="D31" s="1194"/>
      <c r="E31" s="1194"/>
    </row>
    <row r="32" spans="1:13" s="1196" customFormat="1" ht="12.2" customHeight="1" x14ac:dyDescent="0.2">
      <c r="B32" s="1199"/>
      <c r="C32" s="1200" t="s">
        <v>1643</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c r="C35" s="1200" t="s">
        <v>1644</v>
      </c>
    </row>
    <row r="36" spans="1:8" s="1196" customFormat="1" ht="10.9" customHeight="1" x14ac:dyDescent="0.2">
      <c r="B36" s="1201"/>
      <c r="C36" s="1204" t="s">
        <v>1645</v>
      </c>
    </row>
    <row r="37" spans="1:8" ht="9" customHeight="1" x14ac:dyDescent="0.2">
      <c r="B37" s="1201"/>
      <c r="C37" s="1204"/>
    </row>
    <row r="38" spans="1:8" s="1196" customFormat="1" ht="12.2" customHeight="1" x14ac:dyDescent="0.2">
      <c r="B38" s="1199"/>
      <c r="C38" s="1200" t="s">
        <v>1646</v>
      </c>
    </row>
    <row r="39" spans="1:8" ht="9" customHeight="1" x14ac:dyDescent="0.2">
      <c r="B39" s="1201"/>
      <c r="C39" s="1204"/>
    </row>
    <row r="40" spans="1:8" s="1196" customFormat="1" ht="13.5" customHeight="1" x14ac:dyDescent="0.2">
      <c r="B40" s="1199"/>
      <c r="C40" s="1200" t="s">
        <v>1647</v>
      </c>
    </row>
    <row r="41" spans="1:8" ht="9" customHeight="1" x14ac:dyDescent="0.2">
      <c r="A41" s="1205"/>
      <c r="B41" s="1201"/>
      <c r="C41" s="1204"/>
    </row>
    <row r="42" spans="1:8" s="1196" customFormat="1" ht="13.5" customHeight="1" x14ac:dyDescent="0.2">
      <c r="B42" s="1199"/>
      <c r="C42" s="1200" t="s">
        <v>1943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1241</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1648</v>
      </c>
      <c r="D46" s="1194"/>
      <c r="E46" s="1194"/>
      <c r="F46" s="1194"/>
      <c r="G46" s="1194"/>
      <c r="H46" s="1194"/>
    </row>
    <row r="47" spans="1:8" ht="9" customHeight="1" x14ac:dyDescent="0.2"/>
    <row r="48" spans="1:8" ht="12.2" customHeight="1" x14ac:dyDescent="0.2">
      <c r="B48" s="1208"/>
      <c r="C48" s="1209" t="s">
        <v>1649</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6" t="str">
        <f>'Single Audit Cover'!A7</f>
        <v>Vandalia CUSD 203</v>
      </c>
      <c r="B1" s="2442"/>
      <c r="C1" s="2442"/>
      <c r="D1" s="2442"/>
    </row>
    <row r="2" spans="1:11" s="1212" customFormat="1" ht="12.75" x14ac:dyDescent="0.2">
      <c r="A2" s="2447">
        <f>'Single Audit Cover'!E7</f>
        <v>3026203026</v>
      </c>
      <c r="B2" s="2448"/>
      <c r="C2" s="2448"/>
      <c r="D2" s="2448"/>
    </row>
    <row r="3" spans="1:11" s="1212" customFormat="1" ht="12.75" x14ac:dyDescent="0.2">
      <c r="A3" s="2446" t="s">
        <v>1592</v>
      </c>
      <c r="B3" s="2442"/>
      <c r="C3" s="2442"/>
      <c r="D3" s="2442"/>
    </row>
    <row r="4" spans="1:11" s="1212" customFormat="1" ht="4.5" customHeight="1" x14ac:dyDescent="0.2">
      <c r="A4" s="1213"/>
      <c r="B4" s="1214"/>
      <c r="C4" s="1214"/>
      <c r="D4" s="1214"/>
    </row>
    <row r="5" spans="1:11" x14ac:dyDescent="0.2">
      <c r="B5" s="1216" t="s">
        <v>1593</v>
      </c>
      <c r="C5" s="1217"/>
      <c r="D5" s="1218"/>
    </row>
    <row r="6" spans="1:11" x14ac:dyDescent="0.2">
      <c r="B6" s="1216" t="s">
        <v>1286</v>
      </c>
      <c r="C6" s="1217"/>
      <c r="D6" s="1218"/>
    </row>
    <row r="7" spans="1:11" x14ac:dyDescent="0.2">
      <c r="B7" s="1216" t="s">
        <v>1594</v>
      </c>
      <c r="C7" s="1217"/>
      <c r="D7" s="1218"/>
    </row>
    <row r="8" spans="1:11" ht="4.5" customHeight="1" x14ac:dyDescent="0.2">
      <c r="B8" s="1216"/>
      <c r="C8" s="1217"/>
      <c r="D8" s="1218"/>
    </row>
    <row r="9" spans="1:11" x14ac:dyDescent="0.2">
      <c r="B9" s="1220" t="s">
        <v>1285</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1284</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1283</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1282</v>
      </c>
      <c r="E21" s="1225"/>
      <c r="F21" s="1225"/>
      <c r="G21" s="1225"/>
      <c r="H21" s="1225"/>
      <c r="I21" s="1225"/>
      <c r="J21" s="1225"/>
      <c r="K21" s="1225"/>
    </row>
    <row r="22" spans="1:11" ht="10.5" customHeight="1" x14ac:dyDescent="0.2">
      <c r="A22" s="1219"/>
      <c r="B22" s="1228"/>
      <c r="D22" s="1227" t="s">
        <v>1281</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1650</v>
      </c>
      <c r="E28" s="1225"/>
      <c r="F28" s="1225"/>
      <c r="G28" s="1225"/>
      <c r="H28" s="1225"/>
      <c r="I28" s="1225"/>
      <c r="J28" s="1225"/>
      <c r="K28" s="1225"/>
    </row>
    <row r="29" spans="1:11" ht="10.5" customHeight="1" x14ac:dyDescent="0.2">
      <c r="A29" s="1219"/>
      <c r="D29" s="1233" t="s">
        <v>1651</v>
      </c>
    </row>
    <row r="30" spans="1:11" ht="6" customHeight="1" x14ac:dyDescent="0.2">
      <c r="A30" s="1219"/>
      <c r="D30" s="1218"/>
    </row>
    <row r="31" spans="1:11" x14ac:dyDescent="0.2">
      <c r="A31" s="1219"/>
      <c r="B31" s="1220" t="s">
        <v>1280</v>
      </c>
      <c r="C31" s="1221"/>
      <c r="D31" s="1218"/>
    </row>
    <row r="32" spans="1:11" ht="4.5" customHeight="1" x14ac:dyDescent="0.2">
      <c r="A32" s="1219"/>
      <c r="B32" s="1220"/>
      <c r="C32" s="1221"/>
      <c r="D32" s="1218"/>
    </row>
    <row r="33" spans="1:5" x14ac:dyDescent="0.2">
      <c r="A33" s="1219"/>
      <c r="B33" s="1222"/>
      <c r="C33" s="1223">
        <v>8</v>
      </c>
      <c r="D33" s="1234" t="s">
        <v>1279</v>
      </c>
    </row>
    <row r="34" spans="1:5" ht="10.5" customHeight="1" x14ac:dyDescent="0.2">
      <c r="A34" s="1219"/>
      <c r="B34" s="1235"/>
      <c r="C34" s="1223"/>
      <c r="D34" s="1234" t="s">
        <v>1652</v>
      </c>
    </row>
    <row r="35" spans="1:5" ht="3" customHeight="1" x14ac:dyDescent="0.2">
      <c r="A35" s="1219"/>
      <c r="B35" s="1228"/>
      <c r="D35" s="1218"/>
    </row>
    <row r="36" spans="1:5" x14ac:dyDescent="0.2">
      <c r="A36" s="1219"/>
      <c r="B36" s="1222"/>
      <c r="C36" s="1223">
        <f>C33+1</f>
        <v>9</v>
      </c>
      <c r="D36" s="1234" t="s">
        <v>1278</v>
      </c>
    </row>
    <row r="37" spans="1:5" ht="10.5" customHeight="1" x14ac:dyDescent="0.2">
      <c r="A37" s="1219"/>
      <c r="B37" s="1228"/>
      <c r="D37" s="1234" t="s">
        <v>1652</v>
      </c>
    </row>
    <row r="38" spans="1:5" ht="3" customHeight="1" x14ac:dyDescent="0.2">
      <c r="A38" s="1219"/>
      <c r="B38" s="1236"/>
      <c r="C38" s="1237"/>
      <c r="D38" s="1218"/>
    </row>
    <row r="39" spans="1:5" x14ac:dyDescent="0.2">
      <c r="A39" s="1219"/>
      <c r="B39" s="1238"/>
      <c r="C39" s="1229">
        <f>C36+1</f>
        <v>10</v>
      </c>
      <c r="D39" s="1218" t="s">
        <v>1277</v>
      </c>
    </row>
    <row r="40" spans="1:5" ht="10.5" customHeight="1" x14ac:dyDescent="0.2">
      <c r="A40" s="1219"/>
      <c r="B40" s="1239"/>
      <c r="C40" s="1237"/>
      <c r="D40" s="1218" t="s">
        <v>1653</v>
      </c>
    </row>
    <row r="41" spans="1:5" ht="3" customHeight="1" x14ac:dyDescent="0.2">
      <c r="A41" s="1219"/>
      <c r="B41" s="1236"/>
      <c r="C41" s="1237"/>
      <c r="D41" s="1218"/>
    </row>
    <row r="42" spans="1:5" ht="10.5" customHeight="1" x14ac:dyDescent="0.2">
      <c r="A42" s="1219"/>
      <c r="B42" s="1238"/>
      <c r="C42" s="1229">
        <v>11</v>
      </c>
      <c r="D42" s="1240" t="s">
        <v>1654</v>
      </c>
      <c r="E42" s="312"/>
    </row>
    <row r="43" spans="1:5" ht="3" customHeight="1" x14ac:dyDescent="0.2">
      <c r="A43" s="1219"/>
      <c r="B43" s="1236"/>
      <c r="C43" s="1237"/>
      <c r="D43" s="1218"/>
    </row>
    <row r="44" spans="1:5" x14ac:dyDescent="0.2">
      <c r="A44" s="1219"/>
      <c r="B44" s="1222"/>
      <c r="C44" s="1223">
        <f>C42+1</f>
        <v>12</v>
      </c>
      <c r="D44" s="1234" t="s">
        <v>1276</v>
      </c>
    </row>
    <row r="45" spans="1:5" ht="10.5" customHeight="1" x14ac:dyDescent="0.2">
      <c r="A45" s="1219"/>
      <c r="B45" s="1235"/>
      <c r="C45" s="1223"/>
      <c r="D45" s="1234" t="s">
        <v>1275</v>
      </c>
    </row>
    <row r="46" spans="1:5" ht="10.5" customHeight="1" x14ac:dyDescent="0.2">
      <c r="A46" s="1219"/>
      <c r="B46" s="1236"/>
      <c r="C46" s="1237"/>
      <c r="D46" s="1234" t="s">
        <v>1274</v>
      </c>
    </row>
    <row r="47" spans="1:5" ht="3" customHeight="1" x14ac:dyDescent="0.2">
      <c r="A47" s="1219"/>
      <c r="B47" s="1236"/>
      <c r="C47" s="1237"/>
      <c r="D47" s="1234"/>
    </row>
    <row r="48" spans="1:5" x14ac:dyDescent="0.2">
      <c r="A48" s="1219"/>
      <c r="B48" s="1222"/>
      <c r="C48" s="1223">
        <f>C44+1</f>
        <v>13</v>
      </c>
      <c r="D48" s="1234" t="s">
        <v>1655</v>
      </c>
    </row>
    <row r="49" spans="1:4" ht="3" customHeight="1" x14ac:dyDescent="0.2">
      <c r="A49" s="1219"/>
      <c r="B49" s="1226"/>
      <c r="C49" s="1223"/>
      <c r="D49" s="1234"/>
    </row>
    <row r="50" spans="1:4" x14ac:dyDescent="0.2">
      <c r="A50" s="1219"/>
      <c r="B50" s="1222"/>
      <c r="C50" s="1223">
        <f>C48+1</f>
        <v>14</v>
      </c>
      <c r="D50" s="1234" t="s">
        <v>1273</v>
      </c>
    </row>
    <row r="51" spans="1:4" ht="3" customHeight="1" x14ac:dyDescent="0.2">
      <c r="A51" s="1219"/>
      <c r="B51" s="1226"/>
      <c r="C51" s="1223"/>
      <c r="D51" s="1234"/>
    </row>
    <row r="52" spans="1:4" x14ac:dyDescent="0.2">
      <c r="A52" s="1219"/>
      <c r="B52" s="1222"/>
      <c r="C52" s="1223">
        <f>C50+1</f>
        <v>15</v>
      </c>
      <c r="D52" s="1234" t="s">
        <v>1272</v>
      </c>
    </row>
    <row r="53" spans="1:4" ht="3" customHeight="1" x14ac:dyDescent="0.2">
      <c r="A53" s="1219"/>
      <c r="B53" s="1226"/>
      <c r="C53" s="1223"/>
      <c r="D53" s="1234"/>
    </row>
    <row r="54" spans="1:4" x14ac:dyDescent="0.2">
      <c r="A54" s="1219"/>
      <c r="B54" s="1222"/>
      <c r="C54" s="1223">
        <f>C52+1</f>
        <v>16</v>
      </c>
      <c r="D54" s="1234" t="s">
        <v>1271</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1270</v>
      </c>
    </row>
    <row r="60" spans="1:4" ht="10.5" customHeight="1" x14ac:dyDescent="0.2">
      <c r="A60" s="1219"/>
      <c r="D60" s="1242" t="s">
        <v>1680</v>
      </c>
    </row>
    <row r="61" spans="1:4" ht="10.5" customHeight="1" x14ac:dyDescent="0.2">
      <c r="A61" s="1219"/>
      <c r="C61" s="1241"/>
      <c r="D61" s="1234" t="s">
        <v>1813</v>
      </c>
    </row>
    <row r="62" spans="1:4" ht="10.5" customHeight="1" x14ac:dyDescent="0.2">
      <c r="A62" s="1219"/>
      <c r="D62" s="1243" t="s">
        <v>1269</v>
      </c>
    </row>
    <row r="63" spans="1:4" ht="10.5" customHeight="1" x14ac:dyDescent="0.2">
      <c r="A63" s="1219"/>
      <c r="D63" s="1218" t="s">
        <v>1656</v>
      </c>
    </row>
    <row r="64" spans="1:4" ht="10.5" customHeight="1" x14ac:dyDescent="0.2">
      <c r="A64" s="1219"/>
      <c r="D64" s="1242" t="s">
        <v>1679</v>
      </c>
    </row>
    <row r="65" spans="1:4" x14ac:dyDescent="0.2">
      <c r="A65" s="1219"/>
      <c r="C65" s="1241"/>
      <c r="D65" s="1234" t="s">
        <v>1814</v>
      </c>
    </row>
    <row r="66" spans="1:4" ht="10.5" customHeight="1" x14ac:dyDescent="0.2">
      <c r="A66" s="1219"/>
      <c r="D66" s="1244" t="s">
        <v>1268</v>
      </c>
    </row>
    <row r="67" spans="1:4" ht="10.5" customHeight="1" x14ac:dyDescent="0.2">
      <c r="A67" s="1219"/>
      <c r="D67" s="1218" t="s">
        <v>1657</v>
      </c>
    </row>
    <row r="68" spans="1:4" ht="10.5" customHeight="1" x14ac:dyDescent="0.2">
      <c r="A68" s="1219"/>
      <c r="D68" s="1242" t="s">
        <v>1679</v>
      </c>
    </row>
    <row r="69" spans="1:4" ht="10.5" customHeight="1" x14ac:dyDescent="0.2">
      <c r="A69" s="1219"/>
      <c r="C69" s="1241"/>
      <c r="D69" s="1234" t="s">
        <v>1815</v>
      </c>
    </row>
    <row r="70" spans="1:4" x14ac:dyDescent="0.2">
      <c r="A70" s="1219"/>
      <c r="D70" s="1243" t="s">
        <v>1267</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1266</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1265</v>
      </c>
    </row>
    <row r="84" spans="1:4" ht="3" customHeight="1" x14ac:dyDescent="0.2">
      <c r="A84" s="1219"/>
      <c r="B84" s="1228"/>
      <c r="D84" s="1234"/>
    </row>
    <row r="85" spans="1:4" x14ac:dyDescent="0.2">
      <c r="A85" s="1219"/>
      <c r="B85" s="1222"/>
      <c r="C85" s="1223">
        <f>C82+1</f>
        <v>24</v>
      </c>
      <c r="D85" s="1234" t="s">
        <v>1264</v>
      </c>
    </row>
    <row r="86" spans="1:4" ht="3" customHeight="1" x14ac:dyDescent="0.2">
      <c r="A86" s="1219"/>
      <c r="B86" s="1226"/>
      <c r="C86" s="1223"/>
      <c r="D86" s="1234"/>
    </row>
    <row r="87" spans="1:4" x14ac:dyDescent="0.2">
      <c r="A87" s="1219"/>
      <c r="B87" s="1222"/>
      <c r="C87" s="1223">
        <f>C85+1</f>
        <v>25</v>
      </c>
      <c r="D87" s="1234" t="s">
        <v>1263</v>
      </c>
    </row>
    <row r="88" spans="1:4" ht="3" customHeight="1" x14ac:dyDescent="0.2">
      <c r="A88" s="1219"/>
      <c r="B88" s="1226"/>
      <c r="C88" s="1223"/>
      <c r="D88" s="1234"/>
    </row>
    <row r="89" spans="1:4" x14ac:dyDescent="0.2">
      <c r="A89" s="1219"/>
      <c r="B89" s="1222"/>
      <c r="C89" s="1223">
        <f>C87+1</f>
        <v>26</v>
      </c>
      <c r="D89" s="1234" t="s">
        <v>1262</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1261</v>
      </c>
    </row>
    <row r="93" spans="1:4" ht="4.5" customHeight="1" x14ac:dyDescent="0.2">
      <c r="A93" s="1219"/>
      <c r="D93" s="1218"/>
    </row>
    <row r="94" spans="1:4" x14ac:dyDescent="0.2">
      <c r="A94" s="1219"/>
      <c r="B94" s="1220" t="s">
        <v>1658</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1659</v>
      </c>
    </row>
    <row r="103" spans="1:4" ht="4.5" customHeight="1" x14ac:dyDescent="0.2">
      <c r="A103" s="1219"/>
      <c r="B103" s="312"/>
      <c r="C103" s="1223"/>
      <c r="D103" s="1234"/>
    </row>
    <row r="104" spans="1:4" ht="14.1" customHeight="1" x14ac:dyDescent="0.2">
      <c r="A104" s="1219"/>
      <c r="B104" s="1250" t="s">
        <v>1260</v>
      </c>
    </row>
    <row r="105" spans="1:4" ht="4.5" customHeight="1" x14ac:dyDescent="0.2">
      <c r="A105" s="1219"/>
      <c r="B105" s="1250"/>
    </row>
    <row r="106" spans="1:4" x14ac:dyDescent="0.2">
      <c r="A106" s="1219"/>
      <c r="B106" s="1222"/>
      <c r="C106" s="1223">
        <f>C102+1</f>
        <v>32</v>
      </c>
      <c r="D106" s="1218" t="s">
        <v>1660</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1259</v>
      </c>
    </row>
    <row r="111" spans="1:4" ht="3" customHeight="1" x14ac:dyDescent="0.2">
      <c r="A111" s="1219"/>
      <c r="B111" s="1226"/>
      <c r="C111" s="1223"/>
      <c r="D111" s="1218"/>
    </row>
    <row r="112" spans="1:4" x14ac:dyDescent="0.2">
      <c r="A112" s="1219"/>
      <c r="B112" s="1222"/>
      <c r="C112" s="1223">
        <f>C110+1</f>
        <v>35</v>
      </c>
      <c r="D112" s="1218" t="s">
        <v>1258</v>
      </c>
    </row>
    <row r="113" spans="1:4" ht="11.25" customHeight="1" x14ac:dyDescent="0.2">
      <c r="A113" s="1219"/>
      <c r="B113" s="1251"/>
      <c r="C113" s="1223"/>
      <c r="D113" s="1252" t="s">
        <v>1257</v>
      </c>
    </row>
    <row r="114" spans="1:4" ht="3" customHeight="1" x14ac:dyDescent="0.2">
      <c r="A114" s="1219"/>
      <c r="B114" s="1253"/>
      <c r="C114" s="1223"/>
      <c r="D114" s="1252"/>
    </row>
    <row r="115" spans="1:4" x14ac:dyDescent="0.2">
      <c r="A115" s="1219"/>
      <c r="B115" s="1222"/>
      <c r="C115" s="1223">
        <f>C112+1</f>
        <v>36</v>
      </c>
      <c r="D115" s="1234" t="s">
        <v>1256</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1255</v>
      </c>
    </row>
    <row r="121" spans="1:4" ht="10.5" customHeight="1" x14ac:dyDescent="0.2">
      <c r="A121" s="1219"/>
      <c r="B121" s="1247"/>
      <c r="C121" s="1223"/>
      <c r="D121" s="1234" t="s">
        <v>1254</v>
      </c>
    </row>
    <row r="122" spans="1:4" ht="3" customHeight="1" x14ac:dyDescent="0.2">
      <c r="A122" s="1219"/>
      <c r="B122" s="1247"/>
      <c r="C122" s="1223"/>
      <c r="D122" s="1234"/>
    </row>
    <row r="123" spans="1:4" x14ac:dyDescent="0.2">
      <c r="A123" s="1219"/>
      <c r="B123" s="1222"/>
      <c r="C123" s="1223">
        <f>C119+1</f>
        <v>39</v>
      </c>
      <c r="D123" s="1244" t="s">
        <v>1944</v>
      </c>
    </row>
    <row r="124" spans="1:4" x14ac:dyDescent="0.2">
      <c r="A124" s="1219"/>
      <c r="B124" s="312"/>
      <c r="C124" s="1223"/>
      <c r="D124" s="1234" t="s">
        <v>1253</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20" zoomScaleNormal="120" zoomScaleSheetLayoutView="100" workbookViewId="0">
      <selection activeCell="D40" sqref="D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0" t="str">
        <f>'Single Audit Cover'!A7</f>
        <v>Vandalia CUSD 203</v>
      </c>
      <c r="B1" s="2450"/>
      <c r="C1" s="2450"/>
      <c r="D1" s="2450"/>
      <c r="E1" s="2450"/>
    </row>
    <row r="2" spans="1:5" x14ac:dyDescent="0.2">
      <c r="A2" s="2451">
        <f>'Single Audit Cover'!E7</f>
        <v>3026203026</v>
      </c>
      <c r="B2" s="2451"/>
      <c r="C2" s="2451"/>
      <c r="D2" s="2451"/>
      <c r="E2" s="2451"/>
    </row>
    <row r="3" spans="1:5" ht="4.5" customHeight="1" x14ac:dyDescent="0.2"/>
    <row r="4" spans="1:5" x14ac:dyDescent="0.2">
      <c r="A4" s="2450" t="s">
        <v>1306</v>
      </c>
      <c r="B4" s="2450"/>
      <c r="C4" s="2450"/>
      <c r="D4" s="2450"/>
      <c r="E4" s="2450"/>
    </row>
    <row r="5" spans="1:5" x14ac:dyDescent="0.2">
      <c r="A5" s="2453" t="str">
        <f>'Single Audit Cover'!A4</f>
        <v>Year Ending June 30, 2018</v>
      </c>
      <c r="B5" s="2453"/>
      <c r="C5" s="2453"/>
      <c r="D5" s="2453"/>
      <c r="E5" s="2453"/>
    </row>
    <row r="6" spans="1:5" x14ac:dyDescent="0.2">
      <c r="A6" s="2450" t="s">
        <v>1305</v>
      </c>
      <c r="B6" s="2450"/>
      <c r="C6" s="2450"/>
      <c r="D6" s="2450"/>
      <c r="E6" s="2450"/>
    </row>
    <row r="8" spans="1:5" x14ac:dyDescent="0.2">
      <c r="A8" s="1257" t="s">
        <v>1304</v>
      </c>
    </row>
    <row r="10" spans="1:5" x14ac:dyDescent="0.2">
      <c r="A10" s="1258" t="s">
        <v>1303</v>
      </c>
      <c r="B10" s="1259" t="s">
        <v>1302</v>
      </c>
      <c r="C10" s="1259"/>
      <c r="D10" s="1260">
        <f>SUM('Acct Summary 7-8'!C7:K7)</f>
        <v>1213856</v>
      </c>
    </row>
    <row r="11" spans="1:5" ht="18" customHeight="1" x14ac:dyDescent="0.2">
      <c r="A11" s="1258" t="s">
        <v>1301</v>
      </c>
      <c r="B11" s="1259"/>
      <c r="C11" s="1259"/>
    </row>
    <row r="12" spans="1:5" x14ac:dyDescent="0.2">
      <c r="A12" s="1258" t="s">
        <v>1300</v>
      </c>
      <c r="B12" s="1259" t="s">
        <v>1299</v>
      </c>
      <c r="C12" s="1259"/>
      <c r="D12" s="1261">
        <f>SUM('Revenues 9-14'!C112:D112,'Revenues 9-14'!F112:G112)</f>
        <v>0</v>
      </c>
    </row>
    <row r="13" spans="1:5" x14ac:dyDescent="0.2">
      <c r="A13" s="1258" t="s">
        <v>1298</v>
      </c>
      <c r="B13" s="1259"/>
      <c r="C13" s="1259"/>
    </row>
    <row r="14" spans="1:5" x14ac:dyDescent="0.2">
      <c r="A14" s="1258" t="s">
        <v>1829</v>
      </c>
      <c r="B14" s="1259"/>
      <c r="C14" s="1259"/>
      <c r="D14" s="1261">
        <f>'ICR Computation 30'!E11</f>
        <v>70076</v>
      </c>
    </row>
    <row r="15" spans="1:5" x14ac:dyDescent="0.2">
      <c r="A15" s="1258"/>
      <c r="B15" s="1259"/>
      <c r="C15" s="1259"/>
    </row>
    <row r="16" spans="1:5" x14ac:dyDescent="0.2">
      <c r="A16" s="1258" t="s">
        <v>1952</v>
      </c>
      <c r="B16" s="1259"/>
      <c r="C16" s="1259"/>
    </row>
    <row r="17" spans="1:4" x14ac:dyDescent="0.2">
      <c r="A17" s="1258" t="s">
        <v>1600</v>
      </c>
      <c r="B17" s="1259" t="s">
        <v>1297</v>
      </c>
      <c r="C17" s="1259"/>
      <c r="D17" s="1261">
        <f>-SUM('Revenues 9-14'!C271:D271,'Revenues 9-14'!F271:G271)</f>
        <v>-46668</v>
      </c>
    </row>
    <row r="19" spans="1:4" ht="13.5" thickBot="1" x14ac:dyDescent="0.25">
      <c r="A19" s="1262" t="s">
        <v>1296</v>
      </c>
      <c r="D19" s="1263">
        <f>SUM(D10:D17)</f>
        <v>1237264</v>
      </c>
    </row>
    <row r="20" spans="1:4" ht="21.75" customHeight="1" thickTop="1" x14ac:dyDescent="0.2"/>
    <row r="21" spans="1:4" x14ac:dyDescent="0.2">
      <c r="A21" s="1257" t="s">
        <v>1295</v>
      </c>
    </row>
    <row r="22" spans="1:4" ht="8.25" customHeight="1" x14ac:dyDescent="0.2"/>
    <row r="23" spans="1:4" x14ac:dyDescent="0.2">
      <c r="A23" s="1264" t="s">
        <v>1289</v>
      </c>
    </row>
    <row r="24" spans="1:4" x14ac:dyDescent="0.2">
      <c r="A24" s="2452"/>
      <c r="B24" s="2452"/>
      <c r="D24" s="1265"/>
    </row>
    <row r="25" spans="1:4" x14ac:dyDescent="0.2">
      <c r="A25" s="2449"/>
      <c r="B25" s="2449"/>
      <c r="D25" s="1265"/>
    </row>
    <row r="26" spans="1:4" x14ac:dyDescent="0.2">
      <c r="A26" s="2449"/>
      <c r="B26" s="2449"/>
      <c r="D26" s="1265"/>
    </row>
    <row r="27" spans="1:4" x14ac:dyDescent="0.2">
      <c r="A27" s="2449"/>
      <c r="B27" s="2449"/>
      <c r="D27" s="1265"/>
    </row>
    <row r="28" spans="1:4" x14ac:dyDescent="0.2">
      <c r="A28" s="2449"/>
      <c r="B28" s="2449"/>
      <c r="D28" s="1265"/>
    </row>
    <row r="29" spans="1:4" x14ac:dyDescent="0.2">
      <c r="A29" s="2449"/>
      <c r="B29" s="2449"/>
      <c r="D29" s="1265"/>
    </row>
    <row r="30" spans="1:4" x14ac:dyDescent="0.2">
      <c r="A30" s="2449"/>
      <c r="B30" s="2449"/>
      <c r="D30" s="1265"/>
    </row>
    <row r="32" spans="1:4" x14ac:dyDescent="0.2">
      <c r="A32" s="1257" t="s">
        <v>1294</v>
      </c>
      <c r="D32" s="1260">
        <f>SUM(D19:D30)</f>
        <v>1237264</v>
      </c>
    </row>
    <row r="33" spans="1:4" x14ac:dyDescent="0.2">
      <c r="D33" s="1266"/>
    </row>
    <row r="34" spans="1:4" x14ac:dyDescent="0.2">
      <c r="A34" s="317" t="s">
        <v>1293</v>
      </c>
    </row>
    <row r="35" spans="1:4" x14ac:dyDescent="0.2">
      <c r="A35" s="317" t="s">
        <v>1292</v>
      </c>
      <c r="B35" s="1255" t="s">
        <v>1291</v>
      </c>
      <c r="D35" s="1267">
        <f>' SEFA (4)'!F18</f>
        <v>1237264</v>
      </c>
    </row>
    <row r="37" spans="1:4" x14ac:dyDescent="0.2">
      <c r="A37" s="1257" t="s">
        <v>1290</v>
      </c>
    </row>
    <row r="39" spans="1:4" ht="13.35" customHeight="1" x14ac:dyDescent="0.2">
      <c r="A39" s="1264" t="s">
        <v>1289</v>
      </c>
    </row>
    <row r="40" spans="1:4" x14ac:dyDescent="0.2">
      <c r="A40" s="2449"/>
      <c r="B40" s="2449"/>
      <c r="D40" s="1265"/>
    </row>
    <row r="41" spans="1:4" x14ac:dyDescent="0.2">
      <c r="A41" s="2449"/>
      <c r="B41" s="2449"/>
      <c r="D41" s="1268"/>
    </row>
    <row r="42" spans="1:4" x14ac:dyDescent="0.2">
      <c r="A42" s="2449"/>
      <c r="B42" s="2449"/>
      <c r="D42" s="1268"/>
    </row>
    <row r="43" spans="1:4" x14ac:dyDescent="0.2">
      <c r="A43" s="2449"/>
      <c r="B43" s="2449"/>
      <c r="D43" s="1268"/>
    </row>
    <row r="44" spans="1:4" x14ac:dyDescent="0.2">
      <c r="A44" s="2449"/>
      <c r="B44" s="2449"/>
      <c r="D44" s="1268"/>
    </row>
    <row r="45" spans="1:4" x14ac:dyDescent="0.2">
      <c r="A45" s="2449"/>
      <c r="B45" s="2449"/>
      <c r="D45" s="1268"/>
    </row>
    <row r="47" spans="1:4" x14ac:dyDescent="0.2">
      <c r="B47" s="1269" t="s">
        <v>1288</v>
      </c>
      <c r="C47" s="1269"/>
      <c r="D47" s="1270">
        <f>SUM(D35:D45)</f>
        <v>1237264</v>
      </c>
    </row>
    <row r="49" spans="2:4" x14ac:dyDescent="0.2">
      <c r="B49" s="1269" t="s">
        <v>1287</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topLeftCell="A10" zoomScale="120" zoomScaleNormal="120" workbookViewId="0">
      <selection activeCell="J13" sqref="J1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Vandalia CUSD 203</v>
      </c>
      <c r="B1" s="2455"/>
      <c r="C1" s="2455"/>
      <c r="D1" s="2455"/>
      <c r="E1" s="2455"/>
      <c r="F1" s="2455"/>
    </row>
    <row r="2" spans="1:7" ht="13.5" customHeight="1" x14ac:dyDescent="0.2">
      <c r="A2" s="2456">
        <f>'Single Audit Cover'!E7</f>
        <v>3026203026</v>
      </c>
      <c r="B2" s="2456"/>
      <c r="C2" s="2456"/>
      <c r="D2" s="2456"/>
      <c r="E2" s="2456"/>
      <c r="F2" s="2456"/>
      <c r="G2" s="1272"/>
    </row>
    <row r="3" spans="1:7" ht="15.75" customHeight="1" x14ac:dyDescent="0.2">
      <c r="A3" s="2457" t="s">
        <v>1332</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3" t="s">
        <v>1830</v>
      </c>
      <c r="C6" s="317"/>
      <c r="D6" s="317"/>
    </row>
    <row r="7" spans="1:7" ht="60.95" customHeight="1" x14ac:dyDescent="0.2">
      <c r="A7" s="2454" t="s">
        <v>2165</v>
      </c>
      <c r="B7" s="2454"/>
      <c r="C7" s="2454"/>
      <c r="D7" s="2454"/>
      <c r="E7" s="2454"/>
      <c r="F7" s="2454"/>
    </row>
    <row r="8" spans="1:7" ht="12" customHeight="1" x14ac:dyDescent="0.2">
      <c r="A8" s="1273"/>
      <c r="B8" s="1279"/>
      <c r="C8" s="1279"/>
      <c r="D8" s="1279"/>
    </row>
    <row r="9" spans="1:7" ht="15" customHeight="1" x14ac:dyDescent="0.2">
      <c r="A9" s="1274" t="s">
        <v>1831</v>
      </c>
      <c r="B9" s="1277"/>
      <c r="C9" s="1277"/>
      <c r="D9" s="1277"/>
      <c r="E9" s="1275"/>
      <c r="F9" s="1275"/>
      <c r="G9" s="1275"/>
    </row>
    <row r="10" spans="1:7" ht="15" customHeight="1" x14ac:dyDescent="0.2">
      <c r="A10" s="1276" t="s">
        <v>1627</v>
      </c>
      <c r="B10" s="1277"/>
      <c r="C10" s="1278"/>
      <c r="D10" s="1277" t="s">
        <v>1628</v>
      </c>
      <c r="E10" s="1278" t="s">
        <v>2080</v>
      </c>
      <c r="F10" s="1277" t="s">
        <v>101</v>
      </c>
      <c r="G10" s="1275"/>
    </row>
    <row r="11" spans="1:7" ht="12" customHeight="1" x14ac:dyDescent="0.2">
      <c r="A11" s="1276"/>
      <c r="B11" s="1277"/>
      <c r="C11" s="1918"/>
      <c r="D11" s="1277"/>
      <c r="E11" s="1918"/>
      <c r="F11" s="1277"/>
      <c r="G11" s="1275"/>
    </row>
    <row r="12" spans="1:7" x14ac:dyDescent="0.2">
      <c r="A12" s="1273" t="s">
        <v>1668</v>
      </c>
      <c r="C12" s="1257"/>
      <c r="D12" s="1257"/>
    </row>
    <row r="13" spans="1:7" ht="30" customHeight="1" x14ac:dyDescent="0.2">
      <c r="A13" s="2454" t="s">
        <v>2223</v>
      </c>
      <c r="B13" s="2454"/>
      <c r="C13" s="2454"/>
      <c r="D13" s="2454"/>
      <c r="E13" s="2454"/>
      <c r="F13" s="2454"/>
    </row>
    <row r="14" spans="1:7" ht="9.75" customHeight="1" x14ac:dyDescent="0.2">
      <c r="C14" s="1257"/>
      <c r="D14" s="1257"/>
    </row>
    <row r="15" spans="1:7" ht="13.5" customHeight="1" x14ac:dyDescent="0.2">
      <c r="C15" s="1862" t="s">
        <v>1331</v>
      </c>
      <c r="D15" s="2459" t="s">
        <v>1330</v>
      </c>
      <c r="E15" s="2459"/>
      <c r="F15" s="2459"/>
    </row>
    <row r="16" spans="1:7" ht="13.5" customHeight="1" x14ac:dyDescent="0.2">
      <c r="A16" s="1279"/>
      <c r="B16" s="1273" t="s">
        <v>1329</v>
      </c>
      <c r="C16" s="1862" t="s">
        <v>1328</v>
      </c>
      <c r="D16" s="2460" t="s">
        <v>1669</v>
      </c>
      <c r="E16" s="2460"/>
      <c r="F16" s="2460"/>
    </row>
    <row r="17" spans="1:6" ht="20.45" customHeight="1" x14ac:dyDescent="0.2">
      <c r="A17" s="1280"/>
      <c r="B17" s="1281" t="s">
        <v>2164</v>
      </c>
      <c r="C17" s="1282"/>
      <c r="D17" s="2461"/>
      <c r="E17" s="2461"/>
      <c r="F17" s="2461"/>
    </row>
    <row r="18" spans="1:6" ht="20.65" customHeight="1" x14ac:dyDescent="0.2">
      <c r="A18" s="1280"/>
      <c r="B18" s="1281"/>
      <c r="C18" s="1282"/>
      <c r="D18" s="2461"/>
      <c r="E18" s="2461"/>
      <c r="F18" s="2461"/>
    </row>
    <row r="19" spans="1:6" ht="20.65" customHeight="1" x14ac:dyDescent="0.2">
      <c r="A19" s="1280"/>
      <c r="B19" s="1281"/>
      <c r="C19" s="1282"/>
      <c r="D19" s="2461"/>
      <c r="E19" s="2461"/>
      <c r="F19" s="2461"/>
    </row>
    <row r="20" spans="1:6" ht="12" customHeight="1" x14ac:dyDescent="0.2">
      <c r="A20" s="328"/>
      <c r="B20" s="328"/>
      <c r="C20" s="1475"/>
      <c r="D20" s="1919"/>
      <c r="E20" s="1283"/>
    </row>
    <row r="21" spans="1:6" ht="12" customHeight="1" x14ac:dyDescent="0.2">
      <c r="A21" s="1284" t="s">
        <v>1629</v>
      </c>
      <c r="B21" s="328"/>
      <c r="C21" s="1475"/>
      <c r="D21" s="1919"/>
      <c r="E21" s="1283"/>
    </row>
    <row r="22" spans="1:6" ht="30" customHeight="1" x14ac:dyDescent="0.2">
      <c r="A22" s="2463" t="s">
        <v>2224</v>
      </c>
      <c r="B22" s="2463"/>
      <c r="C22" s="2463"/>
      <c r="D22" s="2463"/>
      <c r="E22" s="2463"/>
      <c r="F22" s="2463"/>
    </row>
    <row r="23" spans="1:6" ht="13.5" customHeight="1" x14ac:dyDescent="0.2">
      <c r="A23" s="328" t="s">
        <v>1508</v>
      </c>
      <c r="B23" s="328"/>
      <c r="C23" s="1285">
        <v>70076</v>
      </c>
      <c r="D23" s="1919"/>
      <c r="E23" s="1283"/>
    </row>
    <row r="24" spans="1:6" ht="13.5" customHeight="1" x14ac:dyDescent="0.2">
      <c r="A24" s="328" t="s">
        <v>1945</v>
      </c>
      <c r="B24" s="328"/>
      <c r="C24" s="1286">
        <v>0</v>
      </c>
      <c r="D24" s="1919" t="s">
        <v>1670</v>
      </c>
      <c r="E24" s="2464">
        <f>+C23+C24</f>
        <v>70076</v>
      </c>
      <c r="F24" s="2465"/>
    </row>
    <row r="25" spans="1:6" ht="12" customHeight="1" x14ac:dyDescent="0.2">
      <c r="A25" s="328"/>
      <c r="B25" s="328"/>
      <c r="C25" s="1920"/>
      <c r="D25" s="1919"/>
      <c r="E25" s="1287"/>
      <c r="F25" s="1288"/>
    </row>
    <row r="26" spans="1:6" ht="13.5" customHeight="1" x14ac:dyDescent="0.2">
      <c r="A26" s="1284" t="s">
        <v>1630</v>
      </c>
      <c r="B26" s="328"/>
      <c r="C26" s="1475"/>
      <c r="D26" s="1919"/>
      <c r="E26" s="1283"/>
    </row>
    <row r="27" spans="1:6" ht="14.25" customHeight="1" x14ac:dyDescent="0.2">
      <c r="A27" s="328" t="s">
        <v>1562</v>
      </c>
      <c r="B27" s="328"/>
      <c r="C27" s="1921"/>
      <c r="D27" s="1919"/>
      <c r="E27" s="1283"/>
    </row>
    <row r="28" spans="1:6" ht="14.25" customHeight="1" x14ac:dyDescent="0.2">
      <c r="A28" s="328"/>
      <c r="B28" s="328" t="s">
        <v>1509</v>
      </c>
      <c r="C28" s="1289" t="s">
        <v>2164</v>
      </c>
      <c r="D28" s="1919"/>
      <c r="E28" s="1283"/>
    </row>
    <row r="29" spans="1:6" ht="14.25" customHeight="1" x14ac:dyDescent="0.2">
      <c r="A29" s="328"/>
      <c r="B29" s="328" t="s">
        <v>1510</v>
      </c>
      <c r="C29" s="1289" t="s">
        <v>2164</v>
      </c>
      <c r="D29" s="1919"/>
      <c r="E29" s="1283"/>
    </row>
    <row r="30" spans="1:6" ht="14.25" customHeight="1" x14ac:dyDescent="0.2">
      <c r="A30" s="328"/>
      <c r="B30" s="328" t="s">
        <v>1511</v>
      </c>
      <c r="C30" s="1289" t="s">
        <v>2164</v>
      </c>
      <c r="D30" s="1919"/>
      <c r="E30" s="1283"/>
    </row>
    <row r="31" spans="1:6" ht="14.25" customHeight="1" x14ac:dyDescent="0.2">
      <c r="A31" s="328"/>
      <c r="B31" s="328" t="s">
        <v>1512</v>
      </c>
      <c r="C31" s="1289" t="s">
        <v>2164</v>
      </c>
      <c r="D31" s="1919"/>
      <c r="E31" s="1283"/>
    </row>
    <row r="32" spans="1:6" ht="14.25" customHeight="1" x14ac:dyDescent="0.2">
      <c r="A32" s="328" t="s">
        <v>1513</v>
      </c>
      <c r="B32" s="328"/>
      <c r="C32" s="1917" t="s">
        <v>2164</v>
      </c>
      <c r="D32" s="1919"/>
      <c r="E32" s="1283"/>
    </row>
    <row r="33" spans="1:6" ht="14.25" customHeight="1" x14ac:dyDescent="0.2">
      <c r="A33" s="328" t="s">
        <v>1514</v>
      </c>
      <c r="B33" s="328"/>
      <c r="C33" s="1290" t="s">
        <v>400</v>
      </c>
      <c r="D33" s="1919"/>
      <c r="E33" s="1283"/>
    </row>
    <row r="34" spans="1:6" ht="14.25" customHeight="1" x14ac:dyDescent="0.2">
      <c r="A34" s="328"/>
      <c r="B34" s="328"/>
      <c r="C34" s="1921" t="s">
        <v>1515</v>
      </c>
      <c r="D34" s="1919"/>
      <c r="E34" s="1283"/>
    </row>
    <row r="35" spans="1:6" ht="13.5" customHeight="1" x14ac:dyDescent="0.2">
      <c r="B35" s="322"/>
      <c r="C35" s="1291"/>
      <c r="D35" s="1291"/>
    </row>
    <row r="36" spans="1:6" x14ac:dyDescent="0.2">
      <c r="A36" s="1292" t="s">
        <v>1832</v>
      </c>
      <c r="C36" s="317"/>
      <c r="D36" s="317"/>
    </row>
    <row r="37" spans="1:6" s="322" customFormat="1" ht="11.25" customHeight="1" x14ac:dyDescent="0.2">
      <c r="A37" s="1293"/>
      <c r="B37" s="1294"/>
      <c r="C37" s="1294"/>
      <c r="D37" s="1294"/>
      <c r="E37" s="1294"/>
      <c r="F37" s="1294"/>
    </row>
    <row r="38" spans="1:6" s="322" customFormat="1" ht="6" customHeight="1" x14ac:dyDescent="0.2">
      <c r="A38" s="1295"/>
    </row>
    <row r="39" spans="1:6" s="1297" customFormat="1" ht="23.25" customHeight="1" x14ac:dyDescent="0.2">
      <c r="A39" s="1296">
        <v>5</v>
      </c>
      <c r="B39" s="2466" t="s">
        <v>1671</v>
      </c>
      <c r="C39" s="2466"/>
      <c r="D39" s="2466"/>
      <c r="E39" s="1396"/>
    </row>
    <row r="40" spans="1:6" s="1297" customFormat="1" ht="3.75" customHeight="1" x14ac:dyDescent="0.2">
      <c r="A40" s="1296"/>
      <c r="B40" s="1861"/>
      <c r="C40" s="1861"/>
      <c r="D40" s="1861"/>
      <c r="E40" s="1396"/>
    </row>
    <row r="41" spans="1:6" s="1297" customFormat="1" ht="20.25" customHeight="1" x14ac:dyDescent="0.2">
      <c r="A41" s="1298">
        <v>6</v>
      </c>
      <c r="B41" s="2462" t="s">
        <v>1631</v>
      </c>
      <c r="C41" s="2462"/>
      <c r="D41" s="2462"/>
    </row>
    <row r="42" spans="1:6" ht="14.25" customHeight="1" x14ac:dyDescent="0.2">
      <c r="A42" s="1298"/>
      <c r="B42" s="2462"/>
      <c r="C42" s="2462"/>
      <c r="D42" s="2462"/>
    </row>
  </sheetData>
  <mergeCells count="16">
    <mergeCell ref="B41:D41"/>
    <mergeCell ref="B42:D42"/>
    <mergeCell ref="A22:F22"/>
    <mergeCell ref="E24:F24"/>
    <mergeCell ref="B39:D39"/>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9" zoomScaleNormal="100" workbookViewId="0">
      <selection activeCell="A28" sqref="A28:XFD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Vandalia CUSD 203</v>
      </c>
      <c r="C1" s="2467"/>
      <c r="D1" s="2467"/>
      <c r="E1" s="2467"/>
      <c r="F1" s="2467"/>
      <c r="G1" s="2467"/>
      <c r="H1" s="2467"/>
      <c r="I1" s="2467"/>
      <c r="J1" s="2467"/>
      <c r="K1" s="2467"/>
      <c r="L1" s="2467"/>
      <c r="M1" s="2467"/>
    </row>
    <row r="2" spans="2:14" ht="15" x14ac:dyDescent="0.2">
      <c r="B2" s="2456">
        <f>'Single Audit Cover'!E7</f>
        <v>3026203026</v>
      </c>
      <c r="C2" s="2456"/>
      <c r="D2" s="2456"/>
      <c r="E2" s="2456"/>
      <c r="F2" s="2456"/>
      <c r="G2" s="2456"/>
      <c r="H2" s="2456"/>
      <c r="I2" s="2456"/>
      <c r="J2" s="2456"/>
      <c r="K2" s="2456"/>
      <c r="L2" s="2456"/>
      <c r="M2" s="2456"/>
      <c r="N2" s="1299"/>
    </row>
    <row r="3" spans="2:14" ht="15" x14ac:dyDescent="0.2">
      <c r="B3" s="2468" t="s">
        <v>1280</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1326</v>
      </c>
      <c r="E6" s="1303" t="s">
        <v>547</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1"/>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47" t="s">
        <v>2093</v>
      </c>
      <c r="C11" s="1335"/>
      <c r="D11" s="1336"/>
      <c r="E11" s="1337"/>
      <c r="F11" s="1337"/>
      <c r="G11" s="1337"/>
      <c r="H11" s="1337"/>
      <c r="I11" s="1337"/>
      <c r="J11" s="1337"/>
      <c r="K11" s="1337"/>
      <c r="L11" s="1337"/>
      <c r="M11" s="1337"/>
    </row>
    <row r="12" spans="2:14" ht="20.100000000000001" customHeight="1" x14ac:dyDescent="0.2">
      <c r="B12" s="1947" t="s">
        <v>2094</v>
      </c>
      <c r="C12" s="1338"/>
      <c r="D12" s="1339"/>
      <c r="E12" s="1340"/>
      <c r="F12" s="1340"/>
      <c r="G12" s="1340"/>
      <c r="H12" s="1340"/>
      <c r="I12" s="1340"/>
      <c r="J12" s="1340"/>
      <c r="K12" s="1340"/>
      <c r="L12" s="1337"/>
      <c r="M12" s="1340"/>
    </row>
    <row r="13" spans="2:14" ht="20.100000000000001" customHeight="1" x14ac:dyDescent="0.2">
      <c r="B13" s="1334" t="s">
        <v>2095</v>
      </c>
      <c r="C13" s="1338" t="s">
        <v>2096</v>
      </c>
      <c r="D13" s="1339" t="s">
        <v>2097</v>
      </c>
      <c r="E13" s="1340">
        <v>270628</v>
      </c>
      <c r="F13" s="1340">
        <v>73824</v>
      </c>
      <c r="G13" s="1340">
        <v>297426</v>
      </c>
      <c r="H13" s="1340"/>
      <c r="I13" s="1340">
        <v>47026</v>
      </c>
      <c r="J13" s="1340"/>
      <c r="K13" s="1340"/>
      <c r="L13" s="1337">
        <f t="shared" ref="L13:L24" si="0">+G13+I13+K13</f>
        <v>344452</v>
      </c>
      <c r="M13" s="1340">
        <v>523147</v>
      </c>
    </row>
    <row r="14" spans="2:14" ht="20.100000000000001" customHeight="1" x14ac:dyDescent="0.2">
      <c r="B14" s="1334" t="s">
        <v>2095</v>
      </c>
      <c r="C14" s="1338" t="s">
        <v>2096</v>
      </c>
      <c r="D14" s="1339" t="s">
        <v>2098</v>
      </c>
      <c r="E14" s="1948"/>
      <c r="F14" s="1948">
        <v>310238</v>
      </c>
      <c r="G14" s="1948"/>
      <c r="H14" s="1948"/>
      <c r="I14" s="1948">
        <v>317335</v>
      </c>
      <c r="J14" s="1948"/>
      <c r="K14" s="1948">
        <v>175000</v>
      </c>
      <c r="L14" s="1949">
        <f t="shared" si="0"/>
        <v>492335</v>
      </c>
      <c r="M14" s="1340">
        <v>617654</v>
      </c>
    </row>
    <row r="15" spans="2:14" ht="20.100000000000001" customHeight="1" x14ac:dyDescent="0.2">
      <c r="B15" s="1334" t="s">
        <v>2099</v>
      </c>
      <c r="C15" s="1338"/>
      <c r="D15" s="1339"/>
      <c r="E15" s="1950">
        <v>270628</v>
      </c>
      <c r="F15" s="1950">
        <v>384062</v>
      </c>
      <c r="G15" s="1950">
        <v>297426</v>
      </c>
      <c r="H15" s="1950"/>
      <c r="I15" s="1950">
        <v>364361</v>
      </c>
      <c r="J15" s="1950"/>
      <c r="K15" s="1950">
        <v>175000</v>
      </c>
      <c r="L15" s="1950">
        <f t="shared" si="0"/>
        <v>836787</v>
      </c>
      <c r="M15" s="1340"/>
    </row>
    <row r="16" spans="2:14" ht="20.100000000000001" customHeight="1" x14ac:dyDescent="0.2">
      <c r="B16" s="1334"/>
      <c r="C16" s="1338"/>
      <c r="D16" s="1339"/>
      <c r="E16" s="1337"/>
      <c r="F16" s="1337"/>
      <c r="G16" s="1337"/>
      <c r="H16" s="1337"/>
      <c r="I16" s="1337"/>
      <c r="J16" s="1337"/>
      <c r="K16" s="1337"/>
      <c r="L16" s="1337"/>
      <c r="M16" s="1340"/>
    </row>
    <row r="17" spans="2:14" ht="20.100000000000001" customHeight="1" x14ac:dyDescent="0.2">
      <c r="B17" s="1947" t="s">
        <v>2094</v>
      </c>
      <c r="C17" s="1338"/>
      <c r="D17" s="1339"/>
      <c r="E17" s="1340"/>
      <c r="F17" s="1340"/>
      <c r="G17" s="1340"/>
      <c r="H17" s="1340"/>
      <c r="I17" s="1340"/>
      <c r="J17" s="1340"/>
      <c r="K17" s="1340"/>
      <c r="L17" s="1337"/>
      <c r="M17" s="1340"/>
    </row>
    <row r="18" spans="2:14" ht="20.100000000000001" customHeight="1" x14ac:dyDescent="0.2">
      <c r="B18" s="1334" t="s">
        <v>2100</v>
      </c>
      <c r="C18" s="1338" t="s">
        <v>2101</v>
      </c>
      <c r="D18" s="1339" t="s">
        <v>2102</v>
      </c>
      <c r="E18" s="1340">
        <v>60413</v>
      </c>
      <c r="F18" s="1340">
        <v>6898</v>
      </c>
      <c r="G18" s="1340">
        <v>61976</v>
      </c>
      <c r="H18" s="1340"/>
      <c r="I18" s="1340">
        <v>5335</v>
      </c>
      <c r="J18" s="1340"/>
      <c r="K18" s="1340"/>
      <c r="L18" s="1337">
        <f t="shared" si="0"/>
        <v>67311</v>
      </c>
      <c r="M18" s="1340">
        <v>75309</v>
      </c>
    </row>
    <row r="19" spans="2:14" ht="20.100000000000001" customHeight="1" x14ac:dyDescent="0.2">
      <c r="B19" s="1334" t="s">
        <v>2100</v>
      </c>
      <c r="C19" s="1338" t="s">
        <v>2101</v>
      </c>
      <c r="D19" s="1339" t="s">
        <v>2103</v>
      </c>
      <c r="E19" s="1948"/>
      <c r="F19" s="1948">
        <v>57431</v>
      </c>
      <c r="G19" s="1948"/>
      <c r="H19" s="1948"/>
      <c r="I19" s="1948">
        <v>67776</v>
      </c>
      <c r="J19" s="1948"/>
      <c r="K19" s="1948">
        <v>1000</v>
      </c>
      <c r="L19" s="1949">
        <f t="shared" si="0"/>
        <v>68776</v>
      </c>
      <c r="M19" s="1340">
        <v>87189</v>
      </c>
    </row>
    <row r="20" spans="2:14" ht="20.100000000000001" customHeight="1" x14ac:dyDescent="0.2">
      <c r="B20" s="1334" t="s">
        <v>2104</v>
      </c>
      <c r="C20" s="1338"/>
      <c r="D20" s="1339"/>
      <c r="E20" s="1950">
        <v>60413</v>
      </c>
      <c r="F20" s="1950">
        <v>64329</v>
      </c>
      <c r="G20" s="1950">
        <v>61976</v>
      </c>
      <c r="H20" s="1950"/>
      <c r="I20" s="1950">
        <v>73111</v>
      </c>
      <c r="J20" s="1950"/>
      <c r="K20" s="1950">
        <v>1000</v>
      </c>
      <c r="L20" s="1950">
        <f t="shared" si="0"/>
        <v>136087</v>
      </c>
      <c r="M20" s="1340"/>
    </row>
    <row r="21" spans="2:14" ht="20.100000000000001" customHeight="1" x14ac:dyDescent="0.2">
      <c r="B21" s="1334"/>
      <c r="C21" s="1338"/>
      <c r="D21" s="1339"/>
      <c r="E21" s="1337"/>
      <c r="F21" s="1337"/>
      <c r="G21" s="1337"/>
      <c r="H21" s="1337"/>
      <c r="I21" s="1337"/>
      <c r="J21" s="1337"/>
      <c r="K21" s="1337"/>
      <c r="L21" s="1337"/>
      <c r="M21" s="1340"/>
    </row>
    <row r="22" spans="2:14" ht="20.100000000000001" customHeight="1" x14ac:dyDescent="0.2">
      <c r="B22" s="1947" t="s">
        <v>2105</v>
      </c>
      <c r="C22" s="1338"/>
      <c r="D22" s="1339"/>
      <c r="E22" s="1340"/>
      <c r="F22" s="1340"/>
      <c r="G22" s="1340"/>
      <c r="H22" s="1340"/>
      <c r="I22" s="1340"/>
      <c r="J22" s="1340"/>
      <c r="K22" s="1340"/>
      <c r="L22" s="1337"/>
      <c r="M22" s="1340"/>
    </row>
    <row r="23" spans="2:14" ht="23.25" customHeight="1" x14ac:dyDescent="0.2">
      <c r="B23" s="1334" t="s">
        <v>2106</v>
      </c>
      <c r="C23" s="1338" t="s">
        <v>2107</v>
      </c>
      <c r="D23" s="1339" t="s">
        <v>2108</v>
      </c>
      <c r="E23" s="1340">
        <v>208345</v>
      </c>
      <c r="F23" s="1340">
        <v>5102</v>
      </c>
      <c r="G23" s="1340">
        <v>213448</v>
      </c>
      <c r="H23" s="1340"/>
      <c r="I23" s="1340"/>
      <c r="J23" s="1340"/>
      <c r="K23" s="1340"/>
      <c r="L23" s="1337">
        <f t="shared" si="0"/>
        <v>213448</v>
      </c>
      <c r="M23" s="1340">
        <v>217983</v>
      </c>
    </row>
    <row r="24" spans="2:14" ht="23.25" customHeight="1" x14ac:dyDescent="0.2">
      <c r="B24" s="1334" t="s">
        <v>2110</v>
      </c>
      <c r="C24" s="1338" t="s">
        <v>2107</v>
      </c>
      <c r="D24" s="1339" t="s">
        <v>2109</v>
      </c>
      <c r="E24" s="1951"/>
      <c r="F24" s="1951">
        <v>211088</v>
      </c>
      <c r="G24" s="1951"/>
      <c r="H24" s="1951"/>
      <c r="I24" s="1951">
        <v>211088</v>
      </c>
      <c r="J24" s="1951"/>
      <c r="K24" s="1951"/>
      <c r="L24" s="1951">
        <f t="shared" si="0"/>
        <v>211088</v>
      </c>
      <c r="M24" s="1340">
        <v>219363</v>
      </c>
    </row>
    <row r="25" spans="2:14" ht="20.100000000000001" customHeight="1" x14ac:dyDescent="0.2">
      <c r="B25" s="1334" t="s">
        <v>2111</v>
      </c>
      <c r="C25" s="1338"/>
      <c r="D25" s="1339"/>
      <c r="E25" s="1952">
        <f>SUM(E23:E24)</f>
        <v>208345</v>
      </c>
      <c r="F25" s="1952">
        <f t="shared" ref="F25:L25" si="1">SUM(F23:F24)</f>
        <v>216190</v>
      </c>
      <c r="G25" s="1952">
        <f t="shared" si="1"/>
        <v>213448</v>
      </c>
      <c r="H25" s="1952">
        <f t="shared" si="1"/>
        <v>0</v>
      </c>
      <c r="I25" s="1952">
        <f t="shared" si="1"/>
        <v>211088</v>
      </c>
      <c r="J25" s="1952">
        <f t="shared" si="1"/>
        <v>0</v>
      </c>
      <c r="K25" s="1952">
        <f t="shared" si="1"/>
        <v>0</v>
      </c>
      <c r="L25" s="1952">
        <f t="shared" si="1"/>
        <v>424536</v>
      </c>
      <c r="M25" s="1340"/>
    </row>
    <row r="26" spans="2:14" ht="20.100000000000001" customHeight="1" x14ac:dyDescent="0.2">
      <c r="B26" s="1334"/>
      <c r="C26" s="1338"/>
      <c r="D26" s="1339"/>
      <c r="E26" s="1337"/>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1836</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1947</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1307</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1837</v>
      </c>
      <c r="C36" s="1362"/>
      <c r="D36" s="1362"/>
      <c r="E36" s="1362"/>
      <c r="F36" s="1362"/>
      <c r="G36" s="1362"/>
      <c r="H36" s="1362"/>
      <c r="I36" s="1363"/>
      <c r="J36" s="1363"/>
      <c r="K36" s="1363"/>
      <c r="L36" s="1363"/>
      <c r="M36" s="1363"/>
    </row>
    <row r="37" spans="2:13" ht="11.25" customHeight="1" x14ac:dyDescent="0.2">
      <c r="B37" s="1364" t="s">
        <v>1665</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1838</v>
      </c>
      <c r="C39" s="1363"/>
      <c r="D39" s="1363"/>
      <c r="E39" s="1363"/>
      <c r="F39" s="1363"/>
      <c r="G39" s="1363"/>
      <c r="H39" s="1363"/>
      <c r="I39" s="1363"/>
      <c r="J39" s="1363"/>
      <c r="K39" s="1363"/>
      <c r="L39" s="1363"/>
      <c r="M39" s="1363"/>
    </row>
    <row r="40" spans="2:13" ht="11.25" customHeight="1" x14ac:dyDescent="0.2">
      <c r="B40" s="1297" t="s">
        <v>1666</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1839</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1840</v>
      </c>
      <c r="C44" s="1365"/>
      <c r="D44" s="1366"/>
      <c r="E44" s="1297"/>
      <c r="F44" s="1297"/>
      <c r="G44" s="1297"/>
      <c r="H44" s="1297"/>
      <c r="I44" s="1297"/>
      <c r="J44" s="1297"/>
      <c r="K44" s="1367"/>
      <c r="L44" s="1367"/>
      <c r="M44" s="1297"/>
    </row>
    <row r="45" spans="2:13" ht="11.25" customHeight="1" x14ac:dyDescent="0.2">
      <c r="B45" s="1297" t="s">
        <v>1667</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1229</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9" t="s">
        <v>1730</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330</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2080</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2081</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1389</v>
      </c>
      <c r="B70" s="2092"/>
      <c r="C70" s="2092"/>
      <c r="D70" s="2092"/>
      <c r="E70" s="2093"/>
      <c r="F70" s="2093"/>
      <c r="G70" s="2093"/>
      <c r="H70" s="2093"/>
      <c r="I70" s="2093"/>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1386</v>
      </c>
      <c r="B83" s="2094"/>
      <c r="C83" s="2094"/>
      <c r="D83" s="2095"/>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2073</v>
      </c>
      <c r="D114" s="208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1396</v>
      </c>
      <c r="D117" s="2087"/>
      <c r="E117" s="2088"/>
      <c r="F117" s="2088"/>
      <c r="G117" s="2088"/>
      <c r="H117" s="2088"/>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378</v>
      </c>
      <c r="E119" s="310"/>
      <c r="F119" s="1854" t="s">
        <v>2018</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4" zoomScale="120" zoomScaleNormal="120" workbookViewId="0">
      <selection activeCell="G14" sqref="G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Vandalia CUSD 203</v>
      </c>
      <c r="C1" s="2467"/>
      <c r="D1" s="2467"/>
      <c r="E1" s="2467"/>
      <c r="F1" s="2467"/>
      <c r="G1" s="2467"/>
      <c r="H1" s="2467"/>
      <c r="I1" s="2467"/>
      <c r="J1" s="2467"/>
      <c r="K1" s="2467"/>
      <c r="L1" s="2467"/>
      <c r="M1" s="2467"/>
    </row>
    <row r="2" spans="2:14" ht="15" x14ac:dyDescent="0.2">
      <c r="B2" s="2456">
        <f>'Single Audit Cover'!E7</f>
        <v>3026203026</v>
      </c>
      <c r="C2" s="2456"/>
      <c r="D2" s="2456"/>
      <c r="E2" s="2456"/>
      <c r="F2" s="2456"/>
      <c r="G2" s="2456"/>
      <c r="H2" s="2456"/>
      <c r="I2" s="2456"/>
      <c r="J2" s="2456"/>
      <c r="K2" s="2456"/>
      <c r="L2" s="2456"/>
      <c r="M2" s="2456"/>
      <c r="N2" s="1299"/>
    </row>
    <row r="3" spans="2:14" ht="15" x14ac:dyDescent="0.2">
      <c r="B3" s="2468" t="s">
        <v>1280</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1326</v>
      </c>
      <c r="E6" s="1303" t="s">
        <v>547</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1"/>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47" t="s">
        <v>2094</v>
      </c>
      <c r="C11" s="1335"/>
      <c r="D11" s="1336"/>
      <c r="E11" s="1337"/>
      <c r="F11" s="1337"/>
      <c r="G11" s="1337"/>
      <c r="H11" s="1337"/>
      <c r="I11" s="1337"/>
      <c r="J11" s="1337"/>
      <c r="K11" s="1337"/>
      <c r="L11" s="1337"/>
      <c r="M11" s="1337"/>
    </row>
    <row r="12" spans="2:14" ht="20.100000000000001" customHeight="1" x14ac:dyDescent="0.2">
      <c r="B12" s="1334" t="s">
        <v>2112</v>
      </c>
      <c r="C12" s="1338" t="s">
        <v>2113</v>
      </c>
      <c r="D12" s="1339" t="s">
        <v>2114</v>
      </c>
      <c r="E12" s="1340">
        <v>29431</v>
      </c>
      <c r="F12" s="1340"/>
      <c r="G12" s="1340">
        <v>29431</v>
      </c>
      <c r="H12" s="1340"/>
      <c r="I12" s="1340"/>
      <c r="J12" s="1340"/>
      <c r="K12" s="1340"/>
      <c r="L12" s="1337">
        <f t="shared" ref="L12:L24" si="0">+G12+I12+K12</f>
        <v>29431</v>
      </c>
      <c r="M12" s="1340">
        <v>31885</v>
      </c>
    </row>
    <row r="13" spans="2:14" ht="20.100000000000001" customHeight="1" x14ac:dyDescent="0.2">
      <c r="B13" s="1334" t="s">
        <v>2226</v>
      </c>
      <c r="C13" s="1338" t="s">
        <v>2113</v>
      </c>
      <c r="D13" s="1339" t="s">
        <v>2115</v>
      </c>
      <c r="E13" s="1951"/>
      <c r="F13" s="1951">
        <v>27285</v>
      </c>
      <c r="G13" s="1951"/>
      <c r="H13" s="1951"/>
      <c r="I13" s="1951">
        <v>27986</v>
      </c>
      <c r="J13" s="1951"/>
      <c r="K13" s="1951"/>
      <c r="L13" s="1951">
        <f t="shared" si="0"/>
        <v>27986</v>
      </c>
      <c r="M13" s="1340">
        <v>27986</v>
      </c>
    </row>
    <row r="14" spans="2:14" ht="20.100000000000001" customHeight="1" x14ac:dyDescent="0.2">
      <c r="B14" s="1334" t="s">
        <v>2116</v>
      </c>
      <c r="C14" s="1338"/>
      <c r="D14" s="1339"/>
      <c r="E14" s="1952">
        <f>SUM(E12:E13)</f>
        <v>29431</v>
      </c>
      <c r="F14" s="1952">
        <f t="shared" ref="F14:L14" si="1">SUM(F12:F13)</f>
        <v>27285</v>
      </c>
      <c r="G14" s="1952">
        <f t="shared" si="1"/>
        <v>29431</v>
      </c>
      <c r="H14" s="1952">
        <f t="shared" si="1"/>
        <v>0</v>
      </c>
      <c r="I14" s="1952">
        <f t="shared" si="1"/>
        <v>27986</v>
      </c>
      <c r="J14" s="1952">
        <f t="shared" si="1"/>
        <v>0</v>
      </c>
      <c r="K14" s="1952">
        <f t="shared" si="1"/>
        <v>0</v>
      </c>
      <c r="L14" s="1952">
        <f t="shared" si="1"/>
        <v>57417</v>
      </c>
      <c r="M14" s="1340"/>
    </row>
    <row r="15" spans="2:14" ht="20.100000000000001" customHeight="1" x14ac:dyDescent="0.2">
      <c r="B15" s="1334" t="s">
        <v>1230</v>
      </c>
      <c r="C15" s="1338"/>
      <c r="D15" s="1339"/>
      <c r="E15" s="1337"/>
      <c r="F15" s="1340"/>
      <c r="G15" s="1340"/>
      <c r="H15" s="1340"/>
      <c r="I15" s="1340"/>
      <c r="J15" s="1340"/>
      <c r="K15" s="1340"/>
      <c r="L15" s="1337"/>
      <c r="M15" s="1340"/>
    </row>
    <row r="16" spans="2:14" ht="20.100000000000001" customHeight="1" x14ac:dyDescent="0.2">
      <c r="B16" s="1947" t="s">
        <v>2094</v>
      </c>
      <c r="C16" s="1338"/>
      <c r="D16" s="1339"/>
      <c r="E16" s="1340"/>
      <c r="F16" s="1340"/>
      <c r="G16" s="1340"/>
      <c r="H16" s="1340"/>
      <c r="I16" s="1340"/>
      <c r="J16" s="1340"/>
      <c r="K16" s="1340"/>
      <c r="L16" s="1337"/>
      <c r="M16" s="1340"/>
    </row>
    <row r="17" spans="2:14" ht="20.100000000000001" customHeight="1" x14ac:dyDescent="0.2">
      <c r="B17" s="1334" t="s">
        <v>2117</v>
      </c>
      <c r="C17" s="1338" t="s">
        <v>2118</v>
      </c>
      <c r="D17" s="1339" t="s">
        <v>2119</v>
      </c>
      <c r="E17" s="1951"/>
      <c r="F17" s="1951">
        <v>6231</v>
      </c>
      <c r="G17" s="1951"/>
      <c r="H17" s="1951"/>
      <c r="I17" s="1951">
        <v>7340</v>
      </c>
      <c r="J17" s="1951"/>
      <c r="K17" s="1951">
        <v>9772</v>
      </c>
      <c r="L17" s="1951">
        <f t="shared" si="0"/>
        <v>17112</v>
      </c>
      <c r="M17" s="1340">
        <v>17112</v>
      </c>
    </row>
    <row r="18" spans="2:14" ht="20.100000000000001" customHeight="1" x14ac:dyDescent="0.2">
      <c r="B18" s="1334"/>
      <c r="C18" s="1338"/>
      <c r="D18" s="1339"/>
      <c r="E18" s="1337"/>
      <c r="F18" s="1337"/>
      <c r="G18" s="1337"/>
      <c r="H18" s="1337"/>
      <c r="I18" s="1337"/>
      <c r="J18" s="1337"/>
      <c r="K18" s="1337"/>
      <c r="L18" s="1337"/>
      <c r="M18" s="1340"/>
    </row>
    <row r="19" spans="2:14" s="1257" customFormat="1" ht="20.100000000000001" customHeight="1" x14ac:dyDescent="0.2">
      <c r="B19" s="1947" t="s">
        <v>2120</v>
      </c>
      <c r="C19" s="1953"/>
      <c r="D19" s="1954"/>
      <c r="E19" s="1955">
        <f>+E17+E14+' SEFA'!E25+' SEFA'!E20+' SEFA'!E15</f>
        <v>568817</v>
      </c>
      <c r="F19" s="1955">
        <f>+F17+F14+' SEFA'!F25+' SEFA'!F20+' SEFA'!F15</f>
        <v>698097</v>
      </c>
      <c r="G19" s="1955">
        <f>+G17+G14+' SEFA'!G25+' SEFA'!G20+' SEFA'!G15</f>
        <v>602281</v>
      </c>
      <c r="H19" s="1955">
        <f>+H17+H14+' SEFA'!H25+' SEFA'!H20+' SEFA'!H15</f>
        <v>0</v>
      </c>
      <c r="I19" s="1955">
        <f>+I17+I14+' SEFA'!I25+' SEFA'!I20+' SEFA'!I15</f>
        <v>683886</v>
      </c>
      <c r="J19" s="1955">
        <f>+J17+J14+' SEFA'!J25+' SEFA'!J20+' SEFA'!J15</f>
        <v>0</v>
      </c>
      <c r="K19" s="1955">
        <f>+K17+K14+' SEFA'!K25+' SEFA'!K20+' SEFA'!K15</f>
        <v>185772</v>
      </c>
      <c r="L19" s="1955">
        <f>+L17+L14+' SEFA'!L25+' SEFA'!L20+' SEFA'!L15</f>
        <v>1471939</v>
      </c>
      <c r="M19" s="1956"/>
    </row>
    <row r="20" spans="2:14" ht="20.100000000000001" customHeight="1" x14ac:dyDescent="0.2">
      <c r="B20" s="1334"/>
      <c r="C20" s="1338"/>
      <c r="D20" s="1339"/>
      <c r="E20" s="1337"/>
      <c r="F20" s="1340"/>
      <c r="G20" s="1340"/>
      <c r="H20" s="1340"/>
      <c r="I20" s="1340"/>
      <c r="J20" s="1340"/>
      <c r="K20" s="1340"/>
      <c r="L20" s="1337"/>
      <c r="M20" s="1340"/>
    </row>
    <row r="21" spans="2:14" ht="20.100000000000001" customHeight="1" x14ac:dyDescent="0.2">
      <c r="B21" s="1947" t="s">
        <v>2121</v>
      </c>
      <c r="C21" s="1338"/>
      <c r="D21" s="1339"/>
      <c r="E21" s="1340"/>
      <c r="F21" s="1340"/>
      <c r="G21" s="1340"/>
      <c r="H21" s="1340"/>
      <c r="I21" s="1340"/>
      <c r="J21" s="1340"/>
      <c r="K21" s="1340"/>
      <c r="L21" s="1337"/>
      <c r="M21" s="1340"/>
    </row>
    <row r="22" spans="2:14" ht="29.25" customHeight="1" x14ac:dyDescent="0.2">
      <c r="B22" s="1947" t="s">
        <v>2122</v>
      </c>
      <c r="C22" s="1338"/>
      <c r="D22" s="1339"/>
      <c r="E22" s="1340"/>
      <c r="F22" s="1340"/>
      <c r="G22" s="1340"/>
      <c r="H22" s="1340"/>
      <c r="I22" s="1340"/>
      <c r="J22" s="1340"/>
      <c r="K22" s="1340"/>
      <c r="L22" s="1337"/>
      <c r="M22" s="1340"/>
    </row>
    <row r="23" spans="2:14" ht="20.100000000000001" customHeight="1" x14ac:dyDescent="0.2">
      <c r="B23" s="1334" t="s">
        <v>2123</v>
      </c>
      <c r="C23" s="1338">
        <v>93.778000000000006</v>
      </c>
      <c r="D23" s="1339" t="s">
        <v>2124</v>
      </c>
      <c r="E23" s="1340">
        <v>23500</v>
      </c>
      <c r="F23" s="1340">
        <v>6132</v>
      </c>
      <c r="G23" s="1340">
        <v>29632</v>
      </c>
      <c r="H23" s="1340"/>
      <c r="I23" s="1340"/>
      <c r="J23" s="1340"/>
      <c r="K23" s="1340"/>
      <c r="L23" s="1337">
        <f t="shared" si="0"/>
        <v>29632</v>
      </c>
      <c r="M23" s="1340"/>
    </row>
    <row r="24" spans="2:14" ht="20.100000000000001" customHeight="1" x14ac:dyDescent="0.2">
      <c r="B24" s="1334" t="s">
        <v>2123</v>
      </c>
      <c r="C24" s="1338">
        <v>93.778000000000006</v>
      </c>
      <c r="D24" s="1339" t="s">
        <v>2125</v>
      </c>
      <c r="E24" s="1951"/>
      <c r="F24" s="1951">
        <v>17142</v>
      </c>
      <c r="G24" s="1951"/>
      <c r="H24" s="1951"/>
      <c r="I24" s="1951">
        <v>17142</v>
      </c>
      <c r="J24" s="1951"/>
      <c r="K24" s="1951"/>
      <c r="L24" s="1951">
        <f t="shared" si="0"/>
        <v>17142</v>
      </c>
      <c r="M24" s="1340"/>
    </row>
    <row r="25" spans="2:14" ht="20.100000000000001" customHeight="1" x14ac:dyDescent="0.2">
      <c r="B25" s="1334"/>
      <c r="C25" s="1338"/>
      <c r="D25" s="1339"/>
      <c r="E25" s="1337"/>
      <c r="F25" s="1337"/>
      <c r="G25" s="1337"/>
      <c r="H25" s="1337"/>
      <c r="I25" s="1337"/>
      <c r="J25" s="1337"/>
      <c r="K25" s="1337"/>
      <c r="L25" s="1337"/>
      <c r="M25" s="1340"/>
    </row>
    <row r="26" spans="2:14" s="1257" customFormat="1" ht="25.5" customHeight="1" x14ac:dyDescent="0.2">
      <c r="B26" s="1947" t="s">
        <v>2126</v>
      </c>
      <c r="C26" s="1953"/>
      <c r="D26" s="1954"/>
      <c r="E26" s="1955">
        <f>SUM(E23:E25)</f>
        <v>23500</v>
      </c>
      <c r="F26" s="1955">
        <f t="shared" ref="F26:L26" si="2">SUM(F23:F25)</f>
        <v>23274</v>
      </c>
      <c r="G26" s="1955">
        <f t="shared" si="2"/>
        <v>29632</v>
      </c>
      <c r="H26" s="1955">
        <f t="shared" si="2"/>
        <v>0</v>
      </c>
      <c r="I26" s="1955">
        <f t="shared" si="2"/>
        <v>17142</v>
      </c>
      <c r="J26" s="1955">
        <f t="shared" si="2"/>
        <v>0</v>
      </c>
      <c r="K26" s="1955">
        <f t="shared" si="2"/>
        <v>0</v>
      </c>
      <c r="L26" s="1955">
        <f t="shared" si="2"/>
        <v>46774</v>
      </c>
      <c r="M26" s="1956"/>
    </row>
    <row r="27" spans="2:14" ht="20.100000000000001" customHeight="1" x14ac:dyDescent="0.2">
      <c r="B27" s="1334"/>
      <c r="C27" s="1338"/>
      <c r="D27" s="1339"/>
      <c r="E27" s="1337"/>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4" zoomScale="120" zoomScaleNormal="12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Vandalia CUSD 203</v>
      </c>
      <c r="C1" s="2467"/>
      <c r="D1" s="2467"/>
      <c r="E1" s="2467"/>
      <c r="F1" s="2467"/>
      <c r="G1" s="2467"/>
      <c r="H1" s="2467"/>
      <c r="I1" s="2467"/>
      <c r="J1" s="2467"/>
      <c r="K1" s="2467"/>
      <c r="L1" s="2467"/>
      <c r="M1" s="2467"/>
    </row>
    <row r="2" spans="2:14" ht="15" x14ac:dyDescent="0.2">
      <c r="B2" s="2456">
        <f>'Single Audit Cover'!E7</f>
        <v>3026203026</v>
      </c>
      <c r="C2" s="2456"/>
      <c r="D2" s="2456"/>
      <c r="E2" s="2456"/>
      <c r="F2" s="2456"/>
      <c r="G2" s="2456"/>
      <c r="H2" s="2456"/>
      <c r="I2" s="2456"/>
      <c r="J2" s="2456"/>
      <c r="K2" s="2456"/>
      <c r="L2" s="2456"/>
      <c r="M2" s="2456"/>
      <c r="N2" s="1299"/>
    </row>
    <row r="3" spans="2:14" ht="15" x14ac:dyDescent="0.2">
      <c r="B3" s="2468" t="s">
        <v>1280</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1326</v>
      </c>
      <c r="E6" s="1303" t="s">
        <v>547</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1"/>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47" t="s">
        <v>2127</v>
      </c>
      <c r="C11" s="1335"/>
      <c r="D11" s="1336"/>
      <c r="E11" s="1337"/>
      <c r="F11" s="1337"/>
      <c r="G11" s="1337"/>
      <c r="H11" s="1337"/>
      <c r="I11" s="1337"/>
      <c r="J11" s="1337"/>
      <c r="K11" s="1337"/>
      <c r="L11" s="1337"/>
      <c r="M11" s="1337"/>
    </row>
    <row r="12" spans="2:14" ht="20.100000000000001" customHeight="1" x14ac:dyDescent="0.2">
      <c r="B12" s="1947" t="s">
        <v>2128</v>
      </c>
      <c r="C12" s="1338"/>
      <c r="D12" s="1339"/>
      <c r="E12" s="1340"/>
      <c r="F12" s="1340"/>
      <c r="G12" s="1340"/>
      <c r="H12" s="1340"/>
      <c r="I12" s="1340"/>
      <c r="J12" s="1340"/>
      <c r="K12" s="1340"/>
      <c r="L12" s="1337"/>
      <c r="M12" s="1340"/>
    </row>
    <row r="13" spans="2:14" ht="20.100000000000001" customHeight="1" x14ac:dyDescent="0.2">
      <c r="B13" s="1947" t="s">
        <v>2129</v>
      </c>
      <c r="C13" s="1338"/>
      <c r="D13" s="1339"/>
      <c r="E13" s="1340"/>
      <c r="F13" s="1340"/>
      <c r="G13" s="1340"/>
      <c r="H13" s="1340"/>
      <c r="I13" s="1340"/>
      <c r="J13" s="1340"/>
      <c r="K13" s="1340"/>
      <c r="L13" s="1337"/>
      <c r="M13" s="1340"/>
    </row>
    <row r="14" spans="2:14" ht="20.100000000000001" customHeight="1" x14ac:dyDescent="0.2">
      <c r="B14" s="1334" t="s">
        <v>2130</v>
      </c>
      <c r="C14" s="1338">
        <v>10.555</v>
      </c>
      <c r="D14" s="1339" t="s">
        <v>2131</v>
      </c>
      <c r="E14" s="1340"/>
      <c r="F14" s="1340">
        <v>26037</v>
      </c>
      <c r="G14" s="1340"/>
      <c r="H14" s="1340"/>
      <c r="I14" s="1340">
        <v>26037</v>
      </c>
      <c r="J14" s="1340"/>
      <c r="K14" s="1340"/>
      <c r="L14" s="1337">
        <f t="shared" ref="L14:L23" si="0">+G14+I14+K14</f>
        <v>26037</v>
      </c>
      <c r="M14" s="1340" t="s">
        <v>2136</v>
      </c>
    </row>
    <row r="15" spans="2:14" ht="20.100000000000001" customHeight="1" x14ac:dyDescent="0.2">
      <c r="B15" s="1947" t="s">
        <v>2094</v>
      </c>
      <c r="C15" s="1338"/>
      <c r="D15" s="1339"/>
      <c r="E15" s="1340"/>
      <c r="F15" s="1340"/>
      <c r="G15" s="1340"/>
      <c r="H15" s="1340"/>
      <c r="I15" s="1340"/>
      <c r="J15" s="1340"/>
      <c r="K15" s="1340"/>
      <c r="L15" s="1337"/>
      <c r="M15" s="1340"/>
    </row>
    <row r="16" spans="2:14" ht="20.100000000000001" customHeight="1" x14ac:dyDescent="0.2">
      <c r="B16" s="1334" t="s">
        <v>2132</v>
      </c>
      <c r="C16" s="1338">
        <v>10.555</v>
      </c>
      <c r="D16" s="1339" t="s">
        <v>2131</v>
      </c>
      <c r="E16" s="1340"/>
      <c r="F16" s="1340">
        <v>44039</v>
      </c>
      <c r="G16" s="1340"/>
      <c r="H16" s="1340"/>
      <c r="I16" s="1340">
        <v>44039</v>
      </c>
      <c r="J16" s="1340"/>
      <c r="K16" s="1340"/>
      <c r="L16" s="1337">
        <f t="shared" si="0"/>
        <v>44039</v>
      </c>
      <c r="M16" s="1340" t="s">
        <v>2136</v>
      </c>
    </row>
    <row r="17" spans="2:14" ht="20.100000000000001" customHeight="1" x14ac:dyDescent="0.2">
      <c r="B17" s="1334" t="s">
        <v>2133</v>
      </c>
      <c r="C17" s="1338">
        <v>10.555</v>
      </c>
      <c r="D17" s="1339" t="s">
        <v>2134</v>
      </c>
      <c r="E17" s="1340">
        <v>297021</v>
      </c>
      <c r="F17" s="1340">
        <v>69442</v>
      </c>
      <c r="G17" s="1340">
        <v>297021</v>
      </c>
      <c r="H17" s="1340"/>
      <c r="I17" s="1340">
        <v>69442</v>
      </c>
      <c r="J17" s="1340"/>
      <c r="K17" s="1340"/>
      <c r="L17" s="1337">
        <f t="shared" si="0"/>
        <v>366463</v>
      </c>
      <c r="M17" s="1340" t="s">
        <v>2136</v>
      </c>
    </row>
    <row r="18" spans="2:14" ht="20.100000000000001" customHeight="1" x14ac:dyDescent="0.2">
      <c r="B18" s="1334" t="s">
        <v>2133</v>
      </c>
      <c r="C18" s="1338">
        <v>10.555</v>
      </c>
      <c r="D18" s="1339" t="s">
        <v>2135</v>
      </c>
      <c r="E18" s="1951"/>
      <c r="F18" s="1951">
        <v>271273</v>
      </c>
      <c r="G18" s="1951"/>
      <c r="H18" s="1951"/>
      <c r="I18" s="1951">
        <v>271273</v>
      </c>
      <c r="J18" s="1951"/>
      <c r="K18" s="1951"/>
      <c r="L18" s="1951">
        <f t="shared" si="0"/>
        <v>271273</v>
      </c>
      <c r="M18" s="1340" t="s">
        <v>2136</v>
      </c>
    </row>
    <row r="19" spans="2:14" ht="20.100000000000001" customHeight="1" x14ac:dyDescent="0.2">
      <c r="B19" s="1334" t="s">
        <v>2137</v>
      </c>
      <c r="C19" s="1338"/>
      <c r="D19" s="1339"/>
      <c r="E19" s="1952">
        <f>SUM(E14:E18)</f>
        <v>297021</v>
      </c>
      <c r="F19" s="1952">
        <f t="shared" ref="F19:L19" si="1">SUM(F14:F18)</f>
        <v>410791</v>
      </c>
      <c r="G19" s="1952">
        <f t="shared" si="1"/>
        <v>297021</v>
      </c>
      <c r="H19" s="1952">
        <f t="shared" si="1"/>
        <v>0</v>
      </c>
      <c r="I19" s="1952">
        <f t="shared" si="1"/>
        <v>410791</v>
      </c>
      <c r="J19" s="1952">
        <f t="shared" si="1"/>
        <v>0</v>
      </c>
      <c r="K19" s="1952">
        <f t="shared" si="1"/>
        <v>0</v>
      </c>
      <c r="L19" s="1952">
        <f t="shared" si="1"/>
        <v>707812</v>
      </c>
      <c r="M19" s="1340"/>
    </row>
    <row r="20" spans="2:14" ht="20.100000000000001" customHeight="1" x14ac:dyDescent="0.2">
      <c r="B20" s="1334"/>
      <c r="C20" s="1338"/>
      <c r="D20" s="1339"/>
      <c r="E20" s="1337"/>
      <c r="F20" s="1340"/>
      <c r="G20" s="1340"/>
      <c r="H20" s="1340"/>
      <c r="I20" s="1340"/>
      <c r="J20" s="1340"/>
      <c r="K20" s="1340"/>
      <c r="L20" s="1337"/>
      <c r="M20" s="1340"/>
    </row>
    <row r="21" spans="2:14" ht="20.100000000000001" customHeight="1" x14ac:dyDescent="0.2">
      <c r="B21" s="1947" t="s">
        <v>2094</v>
      </c>
      <c r="C21" s="1338"/>
      <c r="D21" s="1339"/>
      <c r="E21" s="1340"/>
      <c r="F21" s="1340"/>
      <c r="G21" s="1340"/>
      <c r="H21" s="1340"/>
      <c r="I21" s="1340"/>
      <c r="J21" s="1340"/>
      <c r="K21" s="1340"/>
      <c r="L21" s="1337"/>
      <c r="M21" s="1340"/>
    </row>
    <row r="22" spans="2:14" ht="20.100000000000001" customHeight="1" x14ac:dyDescent="0.2">
      <c r="B22" s="1334" t="s">
        <v>2138</v>
      </c>
      <c r="C22" s="1338">
        <v>10.553000000000001</v>
      </c>
      <c r="D22" s="1339" t="s">
        <v>2139</v>
      </c>
      <c r="E22" s="1340">
        <v>81468</v>
      </c>
      <c r="F22" s="1340">
        <v>19470</v>
      </c>
      <c r="G22" s="1340">
        <v>81468</v>
      </c>
      <c r="H22" s="1340"/>
      <c r="I22" s="1340">
        <v>19470</v>
      </c>
      <c r="J22" s="1340"/>
      <c r="K22" s="1340"/>
      <c r="L22" s="1337">
        <f t="shared" si="0"/>
        <v>100938</v>
      </c>
      <c r="M22" s="1340" t="s">
        <v>2136</v>
      </c>
    </row>
    <row r="23" spans="2:14" ht="20.100000000000001" customHeight="1" x14ac:dyDescent="0.2">
      <c r="B23" s="1334" t="s">
        <v>2138</v>
      </c>
      <c r="C23" s="1338">
        <v>10.553000000000001</v>
      </c>
      <c r="D23" s="1339" t="s">
        <v>2140</v>
      </c>
      <c r="E23" s="1951"/>
      <c r="F23" s="1951">
        <v>83551</v>
      </c>
      <c r="G23" s="1951"/>
      <c r="H23" s="1951"/>
      <c r="I23" s="1951">
        <v>83551</v>
      </c>
      <c r="J23" s="1951"/>
      <c r="K23" s="1951"/>
      <c r="L23" s="1951">
        <f t="shared" si="0"/>
        <v>83551</v>
      </c>
      <c r="M23" s="1340" t="s">
        <v>2136</v>
      </c>
    </row>
    <row r="24" spans="2:14" ht="20.100000000000001" customHeight="1" x14ac:dyDescent="0.2">
      <c r="B24" s="1334" t="s">
        <v>2141</v>
      </c>
      <c r="C24" s="1338"/>
      <c r="D24" s="1339"/>
      <c r="E24" s="1952">
        <f>SUM(E22:E23)</f>
        <v>81468</v>
      </c>
      <c r="F24" s="1952">
        <f t="shared" ref="F24:L24" si="2">SUM(F22:F23)</f>
        <v>103021</v>
      </c>
      <c r="G24" s="1952">
        <f t="shared" si="2"/>
        <v>81468</v>
      </c>
      <c r="H24" s="1952">
        <f t="shared" si="2"/>
        <v>0</v>
      </c>
      <c r="I24" s="1952">
        <f t="shared" si="2"/>
        <v>103021</v>
      </c>
      <c r="J24" s="1952">
        <f t="shared" si="2"/>
        <v>0</v>
      </c>
      <c r="K24" s="1952">
        <f t="shared" si="2"/>
        <v>0</v>
      </c>
      <c r="L24" s="1952">
        <f t="shared" si="2"/>
        <v>184489</v>
      </c>
      <c r="M24" s="1340"/>
    </row>
    <row r="25" spans="2:14" ht="20.100000000000001" customHeight="1" x14ac:dyDescent="0.2">
      <c r="B25" s="1334"/>
      <c r="C25" s="1338"/>
      <c r="D25" s="1339"/>
      <c r="E25" s="1337"/>
      <c r="F25" s="1337"/>
      <c r="G25" s="1337"/>
      <c r="H25" s="1337"/>
      <c r="I25" s="1337"/>
      <c r="J25" s="1337"/>
      <c r="K25" s="1337"/>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L19" sqref="L19: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Vandalia CUSD 203</v>
      </c>
      <c r="C1" s="2467"/>
      <c r="D1" s="2467"/>
      <c r="E1" s="2467"/>
      <c r="F1" s="2467"/>
      <c r="G1" s="2467"/>
      <c r="H1" s="2467"/>
      <c r="I1" s="2467"/>
      <c r="J1" s="2467"/>
      <c r="K1" s="2467"/>
      <c r="L1" s="2467"/>
      <c r="M1" s="2467"/>
    </row>
    <row r="2" spans="2:14" ht="15" x14ac:dyDescent="0.2">
      <c r="B2" s="2456">
        <f>'Single Audit Cover'!E7</f>
        <v>3026203026</v>
      </c>
      <c r="C2" s="2456"/>
      <c r="D2" s="2456"/>
      <c r="E2" s="2456"/>
      <c r="F2" s="2456"/>
      <c r="G2" s="2456"/>
      <c r="H2" s="2456"/>
      <c r="I2" s="2456"/>
      <c r="J2" s="2456"/>
      <c r="K2" s="2456"/>
      <c r="L2" s="2456"/>
      <c r="M2" s="2456"/>
      <c r="N2" s="1299"/>
    </row>
    <row r="3" spans="2:14" ht="15" x14ac:dyDescent="0.2">
      <c r="B3" s="2468" t="s">
        <v>1280</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1326</v>
      </c>
      <c r="E6" s="1303" t="s">
        <v>547</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1"/>
      <c r="C8" s="1310" t="s">
        <v>1325</v>
      </c>
      <c r="D8" s="1311" t="s">
        <v>1324</v>
      </c>
      <c r="E8" s="1319" t="s">
        <v>1323</v>
      </c>
      <c r="F8" s="1320" t="s">
        <v>1323</v>
      </c>
      <c r="G8" s="1321" t="s">
        <v>1323</v>
      </c>
      <c r="H8" s="1314" t="s">
        <v>1662</v>
      </c>
      <c r="I8" s="1316" t="s">
        <v>1323</v>
      </c>
      <c r="J8" s="1315" t="s">
        <v>1946</v>
      </c>
      <c r="K8" s="1316" t="s">
        <v>1322</v>
      </c>
      <c r="L8" s="1317" t="s">
        <v>1318</v>
      </c>
      <c r="M8" s="1318" t="s">
        <v>30</v>
      </c>
    </row>
    <row r="9" spans="2:14" ht="14.25" x14ac:dyDescent="0.2">
      <c r="B9" s="1322" t="s">
        <v>1320</v>
      </c>
      <c r="C9" s="1310" t="s">
        <v>1834</v>
      </c>
      <c r="D9" s="1311" t="s">
        <v>1835</v>
      </c>
      <c r="E9" s="1319" t="s">
        <v>1662</v>
      </c>
      <c r="F9" s="1320" t="s">
        <v>1946</v>
      </c>
      <c r="G9" s="1321" t="s">
        <v>1662</v>
      </c>
      <c r="H9" s="1314" t="s">
        <v>1663</v>
      </c>
      <c r="I9" s="1316" t="s">
        <v>1946</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947" t="s">
        <v>2094</v>
      </c>
      <c r="C11" s="1335"/>
      <c r="D11" s="1336"/>
      <c r="E11" s="1337"/>
      <c r="F11" s="1337"/>
      <c r="G11" s="1337"/>
      <c r="H11" s="1337"/>
      <c r="I11" s="1337"/>
      <c r="J11" s="1337"/>
      <c r="K11" s="1337"/>
      <c r="L11" s="1337"/>
      <c r="M11" s="1337"/>
    </row>
    <row r="12" spans="2:14" ht="20.100000000000001" customHeight="1" x14ac:dyDescent="0.2">
      <c r="B12" s="1334" t="s">
        <v>2142</v>
      </c>
      <c r="C12" s="1338">
        <v>10.555999999999999</v>
      </c>
      <c r="D12" s="1339" t="s">
        <v>2143</v>
      </c>
      <c r="E12" s="1340">
        <v>1833</v>
      </c>
      <c r="F12" s="1340">
        <v>414</v>
      </c>
      <c r="G12" s="1340">
        <v>1833</v>
      </c>
      <c r="H12" s="1340"/>
      <c r="I12" s="1340">
        <v>414</v>
      </c>
      <c r="J12" s="1340"/>
      <c r="K12" s="1340"/>
      <c r="L12" s="1337">
        <f t="shared" ref="L12:L13" si="0">+G12+I12+K12</f>
        <v>2247</v>
      </c>
      <c r="M12" s="1340"/>
    </row>
    <row r="13" spans="2:14" ht="20.100000000000001" customHeight="1" x14ac:dyDescent="0.2">
      <c r="B13" s="1334" t="s">
        <v>2142</v>
      </c>
      <c r="C13" s="1338">
        <v>10.555999999999999</v>
      </c>
      <c r="D13" s="1339" t="s">
        <v>2144</v>
      </c>
      <c r="E13" s="1951"/>
      <c r="F13" s="1951">
        <v>1667</v>
      </c>
      <c r="G13" s="1951"/>
      <c r="H13" s="1951"/>
      <c r="I13" s="1951">
        <v>1667</v>
      </c>
      <c r="J13" s="1951"/>
      <c r="K13" s="1951"/>
      <c r="L13" s="1951">
        <f t="shared" si="0"/>
        <v>1667</v>
      </c>
      <c r="M13" s="1340"/>
    </row>
    <row r="14" spans="2:14" ht="20.100000000000001" customHeight="1" x14ac:dyDescent="0.2">
      <c r="B14" s="1334" t="s">
        <v>2145</v>
      </c>
      <c r="C14" s="1338"/>
      <c r="D14" s="1339"/>
      <c r="E14" s="1952">
        <f>SUM(E12:E13)</f>
        <v>1833</v>
      </c>
      <c r="F14" s="1952">
        <f t="shared" ref="F14:L14" si="1">SUM(F12:F13)</f>
        <v>2081</v>
      </c>
      <c r="G14" s="1952">
        <f t="shared" si="1"/>
        <v>1833</v>
      </c>
      <c r="H14" s="1952">
        <f t="shared" si="1"/>
        <v>0</v>
      </c>
      <c r="I14" s="1952">
        <f t="shared" si="1"/>
        <v>2081</v>
      </c>
      <c r="J14" s="1952">
        <f t="shared" si="1"/>
        <v>0</v>
      </c>
      <c r="K14" s="1952">
        <f t="shared" si="1"/>
        <v>0</v>
      </c>
      <c r="L14" s="1952">
        <f t="shared" si="1"/>
        <v>3914</v>
      </c>
      <c r="M14" s="1340"/>
    </row>
    <row r="15" spans="2:14" ht="20.100000000000001" customHeight="1" x14ac:dyDescent="0.2">
      <c r="B15" s="1334" t="s">
        <v>1230</v>
      </c>
      <c r="C15" s="1338"/>
      <c r="D15" s="1339"/>
      <c r="E15" s="1337"/>
      <c r="F15" s="1340"/>
      <c r="G15" s="1340"/>
      <c r="H15" s="1340"/>
      <c r="I15" s="1340"/>
      <c r="J15" s="1340"/>
      <c r="K15" s="1340"/>
      <c r="L15" s="1337"/>
      <c r="M15" s="1340"/>
    </row>
    <row r="16" spans="2:14" s="1257" customFormat="1" ht="29.25" customHeight="1" x14ac:dyDescent="0.2">
      <c r="B16" s="1947" t="s">
        <v>2146</v>
      </c>
      <c r="C16" s="1953"/>
      <c r="D16" s="1954"/>
      <c r="E16" s="1955">
        <f>E14+' SEFA (3)'!E24+' SEFA (3)'!E19</f>
        <v>380322</v>
      </c>
      <c r="F16" s="1955">
        <f>F14+' SEFA (3)'!F24+' SEFA (3)'!F19</f>
        <v>515893</v>
      </c>
      <c r="G16" s="1955">
        <f>G14+' SEFA (3)'!G24+' SEFA (3)'!G19</f>
        <v>380322</v>
      </c>
      <c r="H16" s="1955">
        <f>H14+' SEFA (3)'!H24+' SEFA (3)'!H19</f>
        <v>0</v>
      </c>
      <c r="I16" s="1955">
        <f>I14+' SEFA (3)'!I24+' SEFA (3)'!I19</f>
        <v>515893</v>
      </c>
      <c r="J16" s="1955">
        <f>J14+' SEFA (3)'!J24+' SEFA (3)'!J19</f>
        <v>0</v>
      </c>
      <c r="K16" s="1955">
        <f>K14+' SEFA (3)'!K24+' SEFA (3)'!K19</f>
        <v>0</v>
      </c>
      <c r="L16" s="1955">
        <f>L14+' SEFA (3)'!L24+' SEFA (3)'!L19</f>
        <v>896215</v>
      </c>
      <c r="M16" s="1956"/>
    </row>
    <row r="17" spans="2:14" ht="20.100000000000001" customHeight="1" x14ac:dyDescent="0.2">
      <c r="B17" s="1334"/>
      <c r="C17" s="1338"/>
      <c r="D17" s="1339"/>
      <c r="E17" s="1337"/>
      <c r="F17" s="1340"/>
      <c r="G17" s="1340"/>
      <c r="H17" s="1340"/>
      <c r="I17" s="1340"/>
      <c r="J17" s="1340"/>
      <c r="K17" s="1340"/>
      <c r="L17" s="1337"/>
      <c r="M17" s="1340"/>
    </row>
    <row r="18" spans="2:14" s="1257" customFormat="1" ht="20.100000000000001" customHeight="1" thickBot="1" x14ac:dyDescent="0.25">
      <c r="B18" s="1947" t="s">
        <v>2147</v>
      </c>
      <c r="C18" s="1953"/>
      <c r="D18" s="1954"/>
      <c r="E18" s="1957">
        <f>+E16+' SEFA (2)'!E26+' SEFA (2)'!E19</f>
        <v>972639</v>
      </c>
      <c r="F18" s="1957">
        <f>+F16+' SEFA (2)'!F26+' SEFA (2)'!F19</f>
        <v>1237264</v>
      </c>
      <c r="G18" s="1957">
        <f>+G16+' SEFA (2)'!G26+' SEFA (2)'!G19</f>
        <v>1012235</v>
      </c>
      <c r="H18" s="1957">
        <f>+H16+' SEFA (2)'!H26+' SEFA (2)'!H19</f>
        <v>0</v>
      </c>
      <c r="I18" s="1957">
        <f>+I16+' SEFA (2)'!I26+' SEFA (2)'!I19</f>
        <v>1216921</v>
      </c>
      <c r="J18" s="1957">
        <f>+J16+' SEFA (2)'!J26+' SEFA (2)'!J19</f>
        <v>0</v>
      </c>
      <c r="K18" s="1957">
        <f>+K16+' SEFA (2)'!K26+' SEFA (2)'!K19</f>
        <v>185772</v>
      </c>
      <c r="L18" s="1957">
        <f>+L16+' SEFA (2)'!L26+' SEFA (2)'!L19</f>
        <v>2414928</v>
      </c>
      <c r="M18" s="1956"/>
    </row>
    <row r="19" spans="2:14" ht="20.100000000000001" customHeight="1" thickTop="1" x14ac:dyDescent="0.2">
      <c r="B19" s="1334"/>
      <c r="C19" s="1338"/>
      <c r="D19" s="1339"/>
      <c r="E19" s="1337"/>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G38" sqref="G38:I3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Vandalia CUSD 203</v>
      </c>
      <c r="C1" s="2475"/>
      <c r="D1" s="2475"/>
      <c r="E1" s="2475"/>
      <c r="F1" s="2475"/>
      <c r="G1" s="2475"/>
      <c r="H1" s="2475"/>
      <c r="I1" s="2475"/>
      <c r="J1" s="1419"/>
    </row>
    <row r="2" spans="2:10" s="317" customFormat="1" ht="12.75" customHeight="1" x14ac:dyDescent="0.2">
      <c r="B2" s="2476">
        <f>'Single Audit Cover'!E7</f>
        <v>3026203026</v>
      </c>
      <c r="C2" s="2477"/>
      <c r="D2" s="2477"/>
      <c r="E2" s="2477"/>
      <c r="F2" s="2477"/>
      <c r="G2" s="2477"/>
      <c r="H2" s="2477"/>
      <c r="I2" s="2477"/>
      <c r="J2" s="1419"/>
    </row>
    <row r="3" spans="2:10" s="317" customFormat="1" ht="12.75" customHeight="1" x14ac:dyDescent="0.2">
      <c r="B3" s="2478" t="s">
        <v>1346</v>
      </c>
      <c r="C3" s="2479"/>
      <c r="D3" s="2479"/>
      <c r="E3" s="2479"/>
      <c r="F3" s="2479"/>
      <c r="G3" s="2479"/>
      <c r="H3" s="2479"/>
      <c r="I3" s="2479"/>
      <c r="J3" s="1420"/>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1" t="s">
        <v>1230</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78" t="s">
        <v>1345</v>
      </c>
      <c r="C7" s="2479"/>
      <c r="D7" s="2479"/>
      <c r="E7" s="2479"/>
      <c r="F7" s="2479"/>
      <c r="G7" s="2479"/>
      <c r="H7" s="2479"/>
      <c r="I7" s="2479"/>
    </row>
    <row r="8" spans="2:10" s="317" customFormat="1" ht="6.2" customHeight="1" x14ac:dyDescent="0.2">
      <c r="B8" s="1423" t="s">
        <v>1230</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1344</v>
      </c>
      <c r="C10" s="1428"/>
      <c r="D10" s="1428"/>
      <c r="E10" s="1255"/>
    </row>
    <row r="11" spans="2:10" s="317" customFormat="1" ht="13.5" customHeight="1" x14ac:dyDescent="0.2">
      <c r="B11" s="1346" t="s">
        <v>1343</v>
      </c>
      <c r="C11" s="2480" t="s">
        <v>1225</v>
      </c>
      <c r="D11" s="2480"/>
      <c r="E11" s="1429"/>
      <c r="F11" s="1429"/>
      <c r="G11" s="1429"/>
    </row>
    <row r="12" spans="2:10" s="317" customFormat="1" ht="11.45" customHeight="1" x14ac:dyDescent="0.2">
      <c r="B12" s="1354"/>
      <c r="C12" s="1430" t="s">
        <v>1516</v>
      </c>
      <c r="D12" s="1431"/>
      <c r="E12" s="1255"/>
    </row>
    <row r="13" spans="2:10" s="317" customFormat="1" ht="12.75" customHeight="1" x14ac:dyDescent="0.2">
      <c r="B13" s="1432"/>
      <c r="C13" s="1384"/>
      <c r="D13" s="1384"/>
      <c r="E13" s="1255"/>
    </row>
    <row r="14" spans="2:10" s="317" customFormat="1" ht="12.75" customHeight="1" x14ac:dyDescent="0.2">
      <c r="B14" s="1365" t="s">
        <v>1342</v>
      </c>
      <c r="C14" s="1279"/>
      <c r="E14" s="1255"/>
    </row>
    <row r="15" spans="2:10" s="317" customFormat="1" ht="13.5" customHeight="1" x14ac:dyDescent="0.2">
      <c r="B15" s="1433" t="s">
        <v>1339</v>
      </c>
      <c r="C15" s="1434"/>
      <c r="D15" s="1395"/>
      <c r="E15" s="1435"/>
      <c r="F15" s="1297" t="s">
        <v>939</v>
      </c>
      <c r="G15" s="1435" t="s">
        <v>2080</v>
      </c>
      <c r="H15" s="1297" t="s">
        <v>1337</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1338</v>
      </c>
      <c r="C17" s="1434"/>
      <c r="D17" s="1395"/>
      <c r="E17" s="1436"/>
      <c r="F17" s="1254"/>
      <c r="G17" s="1436"/>
      <c r="H17" s="1297"/>
      <c r="I17" s="1297"/>
    </row>
    <row r="18" spans="2:9" s="317" customFormat="1" ht="12.75" customHeight="1" x14ac:dyDescent="0.2">
      <c r="B18" s="1433" t="s">
        <v>1517</v>
      </c>
      <c r="C18" s="1434"/>
      <c r="D18" s="1395"/>
      <c r="E18" s="1435"/>
      <c r="F18" s="1297" t="s">
        <v>939</v>
      </c>
      <c r="G18" s="1435" t="s">
        <v>2080</v>
      </c>
      <c r="H18" s="1297" t="s">
        <v>1337</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1672</v>
      </c>
      <c r="C20" s="1434"/>
      <c r="D20" s="1395"/>
      <c r="E20" s="1435"/>
      <c r="F20" s="1297" t="s">
        <v>939</v>
      </c>
      <c r="G20" s="1435" t="s">
        <v>2080</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1341</v>
      </c>
      <c r="C22" s="1437"/>
      <c r="D22" s="1428"/>
      <c r="E22" s="1380"/>
      <c r="F22" s="1297"/>
      <c r="G22" s="322"/>
      <c r="H22" s="1297"/>
      <c r="I22" s="1297"/>
    </row>
    <row r="23" spans="2:9" s="317" customFormat="1" ht="12.75" customHeight="1" x14ac:dyDescent="0.2">
      <c r="B23" s="1365" t="s">
        <v>1340</v>
      </c>
      <c r="C23" s="1279"/>
      <c r="E23" s="1380"/>
      <c r="F23" s="1297"/>
      <c r="G23" s="322"/>
      <c r="H23" s="1297"/>
      <c r="I23" s="1297"/>
    </row>
    <row r="24" spans="2:9" s="317" customFormat="1" ht="13.5" customHeight="1" x14ac:dyDescent="0.2">
      <c r="B24" s="1433" t="s">
        <v>1339</v>
      </c>
      <c r="C24" s="1434"/>
      <c r="D24" s="1395"/>
      <c r="E24" s="1435"/>
      <c r="F24" s="1297" t="s">
        <v>939</v>
      </c>
      <c r="G24" s="1435" t="s">
        <v>2080</v>
      </c>
      <c r="H24" s="1297" t="s">
        <v>1337</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1338</v>
      </c>
      <c r="C26" s="1434"/>
      <c r="D26" s="1395"/>
      <c r="E26" s="1436"/>
      <c r="F26" s="1254"/>
      <c r="G26" s="1436"/>
      <c r="H26" s="1297"/>
      <c r="I26" s="1297"/>
    </row>
    <row r="27" spans="2:9" s="317" customFormat="1" ht="12.75" customHeight="1" x14ac:dyDescent="0.2">
      <c r="B27" s="1433" t="s">
        <v>1517</v>
      </c>
      <c r="C27" s="1434"/>
      <c r="D27" s="1395"/>
      <c r="E27" s="1435"/>
      <c r="F27" s="1297" t="s">
        <v>939</v>
      </c>
      <c r="G27" s="1435" t="s">
        <v>2080</v>
      </c>
      <c r="H27" s="1297" t="s">
        <v>1337</v>
      </c>
      <c r="I27" s="1297"/>
    </row>
    <row r="28" spans="2:9" s="317" customFormat="1" ht="12.75" customHeight="1" x14ac:dyDescent="0.2">
      <c r="B28" s="1365"/>
      <c r="C28" s="1279"/>
      <c r="E28" s="1255"/>
    </row>
    <row r="29" spans="2:9" s="317" customFormat="1" ht="12.75" customHeight="1" x14ac:dyDescent="0.2">
      <c r="B29" s="1365" t="s">
        <v>1336</v>
      </c>
      <c r="C29" s="1279"/>
      <c r="D29" s="2481" t="s">
        <v>2166</v>
      </c>
      <c r="E29" s="2481"/>
      <c r="F29" s="2481"/>
      <c r="G29" s="2481"/>
      <c r="H29" s="2481"/>
      <c r="I29" s="2481"/>
    </row>
    <row r="30" spans="2:9" s="317" customFormat="1" x14ac:dyDescent="0.2">
      <c r="B30" s="1365"/>
      <c r="C30" s="322"/>
      <c r="D30" s="1430" t="s">
        <v>1847</v>
      </c>
      <c r="E30" s="1431"/>
      <c r="F30" s="1431"/>
      <c r="G30" s="1431"/>
      <c r="H30" s="1431"/>
      <c r="I30" s="1431"/>
    </row>
    <row r="31" spans="2:9" s="317" customFormat="1" ht="9.9499999999999993" customHeight="1" x14ac:dyDescent="0.2">
      <c r="B31" s="1365"/>
      <c r="E31" s="1255"/>
    </row>
    <row r="32" spans="2:9" s="317" customFormat="1" x14ac:dyDescent="0.2">
      <c r="B32" s="1365" t="s">
        <v>1335</v>
      </c>
      <c r="C32" s="1279"/>
      <c r="E32" s="1255"/>
    </row>
    <row r="33" spans="2:9" ht="13.5" customHeight="1" x14ac:dyDescent="0.2">
      <c r="B33" s="1365" t="s">
        <v>1632</v>
      </c>
      <c r="C33" s="1279"/>
      <c r="E33" s="1435"/>
      <c r="F33" s="1297" t="s">
        <v>939</v>
      </c>
      <c r="G33" s="1435" t="s">
        <v>2080</v>
      </c>
      <c r="H33" s="1297" t="s">
        <v>101</v>
      </c>
    </row>
    <row r="35" spans="2:9" x14ac:dyDescent="0.2">
      <c r="B35" s="1438" t="s">
        <v>1848</v>
      </c>
      <c r="C35" s="1439"/>
      <c r="D35" s="1264"/>
    </row>
    <row r="36" spans="2:9" ht="6" customHeight="1" x14ac:dyDescent="0.2">
      <c r="B36" s="1438"/>
      <c r="C36" s="1439"/>
      <c r="D36" s="1264"/>
    </row>
    <row r="37" spans="2:9" ht="17.25" customHeight="1" x14ac:dyDescent="0.2">
      <c r="B37" s="1440" t="s">
        <v>1849</v>
      </c>
      <c r="C37" s="2482" t="s">
        <v>1850</v>
      </c>
      <c r="D37" s="2483"/>
      <c r="E37" s="2483"/>
      <c r="F37" s="2484"/>
      <c r="G37" s="2482" t="s">
        <v>1673</v>
      </c>
      <c r="H37" s="2483"/>
      <c r="I37" s="2484"/>
    </row>
    <row r="38" spans="2:9" ht="16.5" customHeight="1" x14ac:dyDescent="0.2">
      <c r="B38" s="1441" t="s">
        <v>2096</v>
      </c>
      <c r="C38" s="2470" t="s">
        <v>973</v>
      </c>
      <c r="D38" s="2471"/>
      <c r="E38" s="2471"/>
      <c r="F38" s="2472"/>
      <c r="G38" s="2485">
        <v>364361</v>
      </c>
      <c r="H38" s="2486"/>
      <c r="I38" s="2487"/>
    </row>
    <row r="39" spans="2:9" ht="16.5" customHeight="1" x14ac:dyDescent="0.2">
      <c r="B39" s="1441" t="s">
        <v>2107</v>
      </c>
      <c r="C39" s="2470" t="s">
        <v>2167</v>
      </c>
      <c r="D39" s="2471"/>
      <c r="E39" s="2471"/>
      <c r="F39" s="2472"/>
      <c r="G39" s="2473">
        <v>211088</v>
      </c>
      <c r="H39" s="2473"/>
      <c r="I39" s="2473"/>
    </row>
    <row r="40" spans="2:9" ht="16.5" customHeight="1" x14ac:dyDescent="0.2">
      <c r="B40" s="1441"/>
      <c r="C40" s="2470"/>
      <c r="D40" s="2471"/>
      <c r="E40" s="2471"/>
      <c r="F40" s="2472"/>
      <c r="G40" s="2473"/>
      <c r="H40" s="2473"/>
      <c r="I40" s="2473"/>
    </row>
    <row r="41" spans="2:9" ht="16.5" customHeight="1" x14ac:dyDescent="0.2">
      <c r="B41" s="1441"/>
      <c r="C41" s="2470"/>
      <c r="D41" s="2471"/>
      <c r="E41" s="2471"/>
      <c r="F41" s="2472"/>
      <c r="G41" s="2473"/>
      <c r="H41" s="2473"/>
      <c r="I41" s="2473"/>
    </row>
    <row r="42" spans="2:9" ht="16.5" customHeight="1" x14ac:dyDescent="0.2">
      <c r="B42" s="1441"/>
      <c r="C42" s="2470"/>
      <c r="D42" s="2471"/>
      <c r="E42" s="2471"/>
      <c r="F42" s="2472"/>
      <c r="G42" s="2473"/>
      <c r="H42" s="2473"/>
      <c r="I42" s="2473"/>
    </row>
    <row r="43" spans="2:9" ht="16.5" customHeight="1" x14ac:dyDescent="0.2">
      <c r="B43" s="1441"/>
      <c r="C43" s="2488" t="s">
        <v>1674</v>
      </c>
      <c r="D43" s="2489"/>
      <c r="E43" s="2489"/>
      <c r="F43" s="2490"/>
      <c r="G43" s="2491">
        <f>SUM(G38:I42)</f>
        <v>575449</v>
      </c>
      <c r="H43" s="2491"/>
      <c r="I43" s="2491"/>
    </row>
    <row r="44" spans="2:9" ht="12.75" customHeight="1" x14ac:dyDescent="0.2"/>
    <row r="45" spans="2:9" ht="12.75" customHeight="1" x14ac:dyDescent="0.2">
      <c r="B45" s="1432" t="s">
        <v>1948</v>
      </c>
      <c r="D45" s="2492">
        <v>1216921</v>
      </c>
      <c r="E45" s="2493"/>
    </row>
    <row r="46" spans="2:9" ht="5.25" customHeight="1" x14ac:dyDescent="0.2">
      <c r="B46" s="1442"/>
      <c r="D46" s="1443"/>
      <c r="E46" s="1444"/>
    </row>
    <row r="47" spans="2:9" ht="12.75" customHeight="1" x14ac:dyDescent="0.2">
      <c r="B47" s="1297" t="s">
        <v>1675</v>
      </c>
      <c r="C47" s="1297"/>
      <c r="D47" s="1445">
        <f>+G43/D45</f>
        <v>0.47287293094621591</v>
      </c>
      <c r="E47" s="1446"/>
      <c r="F47" s="1447"/>
      <c r="I47" s="1448"/>
    </row>
    <row r="48" spans="2:9" ht="9.9499999999999993" customHeight="1" x14ac:dyDescent="0.2"/>
    <row r="49" spans="1:9" x14ac:dyDescent="0.2">
      <c r="B49" s="1365" t="s">
        <v>1334</v>
      </c>
      <c r="C49" s="1279"/>
      <c r="D49" s="1279"/>
      <c r="E49" s="2494">
        <v>750000</v>
      </c>
      <c r="F49" s="2494"/>
      <c r="G49" s="2494"/>
      <c r="H49" s="322"/>
    </row>
    <row r="51" spans="1:9" ht="13.5" customHeight="1" x14ac:dyDescent="0.2">
      <c r="B51" s="1365" t="s">
        <v>1333</v>
      </c>
      <c r="C51" s="1279"/>
      <c r="E51" s="1435"/>
      <c r="F51" s="1297" t="s">
        <v>939</v>
      </c>
      <c r="G51" s="1435" t="s">
        <v>2080</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1851</v>
      </c>
      <c r="C54" s="1457"/>
      <c r="D54" s="1457"/>
    </row>
    <row r="55" spans="1:9" s="1458" customFormat="1" ht="12.75" customHeight="1" x14ac:dyDescent="0.2">
      <c r="A55" s="1455"/>
      <c r="B55" s="1459" t="s">
        <v>1676</v>
      </c>
      <c r="C55" s="1455"/>
      <c r="D55" s="1455"/>
    </row>
    <row r="56" spans="1:9" s="1458" customFormat="1" ht="12.75" customHeight="1" x14ac:dyDescent="0.2">
      <c r="A56" s="1455"/>
      <c r="B56" s="1459" t="s">
        <v>1677</v>
      </c>
      <c r="C56" s="1455"/>
      <c r="D56" s="1455"/>
    </row>
    <row r="57" spans="1:9" s="1458" customFormat="1" ht="3.95" customHeight="1" x14ac:dyDescent="0.2">
      <c r="A57" s="1455"/>
      <c r="B57" s="1459"/>
      <c r="C57" s="1455"/>
      <c r="D57" s="1455"/>
    </row>
    <row r="58" spans="1:9" s="1458" customFormat="1" ht="13.5" customHeight="1" x14ac:dyDescent="0.2">
      <c r="A58" s="1455"/>
      <c r="B58" s="1460" t="s">
        <v>1852</v>
      </c>
      <c r="C58" s="1461"/>
      <c r="D58" s="1461"/>
    </row>
    <row r="59" spans="1:9" s="1458" customFormat="1" ht="3.95" customHeight="1" x14ac:dyDescent="0.2">
      <c r="A59" s="1455"/>
      <c r="B59" s="1460"/>
      <c r="C59" s="1461"/>
      <c r="D59" s="1461"/>
    </row>
    <row r="60" spans="1:9" s="1458" customFormat="1" ht="13.5" customHeight="1" x14ac:dyDescent="0.2">
      <c r="A60" s="1455"/>
      <c r="B60" s="1460" t="s">
        <v>1853</v>
      </c>
      <c r="C60" s="1461"/>
      <c r="D60" s="1461"/>
    </row>
    <row r="61" spans="1:9" s="1458" customFormat="1" ht="3.95" customHeight="1" x14ac:dyDescent="0.2">
      <c r="A61" s="1455"/>
      <c r="B61" s="1460"/>
      <c r="C61" s="1461"/>
      <c r="D61" s="1461"/>
    </row>
    <row r="62" spans="1:9" s="1458" customFormat="1" ht="12.75" customHeight="1" x14ac:dyDescent="0.2">
      <c r="A62" s="1455"/>
      <c r="B62" s="1460" t="s">
        <v>1854</v>
      </c>
      <c r="C62" s="1461"/>
      <c r="D62" s="1461"/>
    </row>
    <row r="63" spans="1:9" s="1458" customFormat="1" ht="13.5" customHeight="1" x14ac:dyDescent="0.2">
      <c r="A63" s="1455"/>
      <c r="B63" s="1459" t="s">
        <v>1678</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T13" sqref="T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Vandalia CUSD 203</v>
      </c>
      <c r="C1" s="2474"/>
      <c r="D1" s="2474"/>
      <c r="E1" s="2474"/>
      <c r="F1" s="2474"/>
      <c r="G1" s="2474"/>
      <c r="H1" s="2474"/>
      <c r="I1" s="2474"/>
      <c r="J1" s="2474"/>
      <c r="K1" s="2474"/>
      <c r="L1" s="1371"/>
      <c r="M1" s="1371"/>
    </row>
    <row r="2" spans="1:13" ht="12" customHeight="1" x14ac:dyDescent="0.2">
      <c r="B2" s="2476">
        <f>'Single Audit Cover'!E7</f>
        <v>3026203026</v>
      </c>
      <c r="C2" s="2476"/>
      <c r="D2" s="2476"/>
      <c r="E2" s="2476"/>
      <c r="F2" s="2476"/>
      <c r="G2" s="2476"/>
      <c r="H2" s="2476"/>
      <c r="I2" s="2476"/>
      <c r="J2" s="2476"/>
      <c r="K2" s="2476"/>
      <c r="L2" s="1372"/>
      <c r="M2" s="1373"/>
    </row>
    <row r="3" spans="1:13" ht="10.35" customHeight="1" x14ac:dyDescent="0.2">
      <c r="B3" s="2497" t="s">
        <v>1346</v>
      </c>
      <c r="C3" s="2497"/>
      <c r="D3" s="2497"/>
      <c r="E3" s="2497"/>
      <c r="F3" s="2497"/>
      <c r="G3" s="2497"/>
      <c r="H3" s="2497"/>
      <c r="I3" s="2497"/>
      <c r="J3" s="2497"/>
      <c r="K3" s="2497"/>
      <c r="L3" s="1374"/>
      <c r="M3" s="1374"/>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57" t="s">
        <v>1230</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8" t="s">
        <v>1362</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1841</v>
      </c>
      <c r="C10" s="1382" t="s">
        <v>1949</v>
      </c>
      <c r="D10" s="1383"/>
      <c r="E10" s="322"/>
      <c r="F10" s="1384" t="s">
        <v>1361</v>
      </c>
      <c r="G10" s="1385"/>
      <c r="H10" s="1386" t="s">
        <v>1360</v>
      </c>
      <c r="I10" s="1385"/>
      <c r="J10" s="1387" t="s">
        <v>1359</v>
      </c>
      <c r="K10" s="322"/>
      <c r="L10" s="1378"/>
    </row>
    <row r="11" spans="1:13" ht="13.5" customHeight="1" x14ac:dyDescent="0.2">
      <c r="B11" s="322"/>
      <c r="C11" s="322"/>
      <c r="D11" s="322"/>
      <c r="E11" s="322"/>
      <c r="F11" s="322"/>
      <c r="G11" s="1380"/>
      <c r="H11" s="322"/>
      <c r="I11" s="1388" t="s">
        <v>1358</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1357</v>
      </c>
      <c r="C13" s="1390"/>
      <c r="D13" s="1391"/>
      <c r="E13" s="1391"/>
      <c r="F13" s="1391"/>
      <c r="G13" s="1392"/>
      <c r="H13" s="1391"/>
      <c r="I13" s="1392"/>
      <c r="J13" s="1391"/>
      <c r="K13" s="1391"/>
      <c r="L13" s="1393"/>
    </row>
    <row r="14" spans="1:13" ht="45.75" customHeight="1" x14ac:dyDescent="0.2">
      <c r="B14" s="2496" t="s">
        <v>2225</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1356</v>
      </c>
      <c r="C16" s="1390"/>
      <c r="D16" s="1391"/>
      <c r="E16" s="1391"/>
      <c r="F16" s="1391"/>
      <c r="G16" s="1392"/>
      <c r="H16" s="1391"/>
      <c r="I16" s="1392"/>
      <c r="J16" s="1391"/>
      <c r="K16" s="1391"/>
      <c r="L16" s="1393"/>
    </row>
    <row r="17" spans="2:12" ht="45.75" customHeight="1" x14ac:dyDescent="0.2">
      <c r="B17" s="2496"/>
      <c r="C17" s="2496"/>
      <c r="D17" s="2496"/>
      <c r="E17" s="2496"/>
      <c r="F17" s="2496"/>
      <c r="G17" s="2496"/>
      <c r="H17" s="2496"/>
      <c r="I17" s="2496"/>
      <c r="J17" s="2496"/>
      <c r="K17" s="2496"/>
      <c r="L17" s="1378"/>
    </row>
    <row r="18" spans="2:12" ht="4.5" customHeight="1" x14ac:dyDescent="0.2">
      <c r="B18" s="1395"/>
      <c r="C18" s="1395"/>
      <c r="L18" s="1378"/>
    </row>
    <row r="19" spans="2:12" s="1279" customFormat="1" ht="13.5" customHeight="1" x14ac:dyDescent="0.2">
      <c r="B19" s="1390" t="s">
        <v>1842</v>
      </c>
      <c r="C19" s="1390"/>
      <c r="D19" s="1391"/>
      <c r="E19" s="1391"/>
      <c r="F19" s="1391"/>
      <c r="G19" s="1392"/>
      <c r="H19" s="1391"/>
      <c r="I19" s="1392"/>
      <c r="J19" s="1391"/>
      <c r="K19" s="1391"/>
      <c r="L19" s="1393"/>
    </row>
    <row r="20" spans="2:12" ht="45.75" customHeight="1" x14ac:dyDescent="0.2">
      <c r="B20" s="2500"/>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1355</v>
      </c>
      <c r="C22" s="1390"/>
      <c r="D22" s="1376"/>
      <c r="E22" s="1376"/>
      <c r="F22" s="1376"/>
      <c r="G22" s="1377"/>
      <c r="H22" s="1376"/>
      <c r="I22" s="1377"/>
      <c r="J22" s="1376"/>
      <c r="K22" s="1376"/>
      <c r="L22" s="1378"/>
    </row>
    <row r="23" spans="2:12" ht="45" customHeight="1" x14ac:dyDescent="0.2">
      <c r="B23" s="2496"/>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1354</v>
      </c>
      <c r="C25" s="1390"/>
      <c r="D25" s="1376"/>
      <c r="E25" s="1376"/>
      <c r="F25" s="1376"/>
      <c r="G25" s="1377"/>
      <c r="H25" s="1376"/>
      <c r="I25" s="1377"/>
      <c r="J25" s="1376"/>
      <c r="K25" s="1376"/>
      <c r="L25" s="1378"/>
    </row>
    <row r="26" spans="2:12" ht="45.75" customHeight="1" x14ac:dyDescent="0.2">
      <c r="B26" s="2496"/>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1353</v>
      </c>
      <c r="C28" s="1398"/>
      <c r="D28" s="1376"/>
      <c r="E28" s="1376"/>
      <c r="F28" s="1376"/>
      <c r="G28" s="1377"/>
      <c r="H28" s="1376"/>
      <c r="I28" s="1377"/>
      <c r="J28" s="1376"/>
      <c r="K28" s="1376"/>
      <c r="L28" s="1378"/>
    </row>
    <row r="29" spans="2:12" ht="45.75" customHeight="1" x14ac:dyDescent="0.2">
      <c r="B29" s="2495"/>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1843</v>
      </c>
      <c r="C31" s="1400"/>
      <c r="D31" s="1375"/>
      <c r="E31" s="1376"/>
      <c r="F31" s="1376"/>
      <c r="G31" s="1377"/>
      <c r="H31" s="1376"/>
      <c r="I31" s="1377"/>
      <c r="J31" s="1376"/>
      <c r="K31" s="1376"/>
      <c r="L31" s="1378"/>
    </row>
    <row r="32" spans="2:12" s="322" customFormat="1" ht="44.25" customHeight="1" x14ac:dyDescent="0.2">
      <c r="B32" s="2495"/>
      <c r="C32" s="2495"/>
      <c r="D32" s="2496"/>
      <c r="E32" s="2496"/>
      <c r="F32" s="2496"/>
      <c r="G32" s="2496"/>
      <c r="H32" s="2496"/>
      <c r="I32" s="2496"/>
      <c r="J32" s="2496"/>
      <c r="K32" s="2496"/>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1844</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1845</v>
      </c>
      <c r="C38" s="1417"/>
    </row>
    <row r="39" spans="1:13" ht="9.6" customHeight="1" x14ac:dyDescent="0.2">
      <c r="B39" s="1297" t="s">
        <v>1347</v>
      </c>
      <c r="C39" s="1297"/>
      <c r="M39" s="1418"/>
    </row>
    <row r="40" spans="1:13" ht="12.6" customHeight="1" x14ac:dyDescent="0.2">
      <c r="B40" s="1417" t="s">
        <v>1846</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Vandalia CUSD 203</v>
      </c>
      <c r="C1" s="2501"/>
      <c r="D1" s="2501"/>
      <c r="E1" s="2501"/>
      <c r="F1" s="2501"/>
      <c r="G1" s="2501"/>
      <c r="H1" s="2501"/>
      <c r="I1" s="2501"/>
      <c r="J1" s="2501"/>
      <c r="K1" s="2501"/>
      <c r="L1" s="1462"/>
    </row>
    <row r="2" spans="1:12" ht="12.75" customHeight="1" x14ac:dyDescent="0.2">
      <c r="B2" s="2502">
        <f>'Single Audit Cover'!E7</f>
        <v>3026203026</v>
      </c>
      <c r="C2" s="2502"/>
      <c r="D2" s="2502"/>
      <c r="E2" s="2502"/>
      <c r="F2" s="2502"/>
      <c r="G2" s="2502"/>
      <c r="H2" s="2502"/>
      <c r="I2" s="2502"/>
      <c r="J2" s="2502"/>
      <c r="K2" s="2502"/>
      <c r="L2" s="1463"/>
    </row>
    <row r="3" spans="1:12" ht="12.75" customHeight="1" x14ac:dyDescent="0.2">
      <c r="B3" s="2497" t="s">
        <v>1346</v>
      </c>
      <c r="C3" s="2497"/>
      <c r="D3" s="2497"/>
      <c r="E3" s="2497"/>
      <c r="F3" s="2497"/>
      <c r="G3" s="2497"/>
      <c r="H3" s="2497"/>
      <c r="I3" s="2497"/>
      <c r="J3" s="2497"/>
      <c r="K3" s="2497"/>
      <c r="L3" s="1374"/>
    </row>
    <row r="4" spans="1:12" ht="12.75" customHeight="1" x14ac:dyDescent="0.2">
      <c r="B4" s="2497" t="str">
        <f>'Single Audit Cover'!A4</f>
        <v>Year Ending June 30, 2018</v>
      </c>
      <c r="C4" s="2497"/>
      <c r="D4" s="2497"/>
      <c r="E4" s="2497"/>
      <c r="F4" s="2497"/>
      <c r="G4" s="2497"/>
      <c r="H4" s="2497"/>
      <c r="I4" s="2497"/>
      <c r="J4" s="2497"/>
      <c r="K4" s="2497"/>
      <c r="L4" s="1374"/>
    </row>
    <row r="5" spans="1:12" ht="5.25" customHeight="1" x14ac:dyDescent="0.2">
      <c r="B5" s="1257" t="s">
        <v>1230</v>
      </c>
      <c r="C5" s="1257"/>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1949</v>
      </c>
      <c r="D8" s="1465"/>
      <c r="E8" s="322"/>
      <c r="F8" s="1381" t="s">
        <v>1361</v>
      </c>
      <c r="G8" s="1466"/>
      <c r="H8" s="1467" t="s">
        <v>1373</v>
      </c>
      <c r="I8" s="1466"/>
      <c r="J8" s="1468" t="s">
        <v>1372</v>
      </c>
      <c r="L8" s="322"/>
    </row>
    <row r="9" spans="1:12" ht="13.5" customHeight="1" x14ac:dyDescent="0.2">
      <c r="D9" s="322"/>
      <c r="E9" s="322"/>
      <c r="F9" s="322"/>
      <c r="G9" s="1380"/>
      <c r="H9" s="322"/>
      <c r="I9" s="1469" t="s">
        <v>1358</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481"/>
      <c r="G12" s="2481"/>
      <c r="H12" s="2481"/>
      <c r="I12" s="2481"/>
      <c r="J12" s="2481"/>
      <c r="K12" s="2481"/>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1370</v>
      </c>
      <c r="C14" s="1384"/>
      <c r="D14" s="2504"/>
      <c r="E14" s="2504"/>
      <c r="F14" s="2504"/>
      <c r="H14" s="1472" t="s">
        <v>1369</v>
      </c>
      <c r="I14" s="2505"/>
      <c r="J14" s="2505"/>
      <c r="K14" s="2505"/>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1368</v>
      </c>
      <c r="C16" s="1384"/>
      <c r="D16" s="2505"/>
      <c r="E16" s="2505"/>
      <c r="F16" s="2505"/>
      <c r="G16" s="2505"/>
      <c r="H16" s="2505"/>
      <c r="I16" s="2505"/>
      <c r="J16" s="2505"/>
      <c r="K16" s="2505"/>
      <c r="L16" s="322"/>
    </row>
    <row r="17" spans="2:12" ht="13.5" customHeight="1" x14ac:dyDescent="0.2">
      <c r="B17" s="1384" t="s">
        <v>1367</v>
      </c>
      <c r="C17" s="1384"/>
      <c r="D17" s="2506"/>
      <c r="E17" s="2506"/>
      <c r="F17" s="2506"/>
      <c r="G17" s="2506"/>
      <c r="H17" s="2506"/>
      <c r="I17" s="2506"/>
      <c r="J17" s="2506"/>
      <c r="K17" s="2506"/>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5.25" customHeight="1" x14ac:dyDescent="0.2">
      <c r="B20" s="2496" t="s">
        <v>2168</v>
      </c>
      <c r="C20" s="2496"/>
      <c r="D20" s="2496"/>
      <c r="E20" s="2496"/>
      <c r="F20" s="2496"/>
      <c r="G20" s="2496"/>
      <c r="H20" s="2496"/>
      <c r="I20" s="2496"/>
      <c r="J20" s="2496"/>
      <c r="K20" s="2496"/>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Vandalia CUSD 203</v>
      </c>
      <c r="C1" s="2474"/>
      <c r="D1" s="2474"/>
      <c r="E1" s="1488"/>
    </row>
    <row r="2" spans="2:5" s="1279" customFormat="1" ht="12.75" customHeight="1" x14ac:dyDescent="0.2">
      <c r="B2" s="2476">
        <f>'Single Audit Cover'!E7</f>
        <v>3026203026</v>
      </c>
      <c r="C2" s="2476"/>
      <c r="D2" s="2476"/>
      <c r="E2" s="1489"/>
    </row>
    <row r="3" spans="2:5" ht="12.75" customHeight="1" x14ac:dyDescent="0.2">
      <c r="B3" s="2497" t="s">
        <v>1865</v>
      </c>
      <c r="C3" s="2497"/>
      <c r="D3" s="2497"/>
      <c r="E3" s="1271"/>
    </row>
    <row r="4" spans="2:5" s="1279" customFormat="1" ht="12.75" customHeight="1" x14ac:dyDescent="0.2">
      <c r="B4" s="2507" t="str">
        <f>'Single Audit Cover'!A4</f>
        <v>Year Ending June 30, 2018</v>
      </c>
      <c r="C4" s="2507"/>
      <c r="D4" s="2507"/>
      <c r="E4" s="1490"/>
    </row>
    <row r="5" spans="2:5" s="1279" customFormat="1" ht="40.15" customHeight="1" x14ac:dyDescent="0.2">
      <c r="B5" s="1491" t="s">
        <v>1866</v>
      </c>
      <c r="C5" s="328"/>
      <c r="D5" s="328"/>
      <c r="E5" s="328"/>
    </row>
    <row r="6" spans="2:5" s="1279" customFormat="1" ht="13.5" customHeight="1" x14ac:dyDescent="0.2">
      <c r="B6" s="1492" t="s">
        <v>1381</v>
      </c>
      <c r="C6" s="1492" t="s">
        <v>1380</v>
      </c>
      <c r="D6" s="1492" t="s">
        <v>1867</v>
      </c>
    </row>
    <row r="7" spans="2:5" ht="13.5" customHeight="1" x14ac:dyDescent="0.2">
      <c r="B7" s="1493"/>
      <c r="C7" s="324"/>
      <c r="D7" s="324"/>
      <c r="E7" s="324"/>
    </row>
    <row r="8" spans="2:5" ht="13.5" customHeight="1" x14ac:dyDescent="0.2">
      <c r="B8" s="2508" t="s">
        <v>2169</v>
      </c>
      <c r="C8" s="2508"/>
      <c r="D8" s="2508"/>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1379</v>
      </c>
      <c r="C44" s="322"/>
    </row>
    <row r="45" spans="2:5" ht="12.2" customHeight="1" x14ac:dyDescent="0.2">
      <c r="B45" s="1502" t="s">
        <v>1868</v>
      </c>
    </row>
    <row r="46" spans="2:5" ht="12.2" customHeight="1" x14ac:dyDescent="0.2">
      <c r="B46" s="1502" t="s">
        <v>1869</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5">
    <mergeCell ref="B1:D1"/>
    <mergeCell ref="B2:D2"/>
    <mergeCell ref="B3:D3"/>
    <mergeCell ref="B4:D4"/>
    <mergeCell ref="B8:D8"/>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403</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118106671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1.82708E-2</v>
      </c>
      <c r="E10" s="356" t="s">
        <v>1061</v>
      </c>
      <c r="F10" s="355">
        <v>4.9649000000000004E-3</v>
      </c>
      <c r="G10" s="356" t="s">
        <v>1061</v>
      </c>
      <c r="H10" s="355">
        <v>1.9859999999999999E-3</v>
      </c>
      <c r="I10" s="356" t="s">
        <v>1062</v>
      </c>
      <c r="J10" s="1747">
        <f>ROUND(D10+F10+H10,5)</f>
        <v>2.5219999999999999E-2</v>
      </c>
      <c r="K10" s="222"/>
      <c r="L10" s="355">
        <v>4.9649999999999998E-4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8">
        <f>SUM('Acct Summary 7-8'!C8,'Acct Summary 7-8'!D8,'Acct Summary 7-8'!F8,'Acct Summary 7-8'!I8)</f>
        <v>14359888</v>
      </c>
      <c r="E16" s="356"/>
      <c r="F16" s="1748">
        <f>SUM('Acct Summary 7-8'!C17,'Acct Summary 7-8'!D17,'Acct Summary 7-8'!F17)</f>
        <v>13469180</v>
      </c>
      <c r="G16" s="356"/>
      <c r="H16" s="1748">
        <f>SUM(D16-F16)</f>
        <v>890708</v>
      </c>
      <c r="I16" s="222"/>
      <c r="J16" s="1748">
        <f>SUM('Acct Summary 7-8'!C81,'Acct Summary 7-8'!D81,'Acct Summary 7-8'!F81,'Acct Summary 7-8'!I81)</f>
        <v>7417449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0">
        <f>IF(B31="X",(J7*0.069),IF(B32="X",(J7*0.138),"Enter x in a.or b."))</f>
        <v>16298720.598000001</v>
      </c>
      <c r="I31" s="368"/>
      <c r="J31" s="222"/>
      <c r="K31" s="222"/>
      <c r="L31" s="222"/>
      <c r="M31" s="222"/>
    </row>
    <row r="32" spans="1:13" ht="13.35" customHeight="1" x14ac:dyDescent="0.2">
      <c r="B32" s="369" t="s">
        <v>2149</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9">
        <f>'Assets-Liab 5-6'!N36</f>
        <v>14615900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576</v>
      </c>
      <c r="B2" s="2124"/>
      <c r="C2" s="2124"/>
      <c r="D2" s="2124"/>
      <c r="E2" s="2124"/>
      <c r="F2" s="2124"/>
      <c r="G2" s="2124"/>
      <c r="H2" s="2124"/>
      <c r="I2" s="2124"/>
      <c r="J2" s="2124"/>
      <c r="K2" s="2124"/>
      <c r="L2" s="2124"/>
      <c r="M2" s="2124"/>
      <c r="N2" s="2124"/>
      <c r="O2" s="2124"/>
      <c r="P2" s="2124"/>
      <c r="Q2" s="2124"/>
      <c r="R2" s="2124"/>
    </row>
    <row r="3" spans="1:18" ht="12.75" x14ac:dyDescent="0.2">
      <c r="A3" s="2125" t="s">
        <v>1479</v>
      </c>
      <c r="B3" s="2125"/>
      <c r="C3" s="2125"/>
      <c r="D3" s="2125"/>
      <c r="E3" s="2125"/>
      <c r="F3" s="2125"/>
      <c r="G3" s="2125"/>
      <c r="H3" s="2125"/>
      <c r="I3" s="2125"/>
      <c r="J3" s="2125"/>
      <c r="K3" s="2125"/>
      <c r="L3" s="2125"/>
      <c r="M3" s="2125"/>
      <c r="N3" s="2125"/>
      <c r="O3" s="2125"/>
      <c r="P3" s="2125"/>
      <c r="Q3" s="2125"/>
      <c r="R3" s="2125"/>
    </row>
    <row r="4" spans="1:18" x14ac:dyDescent="0.2">
      <c r="A4" s="2126" t="s">
        <v>1634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Vandalia CUSD 203</v>
      </c>
      <c r="E7" s="391"/>
      <c r="G7" s="252"/>
      <c r="H7" s="387"/>
      <c r="I7" s="387"/>
      <c r="J7" s="387"/>
      <c r="K7" s="387"/>
      <c r="L7" s="329"/>
      <c r="M7" s="329"/>
      <c r="N7" s="329"/>
      <c r="O7" s="329"/>
      <c r="P7" s="329"/>
    </row>
    <row r="8" spans="1:18" ht="12.75" x14ac:dyDescent="0.2">
      <c r="A8" s="329"/>
      <c r="B8" s="329"/>
      <c r="C8" s="389" t="s">
        <v>1186</v>
      </c>
      <c r="D8" s="392">
        <f>COVER!A13</f>
        <v>3026203026</v>
      </c>
      <c r="E8" s="393"/>
      <c r="G8" s="329"/>
      <c r="H8" s="329"/>
      <c r="I8" s="329"/>
      <c r="J8" s="329"/>
      <c r="K8" s="329"/>
      <c r="L8" s="329"/>
      <c r="M8" s="329"/>
      <c r="N8" s="329"/>
      <c r="O8" s="329"/>
      <c r="P8" s="329"/>
    </row>
    <row r="9" spans="1:18" ht="12.75" x14ac:dyDescent="0.2">
      <c r="A9" s="329"/>
      <c r="B9" s="329"/>
      <c r="C9" s="389" t="s">
        <v>736</v>
      </c>
      <c r="D9" s="394" t="str">
        <f>COVER!A15</f>
        <v>FAYETTE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7417449</v>
      </c>
      <c r="I12" s="404"/>
      <c r="J12" s="404"/>
      <c r="K12" s="405">
        <f>TRUNC((H12/H13*100000),5)/100000</f>
        <v>0.51653947440000003</v>
      </c>
      <c r="L12" s="406"/>
      <c r="M12" s="360" t="s">
        <v>1205</v>
      </c>
      <c r="N12" s="360"/>
      <c r="O12" s="407">
        <v>0.35</v>
      </c>
      <c r="P12" s="218"/>
      <c r="Q12" s="218"/>
    </row>
    <row r="13" spans="1:18" s="408" customFormat="1" ht="12.75" x14ac:dyDescent="0.2">
      <c r="A13" s="218"/>
      <c r="B13" s="401"/>
      <c r="C13" s="2122" t="s">
        <v>1390</v>
      </c>
      <c r="D13" s="2123"/>
      <c r="E13" s="218"/>
      <c r="F13" s="409" t="s">
        <v>825</v>
      </c>
      <c r="G13" s="402"/>
      <c r="H13" s="403">
        <f>SUM('Acct Summary 7-8'!C8+'Acct Summary 7-8'!D8+'Acct Summary 7-8'!F8+'Acct Summary 7-8'!I8)+H14</f>
        <v>14359888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13469180</v>
      </c>
      <c r="I17" s="404"/>
      <c r="J17" s="416"/>
      <c r="K17" s="405">
        <f>TRUNC((H17/H18*100000),5)/100000</f>
        <v>0.93797249670000005</v>
      </c>
      <c r="L17" s="406"/>
      <c r="M17" s="417" t="s">
        <v>1232</v>
      </c>
      <c r="O17" s="418" t="str">
        <f>IF(AND(O16="2", J20 &gt; 2),"1",IF(AND(O16 = "1", J20 &gt; 2),"2",IF(AND(O16="1", J20 &gt;1),"1","0")))</f>
        <v>0</v>
      </c>
      <c r="P17" s="218"/>
    </row>
    <row r="18" spans="1:18" s="408" customFormat="1" ht="11.25" x14ac:dyDescent="0.2">
      <c r="A18" s="218"/>
      <c r="B18" s="401"/>
      <c r="C18" s="2122" t="s">
        <v>1383</v>
      </c>
      <c r="D18" s="2123"/>
      <c r="E18" s="218"/>
      <c r="F18" s="419" t="s">
        <v>826</v>
      </c>
      <c r="G18" s="402"/>
      <c r="H18" s="403">
        <f>SUM('Acct Summary 7-8'!C8+'Acct Summary 7-8'!D8+'Acct Summary 7-8'!F8+'Acct Summary 7-8'!I8)+H19</f>
        <v>14359888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9" t="s">
        <v>1478</v>
      </c>
      <c r="D24" s="2119"/>
      <c r="E24" s="218"/>
      <c r="F24" s="218" t="s">
        <v>464</v>
      </c>
      <c r="G24" s="402"/>
      <c r="H24" s="403">
        <f>SUM('Assets-Liab 5-6'!C4+'Assets-Liab 5-6'!D4+'Assets-Liab 5-6'!F4+'Assets-Liab 5-6'!I4+'Assets-Liab 5-6'!C5+'Assets-Liab 5-6'!D5+'Assets-Liab 5-6'!F5+'Assets-Liab 5-6'!I5)</f>
        <v>7435465</v>
      </c>
      <c r="I24" s="422"/>
      <c r="J24" s="422"/>
      <c r="K24" s="423">
        <f>TRUNC(((H24/H25*100000)/100000),2)</f>
        <v>198.73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37414.388890000002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2531852.7062300001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14615900</v>
      </c>
      <c r="I32" s="420"/>
      <c r="J32" s="420"/>
      <c r="K32" s="423">
        <f>TRUNC(100-((((H32/H33*100))*100)/100),2)</f>
        <v>10.32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16298720.598000001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A47" sqref="A47"/>
      <selection pane="bottomLeft" activeCell="G13" sqref="G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9" t="s">
        <v>1029</v>
      </c>
      <c r="B3" s="2130"/>
      <c r="C3" s="1578"/>
      <c r="D3" s="1579"/>
      <c r="E3" s="1579"/>
      <c r="F3" s="1579"/>
      <c r="G3" s="1579"/>
      <c r="H3" s="1579"/>
      <c r="I3" s="1579"/>
      <c r="J3" s="1579"/>
      <c r="K3" s="1579"/>
      <c r="L3" s="1579"/>
      <c r="M3" s="1580"/>
      <c r="N3" s="1581"/>
    </row>
    <row r="4" spans="1:14" ht="13.5" customHeight="1" x14ac:dyDescent="0.2">
      <c r="A4" s="463" t="s">
        <v>1749</v>
      </c>
      <c r="B4" s="464"/>
      <c r="C4" s="465">
        <v>653104</v>
      </c>
      <c r="D4" s="466">
        <v>42554</v>
      </c>
      <c r="E4" s="466">
        <v>74</v>
      </c>
      <c r="F4" s="466">
        <v>159219</v>
      </c>
      <c r="G4" s="466">
        <v>28995</v>
      </c>
      <c r="H4" s="466">
        <v>6180</v>
      </c>
      <c r="I4" s="466">
        <v>189</v>
      </c>
      <c r="J4" s="467">
        <v>10593</v>
      </c>
      <c r="K4" s="466">
        <v>10139</v>
      </c>
      <c r="L4" s="466">
        <v>182733</v>
      </c>
      <c r="M4" s="468"/>
      <c r="N4" s="469"/>
    </row>
    <row r="5" spans="1:14" x14ac:dyDescent="0.2">
      <c r="A5" s="463" t="s">
        <v>1048</v>
      </c>
      <c r="B5" s="470">
        <v>120</v>
      </c>
      <c r="C5" s="465">
        <v>4419317</v>
      </c>
      <c r="D5" s="466">
        <v>1262866</v>
      </c>
      <c r="E5" s="466">
        <v>48896</v>
      </c>
      <c r="F5" s="466">
        <v>488938</v>
      </c>
      <c r="G5" s="466">
        <v>94676</v>
      </c>
      <c r="H5" s="466">
        <v>0</v>
      </c>
      <c r="I5" s="466">
        <v>409278</v>
      </c>
      <c r="J5" s="467">
        <v>349440</v>
      </c>
      <c r="K5" s="471">
        <v>171671</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6</v>
      </c>
      <c r="H12" s="466">
        <v>0</v>
      </c>
      <c r="I12" s="466">
        <v>0</v>
      </c>
      <c r="J12" s="467">
        <v>0</v>
      </c>
      <c r="K12" s="466">
        <v>0</v>
      </c>
      <c r="L12" s="466">
        <v>0</v>
      </c>
      <c r="M12" s="469"/>
      <c r="N12" s="469"/>
    </row>
    <row r="13" spans="1:14" ht="13.5" customHeight="1" thickBot="1" x14ac:dyDescent="0.25">
      <c r="A13" s="1751" t="s">
        <v>664</v>
      </c>
      <c r="B13" s="1724"/>
      <c r="C13" s="1752">
        <f>SUM(C4:C12)</f>
        <v>5072421</v>
      </c>
      <c r="D13" s="1752">
        <f t="shared" ref="D13:L13" si="0">SUM(D4:D12)</f>
        <v>1305420</v>
      </c>
      <c r="E13" s="1752">
        <f t="shared" si="0"/>
        <v>48970</v>
      </c>
      <c r="F13" s="1752">
        <f t="shared" si="0"/>
        <v>648157</v>
      </c>
      <c r="G13" s="1752">
        <f t="shared" si="0"/>
        <v>123677</v>
      </c>
      <c r="H13" s="1752">
        <f t="shared" si="0"/>
        <v>6180</v>
      </c>
      <c r="I13" s="1752">
        <f t="shared" si="0"/>
        <v>409467</v>
      </c>
      <c r="J13" s="1752">
        <f t="shared" si="0"/>
        <v>360033</v>
      </c>
      <c r="K13" s="1752">
        <f t="shared" si="0"/>
        <v>181810</v>
      </c>
      <c r="L13" s="1752">
        <f t="shared" si="0"/>
        <v>182733</v>
      </c>
      <c r="M13" s="468"/>
      <c r="N13" s="469"/>
    </row>
    <row r="14" spans="1:14" ht="18" customHeight="1" thickTop="1" x14ac:dyDescent="0.2">
      <c r="A14" s="2131" t="s">
        <v>149</v>
      </c>
      <c r="B14" s="2132"/>
      <c r="C14" s="1582"/>
      <c r="D14" s="1583"/>
      <c r="E14" s="1583"/>
      <c r="F14" s="1583"/>
      <c r="G14" s="1583"/>
      <c r="H14" s="1583"/>
      <c r="I14" s="1583"/>
      <c r="J14" s="1583"/>
      <c r="K14" s="1583"/>
      <c r="L14" s="1583"/>
      <c r="M14" s="1584"/>
      <c r="N14" s="158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143601</v>
      </c>
      <c r="N16" s="484"/>
    </row>
    <row r="17" spans="1:14" s="485" customFormat="1" ht="12.75" customHeight="1" x14ac:dyDescent="0.2">
      <c r="A17" s="482" t="s">
        <v>1469</v>
      </c>
      <c r="B17" s="483">
        <v>230</v>
      </c>
      <c r="C17" s="477"/>
      <c r="D17" s="477"/>
      <c r="E17" s="477"/>
      <c r="F17" s="477"/>
      <c r="G17" s="477"/>
      <c r="H17" s="477"/>
      <c r="I17" s="477"/>
      <c r="J17" s="477"/>
      <c r="K17" s="477"/>
      <c r="L17" s="477"/>
      <c r="M17" s="467">
        <v>26762862</v>
      </c>
      <c r="N17" s="484"/>
    </row>
    <row r="18" spans="1:14" s="485" customFormat="1" ht="12.75" customHeight="1" x14ac:dyDescent="0.2">
      <c r="A18" s="482" t="s">
        <v>1470</v>
      </c>
      <c r="B18" s="483">
        <v>240</v>
      </c>
      <c r="C18" s="477"/>
      <c r="D18" s="477"/>
      <c r="E18" s="477"/>
      <c r="F18" s="477"/>
      <c r="G18" s="477"/>
      <c r="H18" s="477"/>
      <c r="I18" s="477"/>
      <c r="J18" s="477"/>
      <c r="K18" s="477"/>
      <c r="L18" s="477"/>
      <c r="M18" s="467">
        <v>2545958</v>
      </c>
      <c r="N18" s="484"/>
    </row>
    <row r="19" spans="1:14" s="485" customFormat="1" ht="12.75" customHeight="1" x14ac:dyDescent="0.2">
      <c r="A19" s="482" t="s">
        <v>1471</v>
      </c>
      <c r="B19" s="483">
        <v>250</v>
      </c>
      <c r="C19" s="477"/>
      <c r="D19" s="477"/>
      <c r="E19" s="477"/>
      <c r="F19" s="477"/>
      <c r="G19" s="477"/>
      <c r="H19" s="477"/>
      <c r="I19" s="477"/>
      <c r="J19" s="477"/>
      <c r="K19" s="477"/>
      <c r="L19" s="477"/>
      <c r="M19" s="467">
        <v>3723344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48970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14566930</v>
      </c>
    </row>
    <row r="23" spans="1:14" ht="13.5" customHeight="1" thickBot="1" x14ac:dyDescent="0.25">
      <c r="A23" s="1751" t="s">
        <v>663</v>
      </c>
      <c r="B23" s="1756"/>
      <c r="C23" s="468"/>
      <c r="D23" s="468"/>
      <c r="E23" s="468"/>
      <c r="F23" s="468"/>
      <c r="G23" s="468"/>
      <c r="H23" s="468"/>
      <c r="I23" s="468"/>
      <c r="J23" s="468"/>
      <c r="K23" s="468"/>
      <c r="L23" s="468"/>
      <c r="M23" s="1703">
        <f>SUM(M15:M22)</f>
        <v>33175765</v>
      </c>
      <c r="N23" s="1703">
        <f>SUM(N21:N22)</f>
        <v>14615900</v>
      </c>
    </row>
    <row r="24" spans="1:14" ht="18" customHeight="1" thickTop="1" x14ac:dyDescent="0.2">
      <c r="A24" s="2133" t="s">
        <v>618</v>
      </c>
      <c r="B24" s="2134"/>
      <c r="C24" s="1587"/>
      <c r="D24" s="1584"/>
      <c r="E24" s="1584"/>
      <c r="F24" s="1584"/>
      <c r="G24" s="1584"/>
      <c r="H24" s="1584"/>
      <c r="I24" s="1584"/>
      <c r="J24" s="1584"/>
      <c r="K24" s="1584"/>
      <c r="L24" s="1584"/>
      <c r="M24" s="1583"/>
      <c r="N24" s="1588"/>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17803</v>
      </c>
      <c r="D31" s="467">
        <v>0</v>
      </c>
      <c r="E31" s="467">
        <v>0</v>
      </c>
      <c r="F31" s="466">
        <v>213</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182733</v>
      </c>
      <c r="M33" s="468"/>
      <c r="N33" s="469"/>
    </row>
    <row r="34" spans="1:14" ht="13.5" customHeight="1" thickBot="1" x14ac:dyDescent="0.25">
      <c r="A34" s="1753" t="s">
        <v>674</v>
      </c>
      <c r="B34" s="1754"/>
      <c r="C34" s="1755">
        <f>SUM(C25:C33)</f>
        <v>17803</v>
      </c>
      <c r="D34" s="1755">
        <f t="shared" ref="D34:K34" si="1">SUM(D25:D33)</f>
        <v>0</v>
      </c>
      <c r="E34" s="1755">
        <f t="shared" si="1"/>
        <v>0</v>
      </c>
      <c r="F34" s="1755">
        <f t="shared" si="1"/>
        <v>213</v>
      </c>
      <c r="G34" s="1755">
        <f t="shared" si="1"/>
        <v>0</v>
      </c>
      <c r="H34" s="1755">
        <f t="shared" si="1"/>
        <v>0</v>
      </c>
      <c r="I34" s="1755">
        <f t="shared" si="1"/>
        <v>0</v>
      </c>
      <c r="J34" s="1755">
        <f t="shared" si="1"/>
        <v>0</v>
      </c>
      <c r="K34" s="1755">
        <f t="shared" si="1"/>
        <v>0</v>
      </c>
      <c r="L34" s="1736">
        <f>SUM(L33)</f>
        <v>182733</v>
      </c>
      <c r="M34" s="468"/>
      <c r="N34" s="480"/>
    </row>
    <row r="35" spans="1:14" ht="18" customHeight="1" thickTop="1" x14ac:dyDescent="0.2">
      <c r="A35" s="2135" t="s">
        <v>549</v>
      </c>
      <c r="B35" s="2136"/>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14615900</v>
      </c>
    </row>
    <row r="37" spans="1:14" ht="13.5" thickBot="1" x14ac:dyDescent="0.25">
      <c r="A37" s="1751" t="s">
        <v>673</v>
      </c>
      <c r="B37" s="1756"/>
      <c r="C37" s="477"/>
      <c r="D37" s="477"/>
      <c r="E37" s="477"/>
      <c r="F37" s="477"/>
      <c r="G37" s="477"/>
      <c r="H37" s="477"/>
      <c r="I37" s="477"/>
      <c r="J37" s="477"/>
      <c r="K37" s="477"/>
      <c r="L37" s="480"/>
      <c r="M37" s="468"/>
      <c r="N37" s="1703">
        <f>SUM(N36:N36)</f>
        <v>14615900</v>
      </c>
    </row>
    <row r="38" spans="1:14" s="329" customFormat="1" ht="13.5" customHeight="1" thickTop="1" x14ac:dyDescent="0.2">
      <c r="A38" s="496" t="s">
        <v>439</v>
      </c>
      <c r="B38" s="483">
        <v>714</v>
      </c>
      <c r="C38" s="466"/>
      <c r="D38" s="466">
        <v>42485</v>
      </c>
      <c r="E38" s="466"/>
      <c r="F38" s="466"/>
      <c r="G38" s="466"/>
      <c r="H38" s="466">
        <v>6180</v>
      </c>
      <c r="I38" s="466"/>
      <c r="J38" s="467"/>
      <c r="K38" s="466"/>
      <c r="L38" s="481"/>
      <c r="M38" s="497"/>
      <c r="N38" s="497"/>
    </row>
    <row r="39" spans="1:14" s="329" customFormat="1" ht="13.5" customHeight="1" x14ac:dyDescent="0.2">
      <c r="A39" s="496" t="s">
        <v>359</v>
      </c>
      <c r="B39" s="483">
        <v>730</v>
      </c>
      <c r="C39" s="466">
        <v>5054618</v>
      </c>
      <c r="D39" s="466">
        <v>1262935</v>
      </c>
      <c r="E39" s="466">
        <v>48970</v>
      </c>
      <c r="F39" s="466">
        <v>647944</v>
      </c>
      <c r="G39" s="466">
        <v>123677</v>
      </c>
      <c r="H39" s="466"/>
      <c r="I39" s="466">
        <v>409467</v>
      </c>
      <c r="J39" s="467">
        <v>360033</v>
      </c>
      <c r="K39" s="466">
        <v>181810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33175765</v>
      </c>
      <c r="N40" s="497"/>
    </row>
    <row r="41" spans="1:14" ht="13.5" customHeight="1" thickBot="1" x14ac:dyDescent="0.25">
      <c r="A41" s="1751" t="s">
        <v>675</v>
      </c>
      <c r="B41" s="1721"/>
      <c r="C41" s="1703">
        <f>(SUM(C34,C37,C38,C39))</f>
        <v>5072421</v>
      </c>
      <c r="D41" s="1703">
        <f t="shared" ref="D41:L41" si="2">SUM(D34,D37,D38:D39)</f>
        <v>1305420</v>
      </c>
      <c r="E41" s="1703">
        <f t="shared" si="2"/>
        <v>48970</v>
      </c>
      <c r="F41" s="1703">
        <f t="shared" si="2"/>
        <v>648157</v>
      </c>
      <c r="G41" s="1703">
        <f t="shared" si="2"/>
        <v>123677</v>
      </c>
      <c r="H41" s="1703">
        <f t="shared" si="2"/>
        <v>6180</v>
      </c>
      <c r="I41" s="1703">
        <f t="shared" si="2"/>
        <v>409467</v>
      </c>
      <c r="J41" s="1703">
        <f t="shared" si="2"/>
        <v>360033</v>
      </c>
      <c r="K41" s="1703">
        <f t="shared" si="2"/>
        <v>181810</v>
      </c>
      <c r="L41" s="1703">
        <f t="shared" si="2"/>
        <v>182733</v>
      </c>
      <c r="M41" s="1703">
        <f>SUM(M40)</f>
        <v>33175765</v>
      </c>
      <c r="N41" s="1703">
        <f>SUM(N37)</f>
        <v>14615900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1"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6"/>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7" t="s">
        <v>1236</v>
      </c>
      <c r="B3" s="2158"/>
      <c r="C3" s="1592"/>
      <c r="D3" s="1593"/>
      <c r="E3" s="1593"/>
      <c r="F3" s="1593"/>
      <c r="G3" s="1593"/>
      <c r="H3" s="1593"/>
      <c r="I3" s="1593"/>
      <c r="J3" s="1593"/>
      <c r="K3" s="1594"/>
      <c r="L3" s="506"/>
    </row>
    <row r="4" spans="1:13" ht="15.75" customHeight="1" x14ac:dyDescent="0.2">
      <c r="A4" s="1945" t="s">
        <v>1578</v>
      </c>
      <c r="B4" s="1946">
        <v>1000</v>
      </c>
      <c r="C4" s="1757">
        <f>'Revenues 9-14'!C109</f>
        <v>3691512</v>
      </c>
      <c r="D4" s="1757">
        <f>'Revenues 9-14'!D109</f>
        <v>951504</v>
      </c>
      <c r="E4" s="1757">
        <f>'Revenues 9-14'!E109</f>
        <v>1475553</v>
      </c>
      <c r="F4" s="1757">
        <f>'Revenues 9-14'!F109</f>
        <v>290336</v>
      </c>
      <c r="G4" s="1757">
        <f>'Revenues 9-14'!G109</f>
        <v>437187</v>
      </c>
      <c r="H4" s="1757">
        <f>'Revenues 9-14'!H109</f>
        <v>6180</v>
      </c>
      <c r="I4" s="1757">
        <f>'Revenues 9-14'!I109</f>
        <v>60264</v>
      </c>
      <c r="J4" s="1757">
        <f>'Revenues 9-14'!J109</f>
        <v>923715</v>
      </c>
      <c r="K4" s="1757">
        <f>'Revenues 9-14'!K109</f>
        <v>138449</v>
      </c>
      <c r="L4" s="347"/>
    </row>
    <row r="5" spans="1:13" ht="15.75" customHeight="1" x14ac:dyDescent="0.2">
      <c r="A5" s="1595" t="s">
        <v>1579</v>
      </c>
      <c r="B5" s="1596">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x14ac:dyDescent="0.2">
      <c r="A6" s="1595" t="s">
        <v>1580</v>
      </c>
      <c r="B6" s="1597">
        <v>3000</v>
      </c>
      <c r="C6" s="1758">
        <f>'Revenues 9-14'!C173</f>
        <v>7577443</v>
      </c>
      <c r="D6" s="1758">
        <f>'Revenues 9-14'!D173</f>
        <v>32639</v>
      </c>
      <c r="E6" s="1758">
        <f>'Revenues 9-14'!E173</f>
        <v>0</v>
      </c>
      <c r="F6" s="1758">
        <f>'Revenues 9-14'!F173</f>
        <v>544409</v>
      </c>
      <c r="G6" s="1758">
        <f>'Revenues 9-14'!G173</f>
        <v>10920</v>
      </c>
      <c r="H6" s="1758">
        <f>'Revenues 9-14'!H173</f>
        <v>0</v>
      </c>
      <c r="I6" s="1758">
        <f>'Revenues 9-14'!I173</f>
        <v>0</v>
      </c>
      <c r="J6" s="1758">
        <f>'Revenues 9-14'!J173</f>
        <v>0</v>
      </c>
      <c r="K6" s="1758">
        <f>'Revenues 9-14'!K173</f>
        <v>0</v>
      </c>
      <c r="L6" s="347"/>
      <c r="M6" s="513"/>
    </row>
    <row r="7" spans="1:13" ht="15.75" customHeight="1" x14ac:dyDescent="0.2">
      <c r="A7" s="1595" t="s">
        <v>1581</v>
      </c>
      <c r="B7" s="1597">
        <v>4000</v>
      </c>
      <c r="C7" s="1758">
        <f>'Revenues 9-14'!C274</f>
        <v>1211781</v>
      </c>
      <c r="D7" s="1758">
        <f>'Revenues 9-14'!D274</f>
        <v>0</v>
      </c>
      <c r="E7" s="1758">
        <f>'Revenues 9-14'!E274</f>
        <v>0</v>
      </c>
      <c r="F7" s="1758">
        <f>'Revenues 9-14'!F274</f>
        <v>0</v>
      </c>
      <c r="G7" s="1758">
        <f>'Revenues 9-14'!G274</f>
        <v>2075</v>
      </c>
      <c r="H7" s="1758">
        <f>'Revenues 9-14'!H274</f>
        <v>0</v>
      </c>
      <c r="I7" s="1758">
        <f>'Revenues 9-14'!I274</f>
        <v>0</v>
      </c>
      <c r="J7" s="1758">
        <f>'Revenues 9-14'!J274</f>
        <v>0</v>
      </c>
      <c r="K7" s="1758">
        <f>'Revenues 9-14'!K274</f>
        <v>0</v>
      </c>
      <c r="L7" s="347"/>
      <c r="M7" s="513"/>
    </row>
    <row r="8" spans="1:13" ht="13.5" thickBot="1" x14ac:dyDescent="0.25">
      <c r="A8" s="1751" t="s">
        <v>1233</v>
      </c>
      <c r="B8" s="1724"/>
      <c r="C8" s="1703">
        <f>SUM(C4:C7)</f>
        <v>12480736</v>
      </c>
      <c r="D8" s="1703">
        <f t="shared" ref="D8:K8" si="0">SUM(D4:D7)</f>
        <v>984143</v>
      </c>
      <c r="E8" s="1703">
        <f t="shared" si="0"/>
        <v>1475553</v>
      </c>
      <c r="F8" s="1703">
        <f t="shared" si="0"/>
        <v>834745</v>
      </c>
      <c r="G8" s="1703">
        <f t="shared" si="0"/>
        <v>450182</v>
      </c>
      <c r="H8" s="1703">
        <f t="shared" si="0"/>
        <v>6180</v>
      </c>
      <c r="I8" s="1703">
        <f t="shared" si="0"/>
        <v>60264</v>
      </c>
      <c r="J8" s="1703">
        <f t="shared" si="0"/>
        <v>923715</v>
      </c>
      <c r="K8" s="1703">
        <f t="shared" si="0"/>
        <v>138449</v>
      </c>
      <c r="L8" s="347"/>
    </row>
    <row r="9" spans="1:13" ht="15.75" thickTop="1" x14ac:dyDescent="0.2">
      <c r="A9" s="514" t="s">
        <v>1751</v>
      </c>
      <c r="B9" s="515">
        <v>3998</v>
      </c>
      <c r="C9" s="481">
        <v>5617358</v>
      </c>
      <c r="D9" s="516"/>
      <c r="E9" s="481"/>
      <c r="F9" s="481"/>
      <c r="G9" s="517"/>
      <c r="H9" s="481"/>
      <c r="I9" s="509" t="s">
        <v>1230</v>
      </c>
      <c r="J9" s="478"/>
      <c r="K9" s="481"/>
      <c r="L9" s="347"/>
    </row>
    <row r="10" spans="1:13" s="519" customFormat="1" ht="13.5" thickBot="1" x14ac:dyDescent="0.25">
      <c r="A10" s="1751" t="s">
        <v>1234</v>
      </c>
      <c r="B10" s="1724"/>
      <c r="C10" s="1703">
        <f>SUM(C8:C9)</f>
        <v>18098094</v>
      </c>
      <c r="D10" s="1703">
        <f t="shared" ref="D10:K10" si="1">SUM(D8:D9)</f>
        <v>984143</v>
      </c>
      <c r="E10" s="1703">
        <f t="shared" si="1"/>
        <v>1475553</v>
      </c>
      <c r="F10" s="1703">
        <f t="shared" si="1"/>
        <v>834745</v>
      </c>
      <c r="G10" s="1703">
        <f t="shared" si="1"/>
        <v>450182</v>
      </c>
      <c r="H10" s="1703">
        <f t="shared" si="1"/>
        <v>6180</v>
      </c>
      <c r="I10" s="1703">
        <f t="shared" si="1"/>
        <v>60264</v>
      </c>
      <c r="J10" s="1703">
        <f t="shared" si="1"/>
        <v>923715</v>
      </c>
      <c r="K10" s="1703">
        <f t="shared" si="1"/>
        <v>138449</v>
      </c>
      <c r="L10" s="518"/>
    </row>
    <row r="11" spans="1:13" s="519" customFormat="1" ht="16.7" customHeight="1" thickTop="1" x14ac:dyDescent="0.2">
      <c r="A11" s="2131" t="s">
        <v>1237</v>
      </c>
      <c r="B11" s="2132"/>
      <c r="C11" s="1589"/>
      <c r="D11" s="1590"/>
      <c r="E11" s="1590"/>
      <c r="F11" s="1590"/>
      <c r="G11" s="1590"/>
      <c r="H11" s="1590"/>
      <c r="I11" s="1590"/>
      <c r="J11" s="1590"/>
      <c r="K11" s="1591"/>
      <c r="L11" s="518"/>
    </row>
    <row r="12" spans="1:13" ht="15.75" customHeight="1" x14ac:dyDescent="0.2">
      <c r="A12" s="1595" t="s">
        <v>475</v>
      </c>
      <c r="B12" s="1597">
        <v>1000</v>
      </c>
      <c r="C12" s="1757">
        <f>'Expenditures 15-22'!K33</f>
        <v>8370889</v>
      </c>
      <c r="D12" s="520" t="s">
        <v>1230</v>
      </c>
      <c r="E12" s="468" t="s">
        <v>1230</v>
      </c>
      <c r="F12" s="468" t="s">
        <v>1230</v>
      </c>
      <c r="G12" s="1757">
        <f>'Expenditures 15-22'!K229</f>
        <v>170620</v>
      </c>
      <c r="H12" s="521"/>
      <c r="I12" s="468" t="s">
        <v>1230</v>
      </c>
      <c r="J12" s="468" t="s">
        <v>1230</v>
      </c>
      <c r="K12" s="521" t="s">
        <v>1230</v>
      </c>
      <c r="L12" s="347"/>
    </row>
    <row r="13" spans="1:13" ht="15.75" customHeight="1" x14ac:dyDescent="0.2">
      <c r="A13" s="1595" t="s">
        <v>476</v>
      </c>
      <c r="B13" s="1597">
        <v>2000</v>
      </c>
      <c r="C13" s="1758">
        <f>'Expenditures 15-22'!K74</f>
        <v>3306150</v>
      </c>
      <c r="D13" s="1758">
        <f>'Expenditures 15-22'!K129</f>
        <v>781133</v>
      </c>
      <c r="E13" s="469" t="s">
        <v>1230</v>
      </c>
      <c r="F13" s="1758">
        <f>'Expenditures 15-22'!K184</f>
        <v>620261</v>
      </c>
      <c r="G13" s="1758">
        <f>'Expenditures 15-22'!K279</f>
        <v>356141</v>
      </c>
      <c r="H13" s="1758">
        <f>'Expenditures 15-22'!K303</f>
        <v>0</v>
      </c>
      <c r="I13" s="468" t="s">
        <v>1230</v>
      </c>
      <c r="J13" s="1758">
        <f>'Expenditures 15-22'!K330</f>
        <v>904826</v>
      </c>
      <c r="K13" s="1762">
        <f>'Expenditures 15-22'!K352</f>
        <v>382317</v>
      </c>
      <c r="L13" s="347"/>
    </row>
    <row r="14" spans="1:13" ht="15.75" customHeight="1" x14ac:dyDescent="0.2">
      <c r="A14" s="1595" t="s">
        <v>468</v>
      </c>
      <c r="B14" s="1597">
        <v>3000</v>
      </c>
      <c r="C14" s="1758">
        <f>'Expenditures 15-22'!K75</f>
        <v>11169</v>
      </c>
      <c r="D14" s="1758">
        <f>'Expenditures 15-22'!K130</f>
        <v>0</v>
      </c>
      <c r="E14" s="520" t="s">
        <v>1230</v>
      </c>
      <c r="F14" s="1758">
        <f>'Expenditures 15-22'!K185</f>
        <v>0</v>
      </c>
      <c r="G14" s="1758">
        <f>'Expenditures 15-22'!K280</f>
        <v>162</v>
      </c>
      <c r="H14" s="512"/>
      <c r="I14" s="468" t="s">
        <v>1230</v>
      </c>
      <c r="J14" s="468" t="s">
        <v>1230</v>
      </c>
      <c r="K14" s="512" t="s">
        <v>1230</v>
      </c>
      <c r="L14" s="347"/>
    </row>
    <row r="15" spans="1:13" ht="15.75" customHeight="1" x14ac:dyDescent="0.2">
      <c r="A15" s="1595" t="s">
        <v>109</v>
      </c>
      <c r="B15" s="1597">
        <v>4000</v>
      </c>
      <c r="C15" s="1758">
        <f>'Expenditures 15-22'!K102</f>
        <v>379578</v>
      </c>
      <c r="D15" s="1758">
        <f>'Expenditures 15-22'!K139</f>
        <v>0</v>
      </c>
      <c r="E15" s="1758">
        <f>'Expenditures 15-22'!K160</f>
        <v>0</v>
      </c>
      <c r="F15" s="1758">
        <f>'Expenditures 15-22'!K196</f>
        <v>0</v>
      </c>
      <c r="G15" s="1758">
        <f>'Expenditures 15-22'!K285</f>
        <v>0</v>
      </c>
      <c r="H15" s="1758">
        <f>'Expenditures 15-22'!K310</f>
        <v>0</v>
      </c>
      <c r="I15" s="468" t="s">
        <v>1230</v>
      </c>
      <c r="J15" s="1851">
        <f>'Expenditures 15-22'!K334</f>
        <v>0</v>
      </c>
      <c r="K15" s="1758">
        <f>'Expenditures 15-22'!K357</f>
        <v>0</v>
      </c>
      <c r="L15" s="347"/>
    </row>
    <row r="16" spans="1:13" ht="15.75" customHeight="1" x14ac:dyDescent="0.2">
      <c r="A16" s="1595" t="s">
        <v>469</v>
      </c>
      <c r="B16" s="1597">
        <v>5000</v>
      </c>
      <c r="C16" s="1758">
        <f>'Expenditures 15-22'!K112</f>
        <v>0</v>
      </c>
      <c r="D16" s="1758">
        <f>'Expenditures 15-22'!K149</f>
        <v>0</v>
      </c>
      <c r="E16" s="1758">
        <f>'Expenditures 15-22'!K172</f>
        <v>1637123</v>
      </c>
      <c r="F16" s="1758">
        <f>'Expenditures 15-22'!K208</f>
        <v>0</v>
      </c>
      <c r="G16" s="1758">
        <f>'Expenditures 15-22'!K293</f>
        <v>0</v>
      </c>
      <c r="H16" s="523"/>
      <c r="I16" s="468" t="s">
        <v>1230</v>
      </c>
      <c r="J16" s="1763">
        <f>'Expenditures 15-22'!K340</f>
        <v>0</v>
      </c>
      <c r="K16" s="1758">
        <f>'Expenditures 15-22'!K365</f>
        <v>0</v>
      </c>
      <c r="L16" s="347"/>
    </row>
    <row r="17" spans="1:12" ht="13.5" thickBot="1" x14ac:dyDescent="0.25">
      <c r="A17" s="1723" t="s">
        <v>50</v>
      </c>
      <c r="B17" s="1724"/>
      <c r="C17" s="1703">
        <f t="shared" ref="C17:H17" si="2">SUM(C12:C16)</f>
        <v>12067786</v>
      </c>
      <c r="D17" s="1703">
        <f t="shared" si="2"/>
        <v>781133</v>
      </c>
      <c r="E17" s="1703">
        <f t="shared" si="2"/>
        <v>1637123</v>
      </c>
      <c r="F17" s="1703">
        <f t="shared" si="2"/>
        <v>620261</v>
      </c>
      <c r="G17" s="1703">
        <f t="shared" si="2"/>
        <v>526923</v>
      </c>
      <c r="H17" s="1703">
        <f t="shared" si="2"/>
        <v>0</v>
      </c>
      <c r="I17" s="468"/>
      <c r="J17" s="1703">
        <f>SUM(J12:J16)</f>
        <v>904826</v>
      </c>
      <c r="K17" s="1703">
        <f>SUM(K12:K16)</f>
        <v>382317</v>
      </c>
      <c r="L17" s="347"/>
    </row>
    <row r="18" spans="1:12" ht="15" customHeight="1" thickTop="1" x14ac:dyDescent="0.2">
      <c r="A18" s="1759" t="s">
        <v>1752</v>
      </c>
      <c r="B18" s="1760">
        <v>4180</v>
      </c>
      <c r="C18" s="1757">
        <f t="shared" ref="C18:H18" si="3">C9</f>
        <v>5617358</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525</v>
      </c>
      <c r="B19" s="1724"/>
      <c r="C19" s="1703">
        <f t="shared" ref="C19:H19" si="4">SUM(C17:C18)</f>
        <v>17685144</v>
      </c>
      <c r="D19" s="1703">
        <f t="shared" si="4"/>
        <v>781133</v>
      </c>
      <c r="E19" s="1703">
        <f t="shared" si="4"/>
        <v>1637123</v>
      </c>
      <c r="F19" s="1703">
        <f t="shared" si="4"/>
        <v>620261</v>
      </c>
      <c r="G19" s="1703">
        <f t="shared" si="4"/>
        <v>526923</v>
      </c>
      <c r="H19" s="1703">
        <f t="shared" si="4"/>
        <v>0</v>
      </c>
      <c r="I19" s="468"/>
      <c r="J19" s="1703">
        <f>SUM(J17:J18)</f>
        <v>904826</v>
      </c>
      <c r="K19" s="1703">
        <f>SUM(K17:K18)</f>
        <v>382317</v>
      </c>
      <c r="L19" s="347"/>
    </row>
    <row r="20" spans="1:12" ht="16.5" thickTop="1" thickBot="1" x14ac:dyDescent="0.25">
      <c r="A20" s="2147" t="s">
        <v>1753</v>
      </c>
      <c r="B20" s="2148"/>
      <c r="C20" s="1761">
        <f>C8-C17</f>
        <v>412950</v>
      </c>
      <c r="D20" s="1761">
        <f t="shared" ref="D20:K20" si="5">D8-D17</f>
        <v>203010</v>
      </c>
      <c r="E20" s="1761">
        <f t="shared" si="5"/>
        <v>-161570</v>
      </c>
      <c r="F20" s="1761">
        <f t="shared" si="5"/>
        <v>214484</v>
      </c>
      <c r="G20" s="1761">
        <f t="shared" si="5"/>
        <v>-76741</v>
      </c>
      <c r="H20" s="1761">
        <f t="shared" si="5"/>
        <v>6180</v>
      </c>
      <c r="I20" s="1761">
        <f t="shared" si="5"/>
        <v>60264</v>
      </c>
      <c r="J20" s="1761">
        <f t="shared" si="5"/>
        <v>18889</v>
      </c>
      <c r="K20" s="1761">
        <f t="shared" si="5"/>
        <v>-243868</v>
      </c>
      <c r="L20" s="347"/>
    </row>
    <row r="21" spans="1:12" ht="16.7" customHeight="1" thickTop="1" x14ac:dyDescent="0.2">
      <c r="A21" s="2159" t="s">
        <v>615</v>
      </c>
      <c r="B21" s="2160"/>
      <c r="C21" s="1589"/>
      <c r="D21" s="1590"/>
      <c r="E21" s="1590"/>
      <c r="F21" s="1590"/>
      <c r="G21" s="1590"/>
      <c r="H21" s="1590"/>
      <c r="I21" s="1590"/>
      <c r="J21" s="1590"/>
      <c r="K21" s="1591"/>
      <c r="L21" s="524"/>
    </row>
    <row r="22" spans="1:12" ht="15.75" customHeight="1" collapsed="1" x14ac:dyDescent="0.2">
      <c r="A22" s="2155" t="s">
        <v>616</v>
      </c>
      <c r="B22" s="2156"/>
      <c r="C22" s="477"/>
      <c r="D22" s="477"/>
      <c r="E22" s="477"/>
      <c r="F22" s="477"/>
      <c r="G22" s="477"/>
      <c r="H22" s="477"/>
      <c r="I22" s="477"/>
      <c r="J22" s="477"/>
      <c r="K22" s="477"/>
      <c r="L22" s="347"/>
    </row>
    <row r="23" spans="1:12" s="485" customFormat="1" ht="15.75" customHeight="1" x14ac:dyDescent="0.2">
      <c r="A23" s="2151" t="s">
        <v>310</v>
      </c>
      <c r="B23" s="2152"/>
      <c r="C23" s="480"/>
      <c r="D23" s="477"/>
      <c r="E23" s="477"/>
      <c r="F23" s="477"/>
      <c r="G23" s="477"/>
      <c r="H23" s="477"/>
      <c r="I23" s="477"/>
      <c r="J23" s="477"/>
      <c r="K23" s="477"/>
      <c r="L23" s="524"/>
    </row>
    <row r="24" spans="1:12" s="485" customFormat="1" ht="13.5" customHeight="1" x14ac:dyDescent="0.2">
      <c r="A24" s="1508" t="s">
        <v>1754</v>
      </c>
      <c r="B24" s="525">
        <v>7110</v>
      </c>
      <c r="C24" s="467">
        <v>0</v>
      </c>
      <c r="D24" s="477"/>
      <c r="E24" s="477"/>
      <c r="F24" s="477"/>
      <c r="G24" s="477"/>
      <c r="H24" s="477"/>
      <c r="I24" s="477"/>
      <c r="J24" s="477"/>
      <c r="K24" s="477"/>
      <c r="L24" s="524"/>
    </row>
    <row r="25" spans="1:12" s="485" customFormat="1" ht="13.5" customHeight="1" x14ac:dyDescent="0.2">
      <c r="A25" s="1508" t="s">
        <v>1755</v>
      </c>
      <c r="B25" s="525">
        <v>7110</v>
      </c>
      <c r="C25" s="467">
        <v>0</v>
      </c>
      <c r="D25" s="467">
        <v>0</v>
      </c>
      <c r="E25" s="467">
        <v>171000</v>
      </c>
      <c r="F25" s="467">
        <v>0</v>
      </c>
      <c r="G25" s="467">
        <v>0</v>
      </c>
      <c r="H25" s="467">
        <v>0</v>
      </c>
      <c r="I25" s="477"/>
      <c r="J25" s="467">
        <v>0</v>
      </c>
      <c r="K25" s="467">
        <v>0</v>
      </c>
      <c r="L25" s="524"/>
    </row>
    <row r="26" spans="1:12" s="485" customFormat="1" ht="13.5" customHeight="1" x14ac:dyDescent="0.2">
      <c r="A26" s="1508"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8" t="s">
        <v>194</v>
      </c>
      <c r="B27" s="483">
        <v>7130</v>
      </c>
      <c r="C27" s="467">
        <v>64875</v>
      </c>
      <c r="D27" s="467">
        <v>0</v>
      </c>
      <c r="E27" s="526"/>
      <c r="F27" s="467">
        <v>0</v>
      </c>
      <c r="G27" s="480"/>
      <c r="H27" s="480"/>
      <c r="I27" s="480"/>
      <c r="J27" s="480"/>
      <c r="K27" s="480"/>
      <c r="L27" s="524"/>
    </row>
    <row r="28" spans="1:12" s="485" customFormat="1" ht="13.5" customHeight="1" x14ac:dyDescent="0.2">
      <c r="A28" s="1508"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8" t="s">
        <v>311</v>
      </c>
      <c r="B29" s="483">
        <v>7150</v>
      </c>
      <c r="C29" s="475"/>
      <c r="D29" s="467">
        <v>0</v>
      </c>
      <c r="E29" s="475"/>
      <c r="F29" s="475"/>
      <c r="G29" s="475"/>
      <c r="H29" s="475"/>
      <c r="I29" s="475"/>
      <c r="J29" s="475"/>
      <c r="K29" s="475"/>
      <c r="L29" s="524"/>
    </row>
    <row r="30" spans="1:12" s="485" customFormat="1" ht="26.25" x14ac:dyDescent="0.2">
      <c r="A30" s="1508" t="s">
        <v>1893</v>
      </c>
      <c r="B30" s="527">
        <v>7160</v>
      </c>
      <c r="C30" s="477"/>
      <c r="D30" s="467">
        <v>0</v>
      </c>
      <c r="E30" s="477"/>
      <c r="F30" s="477"/>
      <c r="G30" s="477"/>
      <c r="H30" s="477"/>
      <c r="I30" s="477"/>
      <c r="J30" s="477"/>
      <c r="K30" s="477"/>
      <c r="L30" s="524"/>
    </row>
    <row r="31" spans="1:12" s="485" customFormat="1" ht="26.25" x14ac:dyDescent="0.2">
      <c r="A31" s="1508" t="s">
        <v>1897</v>
      </c>
      <c r="B31" s="527">
        <v>7170</v>
      </c>
      <c r="C31" s="477"/>
      <c r="D31" s="477"/>
      <c r="E31" s="474">
        <v>0</v>
      </c>
      <c r="F31" s="477"/>
      <c r="G31" s="477"/>
      <c r="H31" s="477"/>
      <c r="I31" s="477"/>
      <c r="J31" s="477"/>
      <c r="K31" s="477"/>
      <c r="L31" s="524"/>
    </row>
    <row r="32" spans="1:12" s="485" customFormat="1" ht="15.75" customHeight="1" x14ac:dyDescent="0.2">
      <c r="A32" s="2153" t="s">
        <v>1037</v>
      </c>
      <c r="B32" s="2154"/>
      <c r="C32" s="477"/>
      <c r="D32" s="477"/>
      <c r="E32" s="475"/>
      <c r="F32" s="477"/>
      <c r="G32" s="477"/>
      <c r="H32" s="477"/>
      <c r="I32" s="477"/>
      <c r="J32" s="477"/>
      <c r="K32" s="477"/>
      <c r="L32" s="524"/>
    </row>
    <row r="33" spans="1:12" s="485" customFormat="1" x14ac:dyDescent="0.2">
      <c r="A33" s="1508" t="s">
        <v>431</v>
      </c>
      <c r="B33" s="525">
        <v>7210</v>
      </c>
      <c r="C33" s="467">
        <v>0</v>
      </c>
      <c r="D33" s="467">
        <v>0</v>
      </c>
      <c r="E33" s="467">
        <v>0</v>
      </c>
      <c r="F33" s="467">
        <v>0</v>
      </c>
      <c r="G33" s="477"/>
      <c r="H33" s="467">
        <v>0</v>
      </c>
      <c r="I33" s="467">
        <v>0</v>
      </c>
      <c r="J33" s="467">
        <v>0</v>
      </c>
      <c r="K33" s="467">
        <v>226800</v>
      </c>
      <c r="L33" s="524"/>
    </row>
    <row r="34" spans="1:12" s="485" customFormat="1" x14ac:dyDescent="0.2">
      <c r="A34" s="1508" t="s">
        <v>1057</v>
      </c>
      <c r="B34" s="525">
        <v>7220</v>
      </c>
      <c r="C34" s="467">
        <v>0</v>
      </c>
      <c r="D34" s="467">
        <v>0</v>
      </c>
      <c r="E34" s="467">
        <v>0</v>
      </c>
      <c r="F34" s="467">
        <v>0</v>
      </c>
      <c r="G34" s="477"/>
      <c r="H34" s="478">
        <v>0</v>
      </c>
      <c r="I34" s="478">
        <v>0</v>
      </c>
      <c r="J34" s="478">
        <v>0</v>
      </c>
      <c r="K34" s="478">
        <v>6434</v>
      </c>
      <c r="L34" s="524"/>
    </row>
    <row r="35" spans="1:12" s="485" customFormat="1" x14ac:dyDescent="0.2">
      <c r="A35" s="1508" t="s">
        <v>1046</v>
      </c>
      <c r="B35" s="525">
        <v>7230</v>
      </c>
      <c r="C35" s="467">
        <v>0</v>
      </c>
      <c r="D35" s="467">
        <v>0</v>
      </c>
      <c r="E35" s="467">
        <v>0</v>
      </c>
      <c r="F35" s="467">
        <v>0</v>
      </c>
      <c r="G35" s="480"/>
      <c r="H35" s="467">
        <v>0</v>
      </c>
      <c r="I35" s="467">
        <v>0</v>
      </c>
      <c r="J35" s="467">
        <v>0</v>
      </c>
      <c r="K35" s="467">
        <v>0</v>
      </c>
      <c r="L35" s="524"/>
    </row>
    <row r="36" spans="1:12" s="485" customFormat="1" ht="15" x14ac:dyDescent="0.2">
      <c r="A36" s="1508" t="s">
        <v>1756</v>
      </c>
      <c r="B36" s="525">
        <v>7300</v>
      </c>
      <c r="C36" s="467">
        <v>0</v>
      </c>
      <c r="D36" s="467">
        <v>0</v>
      </c>
      <c r="E36" s="467">
        <v>0</v>
      </c>
      <c r="F36" s="467">
        <v>0</v>
      </c>
      <c r="G36" s="467">
        <v>0</v>
      </c>
      <c r="H36" s="467">
        <v>0</v>
      </c>
      <c r="I36" s="475"/>
      <c r="J36" s="467">
        <v>0</v>
      </c>
      <c r="K36" s="467">
        <v>0</v>
      </c>
      <c r="L36" s="524"/>
    </row>
    <row r="37" spans="1:12" s="485" customFormat="1" x14ac:dyDescent="0.2">
      <c r="A37" s="1508" t="s">
        <v>460</v>
      </c>
      <c r="B37" s="525">
        <v>7400</v>
      </c>
      <c r="C37" s="475"/>
      <c r="D37" s="475"/>
      <c r="E37" s="1758">
        <f>SUM(C54:D57,H54:H57)</f>
        <v>0</v>
      </c>
      <c r="F37" s="475"/>
      <c r="G37" s="475"/>
      <c r="H37" s="475"/>
      <c r="I37" s="477"/>
      <c r="J37" s="475"/>
      <c r="K37" s="475"/>
      <c r="L37" s="524"/>
    </row>
    <row r="38" spans="1:12" s="485" customFormat="1" x14ac:dyDescent="0.2">
      <c r="A38" s="1508" t="s">
        <v>461</v>
      </c>
      <c r="B38" s="525">
        <v>7500</v>
      </c>
      <c r="C38" s="477"/>
      <c r="D38" s="477"/>
      <c r="E38" s="1758">
        <f>SUM(C58:D61,H58:H61)</f>
        <v>0</v>
      </c>
      <c r="F38" s="477"/>
      <c r="G38" s="477"/>
      <c r="H38" s="477"/>
      <c r="I38" s="477"/>
      <c r="J38" s="477"/>
      <c r="K38" s="477"/>
      <c r="L38" s="524"/>
    </row>
    <row r="39" spans="1:12" s="485" customFormat="1" x14ac:dyDescent="0.2">
      <c r="A39" s="1508" t="s">
        <v>462</v>
      </c>
      <c r="B39" s="525">
        <v>7600</v>
      </c>
      <c r="C39" s="477"/>
      <c r="D39" s="477"/>
      <c r="E39" s="1758">
        <f>SUM(C62:D65)</f>
        <v>0</v>
      </c>
      <c r="F39" s="477"/>
      <c r="G39" s="477"/>
      <c r="H39" s="477"/>
      <c r="I39" s="477"/>
      <c r="J39" s="477"/>
      <c r="K39" s="477"/>
      <c r="L39" s="524"/>
    </row>
    <row r="40" spans="1:12" s="485" customFormat="1" ht="13.5" customHeight="1" x14ac:dyDescent="0.2">
      <c r="A40" s="1508" t="s">
        <v>662</v>
      </c>
      <c r="B40" s="483">
        <v>7700</v>
      </c>
      <c r="C40" s="477"/>
      <c r="D40" s="477"/>
      <c r="E40" s="1758">
        <f>SUM(C66:D69)</f>
        <v>0</v>
      </c>
      <c r="F40" s="477"/>
      <c r="G40" s="477"/>
      <c r="H40" s="480"/>
      <c r="I40" s="477"/>
      <c r="J40" s="477"/>
      <c r="K40" s="477"/>
      <c r="L40" s="524"/>
    </row>
    <row r="41" spans="1:12" s="485" customFormat="1" ht="13.5" customHeight="1" x14ac:dyDescent="0.2">
      <c r="A41" s="1508" t="s">
        <v>660</v>
      </c>
      <c r="B41" s="483">
        <v>7800</v>
      </c>
      <c r="C41" s="480"/>
      <c r="D41" s="480"/>
      <c r="E41" s="526"/>
      <c r="F41" s="480"/>
      <c r="G41" s="480"/>
      <c r="H41" s="1758">
        <f>SUM(C70:D73)</f>
        <v>0</v>
      </c>
      <c r="I41" s="477"/>
      <c r="J41" s="477"/>
      <c r="K41" s="480"/>
      <c r="L41" s="524"/>
    </row>
    <row r="42" spans="1:12" s="485" customFormat="1" ht="13.5" customHeight="1" x14ac:dyDescent="0.2">
      <c r="A42" s="1508"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08"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1" t="s">
        <v>391</v>
      </c>
      <c r="B44" s="2162"/>
      <c r="C44" s="1718">
        <f>SUM(C24:C43)</f>
        <v>64875</v>
      </c>
      <c r="D44" s="1718">
        <f t="shared" ref="D44:K44" si="6">SUM(D24:D43)</f>
        <v>0</v>
      </c>
      <c r="E44" s="1718">
        <f t="shared" si="6"/>
        <v>171000</v>
      </c>
      <c r="F44" s="1718">
        <f t="shared" si="6"/>
        <v>0</v>
      </c>
      <c r="G44" s="1718">
        <f t="shared" si="6"/>
        <v>0</v>
      </c>
      <c r="H44" s="1718">
        <f t="shared" si="6"/>
        <v>0</v>
      </c>
      <c r="I44" s="1718">
        <f t="shared" si="6"/>
        <v>0</v>
      </c>
      <c r="J44" s="1718">
        <f t="shared" si="6"/>
        <v>0</v>
      </c>
      <c r="K44" s="1718">
        <f t="shared" si="6"/>
        <v>233234</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09" t="s">
        <v>1757</v>
      </c>
      <c r="B47" s="483">
        <v>8110</v>
      </c>
      <c r="C47" s="477"/>
      <c r="D47" s="477"/>
      <c r="E47" s="477"/>
      <c r="F47" s="477"/>
      <c r="G47" s="477"/>
      <c r="H47" s="477"/>
      <c r="I47" s="1758">
        <f>SUM(C24,C25:H25,J25:K25)</f>
        <v>171000</v>
      </c>
      <c r="J47" s="477"/>
      <c r="K47" s="477"/>
      <c r="L47" s="529"/>
    </row>
    <row r="48" spans="1:12" s="485" customFormat="1" ht="15" x14ac:dyDescent="0.2">
      <c r="A48" s="1509" t="s">
        <v>1758</v>
      </c>
      <c r="B48" s="483">
        <v>8120</v>
      </c>
      <c r="C48" s="480"/>
      <c r="D48" s="480"/>
      <c r="E48" s="477"/>
      <c r="F48" s="480"/>
      <c r="G48" s="477"/>
      <c r="H48" s="477"/>
      <c r="I48" s="1758">
        <f>SUM(C26:H26,J26,K26)</f>
        <v>0</v>
      </c>
      <c r="J48" s="477"/>
      <c r="K48" s="477"/>
      <c r="L48" s="529"/>
    </row>
    <row r="49" spans="1:12" s="485" customFormat="1" x14ac:dyDescent="0.2">
      <c r="A49" s="1509" t="s">
        <v>194</v>
      </c>
      <c r="B49" s="483">
        <v>8130</v>
      </c>
      <c r="C49" s="467">
        <v>0</v>
      </c>
      <c r="D49" s="467">
        <v>64875</v>
      </c>
      <c r="E49" s="480"/>
      <c r="F49" s="467">
        <v>0</v>
      </c>
      <c r="G49" s="480"/>
      <c r="H49" s="480"/>
      <c r="I49" s="477"/>
      <c r="J49" s="480"/>
      <c r="K49" s="477"/>
      <c r="L49" s="524"/>
    </row>
    <row r="50" spans="1:12" s="485" customFormat="1" x14ac:dyDescent="0.2">
      <c r="A50" s="1509" t="s">
        <v>1464</v>
      </c>
      <c r="B50" s="483">
        <v>8140</v>
      </c>
      <c r="C50" s="467">
        <v>0</v>
      </c>
      <c r="D50" s="467">
        <v>0</v>
      </c>
      <c r="E50" s="467">
        <v>0</v>
      </c>
      <c r="F50" s="467">
        <v>0</v>
      </c>
      <c r="G50" s="467">
        <v>0</v>
      </c>
      <c r="H50" s="467">
        <v>0</v>
      </c>
      <c r="I50" s="477"/>
      <c r="J50" s="467">
        <v>0</v>
      </c>
      <c r="K50" s="477"/>
      <c r="L50" s="524"/>
    </row>
    <row r="51" spans="1:12" s="485" customFormat="1" x14ac:dyDescent="0.2">
      <c r="A51" s="1509" t="s">
        <v>311</v>
      </c>
      <c r="B51" s="483">
        <v>8150</v>
      </c>
      <c r="C51" s="475"/>
      <c r="D51" s="475"/>
      <c r="E51" s="475"/>
      <c r="F51" s="475"/>
      <c r="G51" s="475"/>
      <c r="H51" s="1758">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58">
        <f>D30</f>
        <v>0</v>
      </c>
      <c r="L52" s="524"/>
    </row>
    <row r="53" spans="1:12" s="485" customFormat="1" ht="26.25" x14ac:dyDescent="0.2">
      <c r="A53" s="1509" t="s">
        <v>1895</v>
      </c>
      <c r="B53" s="483">
        <v>8170</v>
      </c>
      <c r="C53" s="480"/>
      <c r="D53" s="480"/>
      <c r="E53" s="477"/>
      <c r="F53" s="477"/>
      <c r="G53" s="477"/>
      <c r="H53" s="480"/>
      <c r="I53" s="477"/>
      <c r="J53" s="477"/>
      <c r="K53" s="1758">
        <f>E31</f>
        <v>0</v>
      </c>
      <c r="L53" s="524"/>
    </row>
    <row r="54" spans="1:12" s="485" customFormat="1" ht="13.5" thickBot="1" x14ac:dyDescent="0.25">
      <c r="A54" s="1509" t="s">
        <v>715</v>
      </c>
      <c r="B54" s="483">
        <v>8410</v>
      </c>
      <c r="C54" s="530">
        <v>0</v>
      </c>
      <c r="D54" s="530">
        <v>0</v>
      </c>
      <c r="E54" s="477"/>
      <c r="F54" s="477"/>
      <c r="G54" s="477"/>
      <c r="H54" s="530">
        <v>0</v>
      </c>
      <c r="I54" s="477"/>
      <c r="J54" s="477"/>
      <c r="K54" s="475"/>
      <c r="L54" s="524"/>
    </row>
    <row r="55" spans="1:12" s="485" customFormat="1" ht="14.25" thickTop="1" thickBot="1" x14ac:dyDescent="0.25">
      <c r="A55" s="1510" t="s">
        <v>716</v>
      </c>
      <c r="B55" s="483">
        <v>8420</v>
      </c>
      <c r="C55" s="531">
        <v>0</v>
      </c>
      <c r="D55" s="531">
        <v>0</v>
      </c>
      <c r="E55" s="477"/>
      <c r="F55" s="477"/>
      <c r="G55" s="477"/>
      <c r="H55" s="530">
        <v>0</v>
      </c>
      <c r="I55" s="477"/>
      <c r="J55" s="477"/>
      <c r="K55" s="477"/>
      <c r="L55" s="524"/>
    </row>
    <row r="56" spans="1:12" s="485" customFormat="1" ht="14.25" thickTop="1" thickBot="1" x14ac:dyDescent="0.25">
      <c r="A56" s="1509" t="s">
        <v>601</v>
      </c>
      <c r="B56" s="483">
        <v>8430</v>
      </c>
      <c r="C56" s="531">
        <v>0</v>
      </c>
      <c r="D56" s="531">
        <v>0</v>
      </c>
      <c r="E56" s="477"/>
      <c r="F56" s="477"/>
      <c r="G56" s="477"/>
      <c r="H56" s="530">
        <v>0</v>
      </c>
      <c r="I56" s="477"/>
      <c r="J56" s="477"/>
      <c r="K56" s="477"/>
      <c r="L56" s="524"/>
    </row>
    <row r="57" spans="1:12" s="485" customFormat="1" ht="14.25" thickTop="1" thickBot="1" x14ac:dyDescent="0.25">
      <c r="A57" s="1510" t="s">
        <v>598</v>
      </c>
      <c r="B57" s="483">
        <v>8440</v>
      </c>
      <c r="C57" s="531">
        <v>0</v>
      </c>
      <c r="D57" s="531">
        <v>0</v>
      </c>
      <c r="E57" s="477"/>
      <c r="F57" s="477"/>
      <c r="G57" s="477"/>
      <c r="H57" s="530">
        <v>0</v>
      </c>
      <c r="I57" s="477"/>
      <c r="J57" s="477"/>
      <c r="K57" s="477"/>
      <c r="L57" s="524"/>
    </row>
    <row r="58" spans="1:12" s="485" customFormat="1" ht="14.25" thickTop="1" thickBot="1" x14ac:dyDescent="0.25">
      <c r="A58" s="1509" t="s">
        <v>599</v>
      </c>
      <c r="B58" s="483">
        <v>8510</v>
      </c>
      <c r="C58" s="531">
        <v>0</v>
      </c>
      <c r="D58" s="531">
        <v>0</v>
      </c>
      <c r="E58" s="477"/>
      <c r="F58" s="477"/>
      <c r="G58" s="477"/>
      <c r="H58" s="530">
        <v>0</v>
      </c>
      <c r="I58" s="477"/>
      <c r="J58" s="477"/>
      <c r="K58" s="477"/>
      <c r="L58" s="524"/>
    </row>
    <row r="59" spans="1:12" s="485" customFormat="1" ht="14.25" thickTop="1" thickBot="1" x14ac:dyDescent="0.25">
      <c r="A59" s="1511" t="s">
        <v>717</v>
      </c>
      <c r="B59" s="483">
        <v>8520</v>
      </c>
      <c r="C59" s="531">
        <v>0</v>
      </c>
      <c r="D59" s="531">
        <v>0</v>
      </c>
      <c r="E59" s="477"/>
      <c r="F59" s="477"/>
      <c r="G59" s="477"/>
      <c r="H59" s="530">
        <v>0</v>
      </c>
      <c r="I59" s="477"/>
      <c r="J59" s="477"/>
      <c r="K59" s="477"/>
      <c r="L59" s="524"/>
    </row>
    <row r="60" spans="1:12" s="485" customFormat="1" ht="14.25" thickTop="1" thickBot="1" x14ac:dyDescent="0.25">
      <c r="A60" s="1509" t="s">
        <v>600</v>
      </c>
      <c r="B60" s="483">
        <v>8530</v>
      </c>
      <c r="C60" s="531">
        <v>0</v>
      </c>
      <c r="D60" s="531">
        <v>0</v>
      </c>
      <c r="E60" s="477"/>
      <c r="F60" s="477"/>
      <c r="G60" s="477"/>
      <c r="H60" s="530">
        <v>0</v>
      </c>
      <c r="I60" s="477"/>
      <c r="J60" s="477"/>
      <c r="K60" s="477"/>
      <c r="L60" s="524"/>
    </row>
    <row r="61" spans="1:12" s="485" customFormat="1" ht="14.25" thickTop="1" thickBot="1" x14ac:dyDescent="0.25">
      <c r="A61" s="1510" t="s">
        <v>766</v>
      </c>
      <c r="B61" s="483">
        <v>8540</v>
      </c>
      <c r="C61" s="531">
        <v>0</v>
      </c>
      <c r="D61" s="531">
        <v>0</v>
      </c>
      <c r="E61" s="477"/>
      <c r="F61" s="477"/>
      <c r="G61" s="477"/>
      <c r="H61" s="530">
        <v>0</v>
      </c>
      <c r="I61" s="477"/>
      <c r="J61" s="477"/>
      <c r="K61" s="477"/>
      <c r="L61" s="524"/>
    </row>
    <row r="62" spans="1:12" s="485" customFormat="1" ht="13.5" customHeight="1" thickTop="1" thickBot="1" x14ac:dyDescent="0.25">
      <c r="A62" s="1509" t="s">
        <v>767</v>
      </c>
      <c r="B62" s="483">
        <v>8610</v>
      </c>
      <c r="C62" s="531">
        <v>0</v>
      </c>
      <c r="D62" s="531">
        <v>0</v>
      </c>
      <c r="E62" s="477"/>
      <c r="F62" s="477"/>
      <c r="G62" s="477"/>
      <c r="H62" s="477"/>
      <c r="I62" s="477"/>
      <c r="J62" s="477"/>
      <c r="K62" s="477"/>
      <c r="L62" s="524"/>
    </row>
    <row r="63" spans="1:12" s="485" customFormat="1" ht="14.25" thickTop="1" thickBot="1" x14ac:dyDescent="0.25">
      <c r="A63" s="1510" t="s">
        <v>718</v>
      </c>
      <c r="B63" s="483">
        <v>8620</v>
      </c>
      <c r="C63" s="531">
        <v>0</v>
      </c>
      <c r="D63" s="531">
        <v>0</v>
      </c>
      <c r="E63" s="477"/>
      <c r="F63" s="477"/>
      <c r="G63" s="477"/>
      <c r="H63" s="477"/>
      <c r="I63" s="477"/>
      <c r="J63" s="477"/>
      <c r="K63" s="477"/>
      <c r="L63" s="524"/>
    </row>
    <row r="64" spans="1:12" s="485" customFormat="1" ht="13.5" customHeight="1" thickTop="1" thickBot="1" x14ac:dyDescent="0.25">
      <c r="A64" s="1509" t="s">
        <v>768</v>
      </c>
      <c r="B64" s="483">
        <v>8630</v>
      </c>
      <c r="C64" s="531">
        <v>0</v>
      </c>
      <c r="D64" s="531">
        <v>0</v>
      </c>
      <c r="E64" s="477"/>
      <c r="F64" s="477"/>
      <c r="G64" s="477"/>
      <c r="H64" s="477"/>
      <c r="I64" s="477"/>
      <c r="J64" s="477"/>
      <c r="K64" s="477"/>
      <c r="L64" s="524"/>
    </row>
    <row r="65" spans="1:12" s="485" customFormat="1" ht="14.25" thickTop="1" thickBot="1" x14ac:dyDescent="0.25">
      <c r="A65" s="1510" t="s">
        <v>769</v>
      </c>
      <c r="B65" s="483">
        <v>8640</v>
      </c>
      <c r="C65" s="531">
        <v>0</v>
      </c>
      <c r="D65" s="531">
        <v>0</v>
      </c>
      <c r="E65" s="477"/>
      <c r="F65" s="477"/>
      <c r="G65" s="477"/>
      <c r="H65" s="477"/>
      <c r="I65" s="477"/>
      <c r="J65" s="477"/>
      <c r="K65" s="477"/>
      <c r="L65" s="524"/>
    </row>
    <row r="66" spans="1:12" s="485" customFormat="1" ht="14.25" thickTop="1" thickBot="1" x14ac:dyDescent="0.25">
      <c r="A66" s="1509" t="s">
        <v>770</v>
      </c>
      <c r="B66" s="483">
        <v>8710</v>
      </c>
      <c r="C66" s="531">
        <v>0</v>
      </c>
      <c r="D66" s="531">
        <v>0</v>
      </c>
      <c r="E66" s="477"/>
      <c r="F66" s="477"/>
      <c r="G66" s="477"/>
      <c r="H66" s="477"/>
      <c r="I66" s="477"/>
      <c r="J66" s="477"/>
      <c r="K66" s="477"/>
      <c r="L66" s="524"/>
    </row>
    <row r="67" spans="1:12" s="485" customFormat="1" ht="14.25" thickTop="1" thickBot="1" x14ac:dyDescent="0.25">
      <c r="A67" s="1510" t="s">
        <v>719</v>
      </c>
      <c r="B67" s="483">
        <v>8720</v>
      </c>
      <c r="C67" s="531">
        <v>0</v>
      </c>
      <c r="D67" s="531">
        <v>0</v>
      </c>
      <c r="E67" s="477"/>
      <c r="F67" s="477"/>
      <c r="G67" s="477"/>
      <c r="H67" s="477"/>
      <c r="I67" s="477"/>
      <c r="J67" s="477"/>
      <c r="K67" s="477"/>
      <c r="L67" s="524"/>
    </row>
    <row r="68" spans="1:12" s="485" customFormat="1" ht="14.25" thickTop="1" thickBot="1" x14ac:dyDescent="0.25">
      <c r="A68" s="1511" t="s">
        <v>771</v>
      </c>
      <c r="B68" s="483">
        <v>8730</v>
      </c>
      <c r="C68" s="531">
        <v>0</v>
      </c>
      <c r="D68" s="531">
        <v>0</v>
      </c>
      <c r="E68" s="477"/>
      <c r="F68" s="477"/>
      <c r="G68" s="477"/>
      <c r="H68" s="477"/>
      <c r="I68" s="477"/>
      <c r="J68" s="477"/>
      <c r="K68" s="477"/>
      <c r="L68" s="524"/>
    </row>
    <row r="69" spans="1:12" s="485" customFormat="1" ht="14.25" thickTop="1" thickBot="1" x14ac:dyDescent="0.25">
      <c r="A69" s="1510" t="s">
        <v>772</v>
      </c>
      <c r="B69" s="483">
        <v>8740</v>
      </c>
      <c r="C69" s="531">
        <v>0</v>
      </c>
      <c r="D69" s="531">
        <v>0</v>
      </c>
      <c r="E69" s="477"/>
      <c r="F69" s="477"/>
      <c r="G69" s="477"/>
      <c r="H69" s="477"/>
      <c r="I69" s="477"/>
      <c r="J69" s="477"/>
      <c r="K69" s="477"/>
      <c r="L69" s="524"/>
    </row>
    <row r="70" spans="1:12" s="485" customFormat="1" ht="14.25" thickTop="1" thickBot="1" x14ac:dyDescent="0.25">
      <c r="A70" s="1509" t="s">
        <v>773</v>
      </c>
      <c r="B70" s="483">
        <v>8810</v>
      </c>
      <c r="C70" s="531">
        <v>0</v>
      </c>
      <c r="D70" s="531">
        <v>0</v>
      </c>
      <c r="E70" s="477"/>
      <c r="F70" s="477"/>
      <c r="G70" s="477"/>
      <c r="H70" s="477"/>
      <c r="I70" s="477"/>
      <c r="J70" s="477"/>
      <c r="K70" s="477"/>
      <c r="L70" s="524"/>
    </row>
    <row r="71" spans="1:12" s="485" customFormat="1" ht="14.25" thickTop="1" thickBot="1" x14ac:dyDescent="0.25">
      <c r="A71" s="1509" t="s">
        <v>777</v>
      </c>
      <c r="B71" s="483">
        <v>8820</v>
      </c>
      <c r="C71" s="531">
        <v>0</v>
      </c>
      <c r="D71" s="531">
        <v>0</v>
      </c>
      <c r="E71" s="477"/>
      <c r="F71" s="477"/>
      <c r="G71" s="477"/>
      <c r="H71" s="477"/>
      <c r="I71" s="477"/>
      <c r="J71" s="477"/>
      <c r="K71" s="477"/>
      <c r="L71" s="524"/>
    </row>
    <row r="72" spans="1:12" s="485" customFormat="1" ht="14.25" thickTop="1" thickBot="1" x14ac:dyDescent="0.25">
      <c r="A72" s="1509" t="s">
        <v>774</v>
      </c>
      <c r="B72" s="483">
        <v>8830</v>
      </c>
      <c r="C72" s="531">
        <v>0</v>
      </c>
      <c r="D72" s="531">
        <v>0</v>
      </c>
      <c r="E72" s="477"/>
      <c r="F72" s="477"/>
      <c r="G72" s="477"/>
      <c r="H72" s="477"/>
      <c r="I72" s="477"/>
      <c r="J72" s="477"/>
      <c r="K72" s="477"/>
      <c r="L72" s="524"/>
    </row>
    <row r="73" spans="1:12" s="485" customFormat="1" ht="14.25" thickTop="1" thickBot="1" x14ac:dyDescent="0.25">
      <c r="A73" s="1509" t="s">
        <v>775</v>
      </c>
      <c r="B73" s="483">
        <v>8840</v>
      </c>
      <c r="C73" s="531">
        <v>0</v>
      </c>
      <c r="D73" s="531">
        <v>0</v>
      </c>
      <c r="E73" s="477"/>
      <c r="F73" s="477"/>
      <c r="G73" s="477"/>
      <c r="H73" s="477"/>
      <c r="I73" s="477"/>
      <c r="J73" s="477"/>
      <c r="K73" s="480"/>
      <c r="L73" s="524"/>
    </row>
    <row r="74" spans="1:12" s="485" customFormat="1" ht="14.25" thickTop="1" thickBot="1" x14ac:dyDescent="0.25">
      <c r="A74" s="1509"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2"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7" t="s">
        <v>459</v>
      </c>
      <c r="B76" s="2138"/>
      <c r="C76" s="1718">
        <f t="shared" ref="C76:K76" si="7">SUM(C47:C75)</f>
        <v>0</v>
      </c>
      <c r="D76" s="1718">
        <f t="shared" si="7"/>
        <v>64875</v>
      </c>
      <c r="E76" s="1718">
        <f t="shared" si="7"/>
        <v>0</v>
      </c>
      <c r="F76" s="1718">
        <f t="shared" si="7"/>
        <v>0</v>
      </c>
      <c r="G76" s="1718">
        <f t="shared" si="7"/>
        <v>0</v>
      </c>
      <c r="H76" s="1718">
        <f t="shared" si="7"/>
        <v>0</v>
      </c>
      <c r="I76" s="1718">
        <f t="shared" si="7"/>
        <v>171000</v>
      </c>
      <c r="J76" s="1718">
        <f t="shared" si="7"/>
        <v>0</v>
      </c>
      <c r="K76" s="1718">
        <f t="shared" si="7"/>
        <v>0</v>
      </c>
      <c r="L76" s="524"/>
    </row>
    <row r="77" spans="1:12" ht="14.25" thickTop="1" thickBot="1" x14ac:dyDescent="0.25">
      <c r="A77" s="2139" t="s">
        <v>1238</v>
      </c>
      <c r="B77" s="2140"/>
      <c r="C77" s="1718">
        <f t="shared" ref="C77:K77" si="8">C44-C76</f>
        <v>64875</v>
      </c>
      <c r="D77" s="1718">
        <f t="shared" si="8"/>
        <v>-64875</v>
      </c>
      <c r="E77" s="1718">
        <f t="shared" si="8"/>
        <v>171000</v>
      </c>
      <c r="F77" s="1718">
        <f t="shared" si="8"/>
        <v>0</v>
      </c>
      <c r="G77" s="1718">
        <f t="shared" si="8"/>
        <v>0</v>
      </c>
      <c r="H77" s="1718">
        <f t="shared" si="8"/>
        <v>0</v>
      </c>
      <c r="I77" s="1718">
        <f t="shared" si="8"/>
        <v>-171000</v>
      </c>
      <c r="J77" s="1718">
        <f t="shared" si="8"/>
        <v>0</v>
      </c>
      <c r="K77" s="1718">
        <f t="shared" si="8"/>
        <v>233234</v>
      </c>
      <c r="L77" s="347"/>
    </row>
    <row r="78" spans="1:12" ht="21.75" customHeight="1" thickTop="1" thickBot="1" x14ac:dyDescent="0.25">
      <c r="A78" s="2143" t="s">
        <v>617</v>
      </c>
      <c r="B78" s="2144"/>
      <c r="C78" s="1717">
        <f t="shared" ref="C78:K78" si="9">C20+C77</f>
        <v>477825</v>
      </c>
      <c r="D78" s="1717">
        <f t="shared" si="9"/>
        <v>138135</v>
      </c>
      <c r="E78" s="1717">
        <f t="shared" si="9"/>
        <v>9430</v>
      </c>
      <c r="F78" s="1717">
        <f t="shared" si="9"/>
        <v>214484</v>
      </c>
      <c r="G78" s="1717">
        <f t="shared" si="9"/>
        <v>-76741</v>
      </c>
      <c r="H78" s="1717">
        <f t="shared" si="9"/>
        <v>6180</v>
      </c>
      <c r="I78" s="1717">
        <f t="shared" si="9"/>
        <v>-110736</v>
      </c>
      <c r="J78" s="1717">
        <f t="shared" si="9"/>
        <v>18889</v>
      </c>
      <c r="K78" s="1717">
        <f t="shared" si="9"/>
        <v>-10634</v>
      </c>
      <c r="L78" s="533"/>
    </row>
    <row r="79" spans="1:12" ht="13.5" thickTop="1" x14ac:dyDescent="0.2">
      <c r="A79" s="1513" t="s">
        <v>2069</v>
      </c>
      <c r="B79" s="534"/>
      <c r="C79" s="478">
        <v>4576793</v>
      </c>
      <c r="D79" s="535">
        <v>1167285</v>
      </c>
      <c r="E79" s="535">
        <v>39540</v>
      </c>
      <c r="F79" s="535">
        <v>433460</v>
      </c>
      <c r="G79" s="535">
        <v>200418</v>
      </c>
      <c r="H79" s="535">
        <v>0</v>
      </c>
      <c r="I79" s="535">
        <v>345203</v>
      </c>
      <c r="J79" s="535">
        <v>341144</v>
      </c>
      <c r="K79" s="535">
        <v>192444</v>
      </c>
      <c r="L79" s="347"/>
    </row>
    <row r="80" spans="1:12" x14ac:dyDescent="0.2">
      <c r="A80" s="2149" t="s">
        <v>1894</v>
      </c>
      <c r="B80" s="2150"/>
      <c r="C80" s="467"/>
      <c r="D80" s="467"/>
      <c r="E80" s="467"/>
      <c r="F80" s="467"/>
      <c r="G80" s="467"/>
      <c r="H80" s="467"/>
      <c r="I80" s="467">
        <v>175000</v>
      </c>
      <c r="J80" s="467"/>
      <c r="K80" s="467"/>
      <c r="L80" s="347"/>
    </row>
    <row r="81" spans="1:12" ht="13.5" thickBot="1" x14ac:dyDescent="0.25">
      <c r="A81" s="2141" t="s">
        <v>2070</v>
      </c>
      <c r="B81" s="2142"/>
      <c r="C81" s="1703">
        <f>(SUM(C78:C80))</f>
        <v>5054618</v>
      </c>
      <c r="D81" s="1703">
        <f>SUM(D78:D80)</f>
        <v>1305420</v>
      </c>
      <c r="E81" s="1703">
        <f t="shared" ref="E81:K81" si="10">SUM(E78:E80)</f>
        <v>48970</v>
      </c>
      <c r="F81" s="1703">
        <f t="shared" si="10"/>
        <v>647944</v>
      </c>
      <c r="G81" s="1703">
        <f t="shared" si="10"/>
        <v>123677</v>
      </c>
      <c r="H81" s="1703">
        <f t="shared" si="10"/>
        <v>6180</v>
      </c>
      <c r="I81" s="1703">
        <f t="shared" si="10"/>
        <v>409467</v>
      </c>
      <c r="J81" s="1703">
        <f t="shared" si="10"/>
        <v>360033</v>
      </c>
      <c r="K81" s="1703">
        <f t="shared" si="10"/>
        <v>181810</v>
      </c>
      <c r="L81" s="347"/>
    </row>
    <row r="82" spans="1:12" ht="0.75" customHeight="1" thickTop="1" thickBot="1" x14ac:dyDescent="0.25">
      <c r="A82" s="536" t="s">
        <v>360</v>
      </c>
      <c r="B82" s="537"/>
      <c r="C82" s="538">
        <f>(C81-C79)</f>
        <v>477825</v>
      </c>
      <c r="D82" s="538">
        <f t="shared" ref="D82:K82" si="11">(D81-D79)</f>
        <v>138135</v>
      </c>
      <c r="E82" s="538">
        <f t="shared" si="11"/>
        <v>9430</v>
      </c>
      <c r="F82" s="538">
        <f t="shared" si="11"/>
        <v>214484</v>
      </c>
      <c r="G82" s="538">
        <f t="shared" si="11"/>
        <v>-76741</v>
      </c>
      <c r="H82" s="538">
        <f t="shared" si="11"/>
        <v>6180</v>
      </c>
      <c r="I82" s="538">
        <f t="shared" si="11"/>
        <v>64264</v>
      </c>
      <c r="J82" s="538">
        <f t="shared" si="11"/>
        <v>18889</v>
      </c>
      <c r="K82" s="538">
        <f t="shared" si="11"/>
        <v>-10634</v>
      </c>
    </row>
    <row r="83" spans="1:12" ht="14.25" hidden="1" thickTop="1" thickBot="1" x14ac:dyDescent="0.25">
      <c r="A83" s="539" t="s">
        <v>361</v>
      </c>
      <c r="B83" s="464"/>
      <c r="C83" s="540">
        <f>C82/C81</f>
        <v>9.4532366244095986E-2</v>
      </c>
      <c r="D83" s="540">
        <f t="shared" ref="D83:K83" si="12">D82/D81</f>
        <v>0.1058165188215287</v>
      </c>
      <c r="E83" s="540">
        <f t="shared" si="12"/>
        <v>0.19256687768021238</v>
      </c>
      <c r="F83" s="540">
        <f t="shared" si="12"/>
        <v>0.33102243403750942</v>
      </c>
      <c r="G83" s="540">
        <f t="shared" si="12"/>
        <v>-0.62049532249326877</v>
      </c>
      <c r="H83" s="540">
        <f t="shared" si="12"/>
        <v>1</v>
      </c>
      <c r="I83" s="540">
        <f t="shared" si="12"/>
        <v>0.1569454925549556</v>
      </c>
      <c r="J83" s="540">
        <f t="shared" si="12"/>
        <v>5.2464635186219043E-2</v>
      </c>
      <c r="K83" s="540">
        <f t="shared" si="12"/>
        <v>-5.8489632033441506E-2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1901</v>
      </c>
      <c r="B1" s="452"/>
      <c r="C1" s="453" t="s">
        <v>444</v>
      </c>
      <c r="D1" s="453" t="s">
        <v>445</v>
      </c>
      <c r="E1" s="453" t="s">
        <v>446</v>
      </c>
      <c r="F1" s="453" t="s">
        <v>447</v>
      </c>
      <c r="G1" s="453" t="s">
        <v>448</v>
      </c>
      <c r="H1" s="453" t="s">
        <v>449</v>
      </c>
      <c r="I1" s="453" t="s">
        <v>450</v>
      </c>
      <c r="J1" s="453" t="s">
        <v>451</v>
      </c>
      <c r="K1" s="453" t="s">
        <v>779</v>
      </c>
    </row>
    <row r="2" spans="1:12" ht="36" x14ac:dyDescent="0.2">
      <c r="A2" s="2146"/>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3"/>
      <c r="D4" s="543"/>
      <c r="E4" s="543"/>
      <c r="F4" s="544"/>
      <c r="G4" s="545"/>
      <c r="H4" s="546"/>
      <c r="I4" s="546"/>
      <c r="J4" s="546"/>
      <c r="K4" s="546"/>
    </row>
    <row r="5" spans="1:12" ht="15" x14ac:dyDescent="0.2">
      <c r="A5" s="493" t="s">
        <v>1759</v>
      </c>
      <c r="B5" s="547"/>
      <c r="C5" s="481">
        <v>2086086</v>
      </c>
      <c r="D5" s="481">
        <v>566703</v>
      </c>
      <c r="E5" s="466">
        <v>1469674</v>
      </c>
      <c r="F5" s="548">
        <v>226681</v>
      </c>
      <c r="G5" s="466">
        <v>200662</v>
      </c>
      <c r="H5" s="466">
        <v>0</v>
      </c>
      <c r="I5" s="466">
        <v>56670</v>
      </c>
      <c r="J5" s="467">
        <v>902918</v>
      </c>
      <c r="K5" s="466">
        <v>56670</v>
      </c>
    </row>
    <row r="6" spans="1:12" ht="15" x14ac:dyDescent="0.2">
      <c r="A6" s="463" t="s">
        <v>1760</v>
      </c>
      <c r="B6" s="470">
        <v>1130</v>
      </c>
      <c r="C6" s="466">
        <v>0</v>
      </c>
      <c r="D6" s="466">
        <v>56670</v>
      </c>
      <c r="E6" s="475"/>
      <c r="F6" s="475"/>
      <c r="G6" s="468"/>
      <c r="H6" s="468"/>
      <c r="I6" s="468"/>
      <c r="J6" s="468"/>
      <c r="K6" s="468"/>
    </row>
    <row r="7" spans="1:12" x14ac:dyDescent="0.2">
      <c r="A7" s="463" t="s">
        <v>112</v>
      </c>
      <c r="B7" s="549">
        <v>1140</v>
      </c>
      <c r="C7" s="466">
        <v>45336</v>
      </c>
      <c r="D7" s="466">
        <v>0</v>
      </c>
      <c r="E7" s="468"/>
      <c r="F7" s="467">
        <v>0</v>
      </c>
      <c r="G7" s="467">
        <v>0</v>
      </c>
      <c r="H7" s="467">
        <v>0</v>
      </c>
      <c r="I7" s="468"/>
      <c r="J7" s="468"/>
      <c r="K7" s="468"/>
    </row>
    <row r="8" spans="1:12" x14ac:dyDescent="0.2">
      <c r="A8" s="463" t="s">
        <v>432</v>
      </c>
      <c r="B8" s="470">
        <v>1150</v>
      </c>
      <c r="C8" s="475"/>
      <c r="D8" s="475"/>
      <c r="E8" s="477"/>
      <c r="F8" s="477"/>
      <c r="G8" s="481">
        <v>200662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0" t="s">
        <v>29</v>
      </c>
      <c r="B12" s="1721"/>
      <c r="C12" s="1722">
        <f t="shared" ref="C12:K12" si="0">SUM(C5:C11)</f>
        <v>2131422</v>
      </c>
      <c r="D12" s="1722">
        <f t="shared" si="0"/>
        <v>623373</v>
      </c>
      <c r="E12" s="1722">
        <f t="shared" si="0"/>
        <v>1469674</v>
      </c>
      <c r="F12" s="1722">
        <f t="shared" si="0"/>
        <v>226681</v>
      </c>
      <c r="G12" s="1722">
        <f t="shared" si="0"/>
        <v>401324</v>
      </c>
      <c r="H12" s="1722">
        <f t="shared" si="0"/>
        <v>0</v>
      </c>
      <c r="I12" s="1722">
        <f t="shared" si="0"/>
        <v>56670</v>
      </c>
      <c r="J12" s="1722">
        <f t="shared" si="0"/>
        <v>902918</v>
      </c>
      <c r="K12" s="1703">
        <f t="shared" si="0"/>
        <v>56670</v>
      </c>
    </row>
    <row r="13" spans="1:12" ht="15.75" customHeight="1" thickTop="1" x14ac:dyDescent="0.2">
      <c r="A13" s="1611" t="s">
        <v>470</v>
      </c>
      <c r="B13" s="1612">
        <v>1200</v>
      </c>
      <c r="C13" s="553"/>
      <c r="D13" s="553"/>
      <c r="E13" s="553"/>
      <c r="F13" s="553"/>
      <c r="G13" s="553"/>
      <c r="H13" s="553"/>
      <c r="I13" s="553"/>
      <c r="J13" s="553"/>
      <c r="K13" s="468"/>
    </row>
    <row r="14" spans="1:12" x14ac:dyDescent="0.2">
      <c r="A14" s="463" t="s">
        <v>3</v>
      </c>
      <c r="B14" s="470">
        <v>1210</v>
      </c>
      <c r="C14" s="551">
        <v>4378</v>
      </c>
      <c r="D14" s="466">
        <v>1280</v>
      </c>
      <c r="E14" s="466">
        <v>3436</v>
      </c>
      <c r="F14" s="466">
        <v>465</v>
      </c>
      <c r="G14" s="466">
        <v>1090</v>
      </c>
      <c r="H14" s="466">
        <v>0</v>
      </c>
      <c r="I14" s="466">
        <v>116</v>
      </c>
      <c r="J14" s="467">
        <v>1386</v>
      </c>
      <c r="K14" s="466">
        <v>116</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199749</v>
      </c>
      <c r="D16" s="466">
        <v>0</v>
      </c>
      <c r="E16" s="466">
        <v>0</v>
      </c>
      <c r="F16" s="466">
        <v>16846</v>
      </c>
      <c r="G16" s="466">
        <v>24066</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3" t="s">
        <v>557</v>
      </c>
      <c r="B18" s="1724"/>
      <c r="C18" s="1725">
        <f>SUM(C14:C17)</f>
        <v>204127</v>
      </c>
      <c r="D18" s="1725">
        <f t="shared" ref="D18:K18" si="1">SUM(D14:D17)</f>
        <v>1280</v>
      </c>
      <c r="E18" s="1725">
        <f t="shared" si="1"/>
        <v>3436</v>
      </c>
      <c r="F18" s="1725">
        <f t="shared" si="1"/>
        <v>17311</v>
      </c>
      <c r="G18" s="1725">
        <f t="shared" si="1"/>
        <v>25156</v>
      </c>
      <c r="H18" s="1725">
        <f t="shared" si="1"/>
        <v>0</v>
      </c>
      <c r="I18" s="1725">
        <f t="shared" si="1"/>
        <v>116</v>
      </c>
      <c r="J18" s="1725">
        <f t="shared" si="1"/>
        <v>1386</v>
      </c>
      <c r="K18" s="1726">
        <f t="shared" si="1"/>
        <v>116</v>
      </c>
    </row>
    <row r="19" spans="1:11" ht="15.75" customHeight="1" thickTop="1" x14ac:dyDescent="0.2">
      <c r="A19" s="1611" t="s">
        <v>471</v>
      </c>
      <c r="B19" s="1612">
        <v>1300</v>
      </c>
      <c r="C19" s="554"/>
      <c r="D19" s="554"/>
      <c r="E19" s="554"/>
      <c r="F19" s="554"/>
      <c r="G19" s="553"/>
      <c r="H19" s="554"/>
      <c r="I19" s="554"/>
      <c r="J19" s="554"/>
      <c r="K19" s="555"/>
    </row>
    <row r="20" spans="1:11" x14ac:dyDescent="0.2">
      <c r="A20" s="463" t="s">
        <v>1132</v>
      </c>
      <c r="B20" s="470">
        <v>1311</v>
      </c>
      <c r="C20" s="466">
        <v>680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85793</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4" t="s">
        <v>614</v>
      </c>
      <c r="B39" s="556">
        <v>1354</v>
      </c>
      <c r="C39" s="489">
        <v>0</v>
      </c>
      <c r="D39" s="468"/>
      <c r="E39" s="468"/>
      <c r="F39" s="468"/>
      <c r="G39" s="468"/>
      <c r="H39" s="468"/>
      <c r="I39" s="468"/>
      <c r="J39" s="468"/>
      <c r="K39" s="468"/>
    </row>
    <row r="40" spans="1:11" ht="12.75" customHeight="1" thickBot="1" x14ac:dyDescent="0.25">
      <c r="A40" s="1723" t="s">
        <v>558</v>
      </c>
      <c r="B40" s="1724"/>
      <c r="C40" s="1703">
        <f>SUM(C20:C39)</f>
        <v>86473</v>
      </c>
      <c r="D40" s="468"/>
      <c r="E40" s="468"/>
      <c r="F40" s="468"/>
      <c r="G40" s="468"/>
      <c r="H40" s="468"/>
      <c r="I40" s="468"/>
      <c r="J40" s="468"/>
      <c r="K40" s="468"/>
    </row>
    <row r="41" spans="1:11" ht="15.75" customHeight="1" thickTop="1" x14ac:dyDescent="0.2">
      <c r="A41" s="1611" t="s">
        <v>291</v>
      </c>
      <c r="B41" s="1612">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7">
        <v>1431</v>
      </c>
      <c r="C51" s="468"/>
      <c r="D51" s="468"/>
      <c r="E51" s="468"/>
      <c r="F51" s="466">
        <v>0</v>
      </c>
      <c r="G51" s="468"/>
      <c r="H51" s="468"/>
      <c r="I51" s="468"/>
      <c r="J51" s="468"/>
      <c r="K51" s="468"/>
    </row>
    <row r="52" spans="1:11" ht="12.75" customHeight="1" x14ac:dyDescent="0.2">
      <c r="A52" s="1515" t="s">
        <v>1167</v>
      </c>
      <c r="B52" s="557">
        <v>1432</v>
      </c>
      <c r="C52" s="468"/>
      <c r="D52" s="468"/>
      <c r="E52" s="468"/>
      <c r="F52" s="466">
        <v>0</v>
      </c>
      <c r="G52" s="468"/>
      <c r="H52" s="468"/>
      <c r="I52" s="468"/>
      <c r="J52" s="468"/>
      <c r="K52" s="468"/>
    </row>
    <row r="53" spans="1:11" ht="12.75" customHeight="1" x14ac:dyDescent="0.2">
      <c r="A53" s="1515" t="s">
        <v>63</v>
      </c>
      <c r="B53" s="557">
        <v>1433</v>
      </c>
      <c r="C53" s="468"/>
      <c r="D53" s="468"/>
      <c r="E53" s="468"/>
      <c r="F53" s="466">
        <v>0</v>
      </c>
      <c r="G53" s="468"/>
      <c r="H53" s="468"/>
      <c r="I53" s="468"/>
      <c r="J53" s="468"/>
      <c r="K53" s="468"/>
    </row>
    <row r="54" spans="1:11" ht="12.75" customHeight="1" x14ac:dyDescent="0.2">
      <c r="A54" s="1515" t="s">
        <v>64</v>
      </c>
      <c r="B54" s="557">
        <v>1434</v>
      </c>
      <c r="C54" s="468"/>
      <c r="D54" s="468"/>
      <c r="E54" s="468"/>
      <c r="F54" s="467">
        <v>0</v>
      </c>
      <c r="G54" s="468"/>
      <c r="H54" s="468"/>
      <c r="I54" s="468"/>
      <c r="J54" s="468"/>
      <c r="K54" s="468"/>
    </row>
    <row r="55" spans="1:11" ht="12.75" customHeight="1" x14ac:dyDescent="0.2">
      <c r="A55" s="1515" t="s">
        <v>65</v>
      </c>
      <c r="B55" s="557">
        <v>1441</v>
      </c>
      <c r="C55" s="468"/>
      <c r="D55" s="468"/>
      <c r="E55" s="468"/>
      <c r="F55" s="466">
        <v>0</v>
      </c>
      <c r="G55" s="468"/>
      <c r="H55" s="468"/>
      <c r="I55" s="468"/>
      <c r="J55" s="468"/>
      <c r="K55" s="468"/>
    </row>
    <row r="56" spans="1:11" ht="12.75" customHeight="1" x14ac:dyDescent="0.2">
      <c r="A56" s="1515" t="s">
        <v>1168</v>
      </c>
      <c r="B56" s="557">
        <v>1442</v>
      </c>
      <c r="C56" s="468"/>
      <c r="D56" s="468"/>
      <c r="E56" s="468"/>
      <c r="F56" s="466">
        <v>25034</v>
      </c>
      <c r="G56" s="468"/>
      <c r="H56" s="468"/>
      <c r="I56" s="468"/>
      <c r="J56" s="468"/>
      <c r="K56" s="468"/>
    </row>
    <row r="57" spans="1:11" ht="12.75" customHeight="1" x14ac:dyDescent="0.2">
      <c r="A57" s="1515" t="s">
        <v>509</v>
      </c>
      <c r="B57" s="557">
        <v>1443</v>
      </c>
      <c r="C57" s="468"/>
      <c r="D57" s="468"/>
      <c r="E57" s="468"/>
      <c r="F57" s="466">
        <v>0</v>
      </c>
      <c r="G57" s="468"/>
      <c r="H57" s="468"/>
      <c r="I57" s="468"/>
      <c r="J57" s="468"/>
      <c r="K57" s="468"/>
    </row>
    <row r="58" spans="1:11" ht="12.75" customHeight="1" x14ac:dyDescent="0.2">
      <c r="A58" s="1515" t="s">
        <v>67</v>
      </c>
      <c r="B58" s="557">
        <v>1444</v>
      </c>
      <c r="C58" s="468"/>
      <c r="D58" s="468"/>
      <c r="E58" s="468"/>
      <c r="F58" s="466">
        <v>0</v>
      </c>
      <c r="G58" s="468"/>
      <c r="H58" s="468"/>
      <c r="I58" s="468"/>
      <c r="J58" s="468"/>
      <c r="K58" s="468"/>
    </row>
    <row r="59" spans="1:11" ht="12.75" customHeight="1" x14ac:dyDescent="0.2">
      <c r="A59" s="1515" t="s">
        <v>932</v>
      </c>
      <c r="B59" s="557">
        <v>1451</v>
      </c>
      <c r="C59" s="468"/>
      <c r="D59" s="468"/>
      <c r="E59" s="468"/>
      <c r="F59" s="466">
        <v>0</v>
      </c>
      <c r="G59" s="468"/>
      <c r="H59" s="468"/>
      <c r="I59" s="468"/>
      <c r="J59" s="468"/>
      <c r="K59" s="468"/>
    </row>
    <row r="60" spans="1:11" ht="12.75" customHeight="1" x14ac:dyDescent="0.2">
      <c r="A60" s="1515"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6" t="s">
        <v>934</v>
      </c>
      <c r="B62" s="558">
        <v>1454</v>
      </c>
      <c r="C62" s="468"/>
      <c r="D62" s="468"/>
      <c r="E62" s="468"/>
      <c r="F62" s="467">
        <v>0</v>
      </c>
      <c r="G62" s="468"/>
      <c r="H62" s="468"/>
      <c r="I62" s="468"/>
      <c r="J62" s="468"/>
      <c r="K62" s="468"/>
    </row>
    <row r="63" spans="1:11" ht="12.75" customHeight="1" thickBot="1" x14ac:dyDescent="0.25">
      <c r="A63" s="1723" t="s">
        <v>505</v>
      </c>
      <c r="B63" s="1724"/>
      <c r="C63" s="468"/>
      <c r="D63" s="468"/>
      <c r="E63" s="468"/>
      <c r="F63" s="1703">
        <f>SUM(F42:F62)</f>
        <v>25034</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25411</v>
      </c>
      <c r="D65" s="466">
        <v>9072</v>
      </c>
      <c r="E65" s="466">
        <v>2443</v>
      </c>
      <c r="F65" s="467">
        <v>3473</v>
      </c>
      <c r="G65" s="466">
        <v>1555</v>
      </c>
      <c r="H65" s="466">
        <v>5</v>
      </c>
      <c r="I65" s="466">
        <v>3478</v>
      </c>
      <c r="J65" s="467">
        <v>3710</v>
      </c>
      <c r="K65" s="466">
        <v>1663</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3" t="s">
        <v>506</v>
      </c>
      <c r="B67" s="1724"/>
      <c r="C67" s="1703">
        <f>SUM(C65:C66)</f>
        <v>25411</v>
      </c>
      <c r="D67" s="1703">
        <f t="shared" ref="D67:K67" si="2">SUM(D65:D66)</f>
        <v>9072</v>
      </c>
      <c r="E67" s="1703">
        <f t="shared" si="2"/>
        <v>2443</v>
      </c>
      <c r="F67" s="1703">
        <f t="shared" si="2"/>
        <v>3473</v>
      </c>
      <c r="G67" s="1703">
        <f t="shared" si="2"/>
        <v>1555</v>
      </c>
      <c r="H67" s="1703">
        <f t="shared" si="2"/>
        <v>5</v>
      </c>
      <c r="I67" s="1703">
        <f t="shared" si="2"/>
        <v>3478</v>
      </c>
      <c r="J67" s="1703">
        <f t="shared" si="2"/>
        <v>3710</v>
      </c>
      <c r="K67" s="1703">
        <f t="shared" si="2"/>
        <v>1663</v>
      </c>
    </row>
    <row r="68" spans="1:11" ht="15.75" customHeight="1" thickTop="1" x14ac:dyDescent="0.2">
      <c r="A68" s="1611" t="s">
        <v>474</v>
      </c>
      <c r="B68" s="1613">
        <v>1600</v>
      </c>
      <c r="C68" s="553"/>
      <c r="D68" s="468"/>
      <c r="E68" s="468"/>
      <c r="F68" s="468"/>
      <c r="G68" s="468"/>
      <c r="H68" s="468"/>
      <c r="I68" s="468"/>
      <c r="J68" s="468"/>
      <c r="K68" s="468"/>
    </row>
    <row r="69" spans="1:11" ht="12.75" customHeight="1" x14ac:dyDescent="0.2">
      <c r="A69" s="463" t="s">
        <v>686</v>
      </c>
      <c r="B69" s="470">
        <v>1611</v>
      </c>
      <c r="C69" s="466">
        <v>193726</v>
      </c>
      <c r="D69" s="468"/>
      <c r="E69" s="468"/>
      <c r="F69" s="468"/>
      <c r="G69" s="468"/>
      <c r="H69" s="468"/>
      <c r="I69" s="468"/>
      <c r="J69" s="468"/>
      <c r="K69" s="468"/>
    </row>
    <row r="70" spans="1:11" ht="12.75" customHeight="1" x14ac:dyDescent="0.2">
      <c r="A70" s="463" t="s">
        <v>1053</v>
      </c>
      <c r="B70" s="470">
        <v>1612</v>
      </c>
      <c r="C70" s="551">
        <v>23064</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12889</v>
      </c>
      <c r="D73" s="468"/>
      <c r="E73" s="468"/>
      <c r="F73" s="468"/>
      <c r="G73" s="468"/>
      <c r="H73" s="468"/>
      <c r="I73" s="468"/>
      <c r="J73" s="468"/>
      <c r="K73" s="468"/>
    </row>
    <row r="74" spans="1:11" ht="12.75" customHeight="1" x14ac:dyDescent="0.2">
      <c r="A74" s="463" t="s">
        <v>25</v>
      </c>
      <c r="B74" s="470">
        <v>1690</v>
      </c>
      <c r="C74" s="551">
        <v>19467</v>
      </c>
      <c r="D74" s="468"/>
      <c r="E74" s="468"/>
      <c r="F74" s="468"/>
      <c r="G74" s="468"/>
      <c r="H74" s="468"/>
      <c r="I74" s="468"/>
      <c r="J74" s="468"/>
      <c r="K74" s="468"/>
    </row>
    <row r="75" spans="1:11" ht="12.75" customHeight="1" thickBot="1" x14ac:dyDescent="0.25">
      <c r="A75" s="1723" t="s">
        <v>568</v>
      </c>
      <c r="B75" s="1724"/>
      <c r="C75" s="1703">
        <f>SUM(C69:C74)</f>
        <v>249146</v>
      </c>
      <c r="D75" s="468"/>
      <c r="E75" s="468"/>
      <c r="F75" s="468"/>
      <c r="G75" s="468"/>
      <c r="H75" s="468"/>
      <c r="I75" s="468"/>
      <c r="J75" s="468"/>
      <c r="K75" s="468"/>
    </row>
    <row r="76" spans="1:11" ht="15.75" customHeight="1" thickTop="1" x14ac:dyDescent="0.2">
      <c r="A76" s="1611" t="s">
        <v>935</v>
      </c>
      <c r="B76" s="1613">
        <v>1700</v>
      </c>
      <c r="C76" s="553"/>
      <c r="D76" s="468"/>
      <c r="E76" s="468"/>
      <c r="F76" s="468"/>
      <c r="G76" s="468"/>
      <c r="H76" s="468"/>
      <c r="I76" s="468"/>
      <c r="J76" s="468"/>
      <c r="K76" s="468"/>
    </row>
    <row r="77" spans="1:11" ht="12.75" customHeight="1" x14ac:dyDescent="0.2">
      <c r="A77" s="463" t="s">
        <v>569</v>
      </c>
      <c r="B77" s="470">
        <v>1711</v>
      </c>
      <c r="C77" s="516">
        <v>104611</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92050</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3" t="s">
        <v>259</v>
      </c>
      <c r="B82" s="1724"/>
      <c r="C82" s="1722">
        <f>SUM(C77:C81)</f>
        <v>196661</v>
      </c>
      <c r="D82" s="1703">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572</v>
      </c>
      <c r="B84" s="470">
        <v>1811</v>
      </c>
      <c r="C84" s="466">
        <v>34601</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3" t="s">
        <v>261</v>
      </c>
      <c r="B93" s="1724"/>
      <c r="C93" s="1703">
        <f>SUM(C84:C92)</f>
        <v>34601</v>
      </c>
      <c r="D93" s="468"/>
      <c r="E93" s="468"/>
      <c r="F93" s="468"/>
      <c r="G93" s="468"/>
      <c r="H93" s="468"/>
      <c r="I93" s="468"/>
      <c r="J93" s="468"/>
      <c r="K93" s="468"/>
    </row>
    <row r="94" spans="1:11" ht="15.75" customHeight="1" thickTop="1" x14ac:dyDescent="0.2">
      <c r="A94" s="1611" t="s">
        <v>1198</v>
      </c>
      <c r="B94" s="1613">
        <v>1900</v>
      </c>
      <c r="C94" s="553"/>
      <c r="D94" s="521"/>
      <c r="E94" s="468"/>
      <c r="F94" s="468"/>
      <c r="G94" s="468"/>
      <c r="H94" s="468"/>
      <c r="I94" s="468"/>
      <c r="J94" s="468"/>
      <c r="K94" s="468"/>
    </row>
    <row r="95" spans="1:11" ht="12.75" customHeight="1" x14ac:dyDescent="0.2">
      <c r="A95" s="463" t="s">
        <v>1123</v>
      </c>
      <c r="B95" s="470">
        <v>1910</v>
      </c>
      <c r="C95" s="466">
        <v>0</v>
      </c>
      <c r="D95" s="551">
        <v>196775</v>
      </c>
      <c r="E95" s="521"/>
      <c r="F95" s="521"/>
      <c r="G95" s="521"/>
      <c r="H95" s="521"/>
      <c r="I95" s="521"/>
      <c r="J95" s="521"/>
      <c r="K95" s="521"/>
    </row>
    <row r="96" spans="1:11" ht="12.75" customHeight="1" x14ac:dyDescent="0.2">
      <c r="A96" s="463" t="s">
        <v>408</v>
      </c>
      <c r="B96" s="470">
        <v>1920</v>
      </c>
      <c r="C96" s="551">
        <v>30122</v>
      </c>
      <c r="D96" s="551">
        <v>0</v>
      </c>
      <c r="E96" s="479">
        <v>0</v>
      </c>
      <c r="F96" s="478">
        <v>0</v>
      </c>
      <c r="G96" s="478">
        <v>0</v>
      </c>
      <c r="H96" s="478">
        <v>0</v>
      </c>
      <c r="I96" s="478">
        <v>0</v>
      </c>
      <c r="J96" s="478">
        <v>0</v>
      </c>
      <c r="K96" s="478">
        <v>0</v>
      </c>
    </row>
    <row r="97" spans="1:12" ht="12.75" customHeight="1" x14ac:dyDescent="0.2">
      <c r="A97" s="1514" t="s">
        <v>262</v>
      </c>
      <c r="B97" s="559">
        <v>1930</v>
      </c>
      <c r="C97" s="489" t="s">
        <v>1230</v>
      </c>
      <c r="D97" s="467">
        <v>0</v>
      </c>
      <c r="E97" s="474">
        <v>0</v>
      </c>
      <c r="F97" s="467">
        <v>0</v>
      </c>
      <c r="G97" s="467">
        <v>0</v>
      </c>
      <c r="H97" s="467">
        <v>0</v>
      </c>
      <c r="I97" s="467">
        <v>0</v>
      </c>
      <c r="J97" s="467">
        <v>0</v>
      </c>
      <c r="K97" s="467">
        <v>0</v>
      </c>
    </row>
    <row r="98" spans="1:12" ht="12.75" customHeight="1" x14ac:dyDescent="0.2">
      <c r="A98" s="463" t="s">
        <v>198</v>
      </c>
      <c r="B98" s="470">
        <v>1940</v>
      </c>
      <c r="C98" s="489">
        <v>696378</v>
      </c>
      <c r="D98" s="466">
        <v>0</v>
      </c>
      <c r="E98" s="512"/>
      <c r="F98" s="466">
        <v>0</v>
      </c>
      <c r="G98" s="512"/>
      <c r="H98" s="512"/>
      <c r="I98" s="510"/>
      <c r="J98" s="512"/>
      <c r="K98" s="512"/>
    </row>
    <row r="99" spans="1:12" ht="12.75" customHeight="1" x14ac:dyDescent="0.2">
      <c r="A99" s="463" t="s">
        <v>874</v>
      </c>
      <c r="B99" s="470">
        <v>1950</v>
      </c>
      <c r="C99" s="489">
        <v>20312</v>
      </c>
      <c r="D99" s="466">
        <v>109737</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80000</v>
      </c>
    </row>
    <row r="101" spans="1:12" ht="12.75" customHeight="1" x14ac:dyDescent="0.2">
      <c r="A101" s="463" t="s">
        <v>264</v>
      </c>
      <c r="B101" s="470">
        <v>1970</v>
      </c>
      <c r="C101" s="489">
        <v>1050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6175</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15809</v>
      </c>
      <c r="D107" s="466">
        <v>11267</v>
      </c>
      <c r="E107" s="466">
        <v>0</v>
      </c>
      <c r="F107" s="466">
        <v>17837</v>
      </c>
      <c r="G107" s="466">
        <v>9152</v>
      </c>
      <c r="H107" s="466">
        <v>0</v>
      </c>
      <c r="I107" s="466">
        <v>0</v>
      </c>
      <c r="J107" s="467">
        <v>15701</v>
      </c>
      <c r="K107" s="466">
        <v>0</v>
      </c>
    </row>
    <row r="108" spans="1:12" ht="12.75" customHeight="1" thickBot="1" x14ac:dyDescent="0.25">
      <c r="A108" s="1723" t="s">
        <v>507</v>
      </c>
      <c r="B108" s="1727"/>
      <c r="C108" s="1722">
        <f>SUM(C95:C107)</f>
        <v>763671</v>
      </c>
      <c r="D108" s="1722">
        <f t="shared" ref="D108:K108" si="3">SUM(D95:D107)</f>
        <v>317779</v>
      </c>
      <c r="E108" s="1722">
        <f t="shared" si="3"/>
        <v>0</v>
      </c>
      <c r="F108" s="1722">
        <f t="shared" si="3"/>
        <v>17837</v>
      </c>
      <c r="G108" s="1722">
        <f t="shared" si="3"/>
        <v>9152</v>
      </c>
      <c r="H108" s="1722">
        <f t="shared" si="3"/>
        <v>6175</v>
      </c>
      <c r="I108" s="1722">
        <f t="shared" si="3"/>
        <v>0</v>
      </c>
      <c r="J108" s="1722">
        <f t="shared" si="3"/>
        <v>15701</v>
      </c>
      <c r="K108" s="1703">
        <f t="shared" si="3"/>
        <v>80000</v>
      </c>
    </row>
    <row r="109" spans="1:12" ht="14.25" thickTop="1" thickBot="1" x14ac:dyDescent="0.25">
      <c r="A109" s="1728" t="s">
        <v>266</v>
      </c>
      <c r="B109" s="1729" t="s">
        <v>590</v>
      </c>
      <c r="C109" s="1730">
        <f t="shared" ref="C109:K109" si="4">SUM(C12,C18,C40,C63,C67,C75,C82,C93,C108,)</f>
        <v>3691512</v>
      </c>
      <c r="D109" s="1730">
        <f t="shared" si="4"/>
        <v>951504</v>
      </c>
      <c r="E109" s="1730">
        <f t="shared" si="4"/>
        <v>1475553</v>
      </c>
      <c r="F109" s="1730">
        <f t="shared" si="4"/>
        <v>290336</v>
      </c>
      <c r="G109" s="1730">
        <f t="shared" si="4"/>
        <v>437187</v>
      </c>
      <c r="H109" s="1730">
        <f t="shared" si="4"/>
        <v>6180</v>
      </c>
      <c r="I109" s="1730">
        <f t="shared" si="4"/>
        <v>60264</v>
      </c>
      <c r="J109" s="1730">
        <f t="shared" si="4"/>
        <v>923715</v>
      </c>
      <c r="K109" s="1717">
        <f t="shared" si="4"/>
        <v>138449</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2"/>
      <c r="D116" s="521"/>
      <c r="E116" s="561"/>
      <c r="F116" s="521"/>
      <c r="G116" s="521"/>
      <c r="H116" s="561"/>
      <c r="I116" s="468"/>
      <c r="J116" s="521"/>
      <c r="K116" s="521"/>
    </row>
    <row r="117" spans="1:11" ht="12.75" customHeight="1" x14ac:dyDescent="0.2">
      <c r="A117" s="463" t="s">
        <v>1765</v>
      </c>
      <c r="B117" s="562">
        <v>3001</v>
      </c>
      <c r="C117" s="516">
        <v>6804775</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5"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3" t="s">
        <v>508</v>
      </c>
      <c r="B121" s="1734"/>
      <c r="C121" s="1722">
        <f t="shared" ref="C121:H121" si="5">SUM(C117:C120)</f>
        <v>6804775</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11" t="s">
        <v>1569</v>
      </c>
      <c r="B122" s="1616"/>
      <c r="C122" s="565"/>
      <c r="D122" s="509"/>
      <c r="E122" s="468"/>
      <c r="F122" s="566"/>
      <c r="G122" s="468"/>
      <c r="H122" s="468"/>
      <c r="I122" s="468"/>
      <c r="J122" s="468"/>
      <c r="K122" s="468"/>
    </row>
    <row r="123" spans="1:11" ht="15" customHeight="1" x14ac:dyDescent="0.2">
      <c r="A123" s="1617" t="s">
        <v>687</v>
      </c>
      <c r="B123" s="1618"/>
      <c r="C123" s="521"/>
      <c r="D123" s="509"/>
      <c r="E123" s="468"/>
      <c r="F123" s="521"/>
      <c r="G123" s="468"/>
      <c r="H123" s="468"/>
      <c r="I123" s="468"/>
      <c r="J123" s="468"/>
      <c r="K123" s="468"/>
    </row>
    <row r="124" spans="1:11" ht="12.75" customHeight="1" x14ac:dyDescent="0.2">
      <c r="A124" s="463" t="s">
        <v>920</v>
      </c>
      <c r="B124" s="567">
        <v>3100</v>
      </c>
      <c r="C124" s="481">
        <v>339974</v>
      </c>
      <c r="D124" s="561"/>
      <c r="E124" s="468"/>
      <c r="F124" s="548">
        <v>0</v>
      </c>
      <c r="G124" s="468"/>
      <c r="H124" s="468"/>
      <c r="I124" s="468"/>
      <c r="J124" s="468"/>
      <c r="K124" s="468"/>
    </row>
    <row r="125" spans="1:11" ht="12.75" customHeight="1" x14ac:dyDescent="0.2">
      <c r="A125" s="463" t="s">
        <v>1520</v>
      </c>
      <c r="B125" s="562">
        <v>3105</v>
      </c>
      <c r="C125" s="466">
        <v>101374</v>
      </c>
      <c r="D125" s="561"/>
      <c r="E125" s="468"/>
      <c r="F125" s="466">
        <v>0</v>
      </c>
      <c r="G125" s="468"/>
      <c r="H125" s="468"/>
      <c r="I125" s="468"/>
      <c r="J125" s="468"/>
      <c r="K125" s="468"/>
    </row>
    <row r="126" spans="1:11" ht="12.75" customHeight="1" x14ac:dyDescent="0.2">
      <c r="A126" s="463" t="s">
        <v>921</v>
      </c>
      <c r="B126" s="562">
        <v>3110</v>
      </c>
      <c r="C126" s="551">
        <v>119431</v>
      </c>
      <c r="D126" s="466">
        <v>0</v>
      </c>
      <c r="E126" s="468"/>
      <c r="F126" s="466">
        <v>0</v>
      </c>
      <c r="G126" s="468"/>
      <c r="H126" s="468"/>
      <c r="I126" s="468"/>
      <c r="J126" s="468"/>
      <c r="K126" s="468"/>
    </row>
    <row r="127" spans="1:11" ht="12.75" customHeight="1" x14ac:dyDescent="0.2">
      <c r="A127" s="463" t="s">
        <v>107</v>
      </c>
      <c r="B127" s="562">
        <v>3120</v>
      </c>
      <c r="C127" s="466">
        <v>15108</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1541</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3" t="s">
        <v>1091</v>
      </c>
      <c r="B131" s="1735"/>
      <c r="C131" s="1722">
        <f>SUM(C124:C130)</f>
        <v>577428</v>
      </c>
      <c r="D131" s="1722">
        <f>SUM(D124:D130)</f>
        <v>0</v>
      </c>
      <c r="E131" s="469" t="s">
        <v>1230</v>
      </c>
      <c r="F131" s="1722">
        <f>SUM(F124:F130)</f>
        <v>0</v>
      </c>
      <c r="G131" s="468" t="s">
        <v>1230</v>
      </c>
      <c r="H131" s="468" t="s">
        <v>1230</v>
      </c>
      <c r="I131" s="468" t="s">
        <v>1230</v>
      </c>
      <c r="J131" s="468" t="s">
        <v>1230</v>
      </c>
      <c r="K131" s="468" t="s">
        <v>1230</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16947</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3" t="s">
        <v>623</v>
      </c>
      <c r="B140" s="1735"/>
      <c r="C140" s="1722">
        <f>SUM(C133:C139)</f>
        <v>16947</v>
      </c>
      <c r="D140" s="1722">
        <f>SUM(D133:D139)</f>
        <v>0</v>
      </c>
      <c r="E140" s="561" t="s">
        <v>1230</v>
      </c>
      <c r="F140" s="477"/>
      <c r="G140" s="1722">
        <f>SUM(G133:G139)</f>
        <v>0</v>
      </c>
      <c r="H140" s="468" t="s">
        <v>1230</v>
      </c>
      <c r="I140" s="468" t="s">
        <v>1230</v>
      </c>
      <c r="J140" s="468" t="s">
        <v>1230</v>
      </c>
      <c r="K140" s="468" t="s">
        <v>1230</v>
      </c>
    </row>
    <row r="141" spans="1:11" ht="15.75" customHeight="1" thickTop="1" x14ac:dyDescent="0.2">
      <c r="A141" s="1619" t="s">
        <v>690</v>
      </c>
      <c r="B141" s="1620"/>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3" t="s">
        <v>413</v>
      </c>
      <c r="B144" s="1735"/>
      <c r="C144" s="1703">
        <f>SUM(C142:C143)</f>
        <v>0</v>
      </c>
      <c r="D144" s="468"/>
      <c r="E144" s="509"/>
      <c r="F144" s="468"/>
      <c r="G144" s="1736">
        <f>SUM(G142:G143)</f>
        <v>0</v>
      </c>
      <c r="H144" s="468"/>
      <c r="I144" s="468"/>
      <c r="J144" s="468"/>
      <c r="K144" s="468"/>
    </row>
    <row r="145" spans="1:11" s="202" customFormat="1" ht="12.75" customHeight="1" thickTop="1" x14ac:dyDescent="0.2">
      <c r="A145" s="1517" t="s">
        <v>1115</v>
      </c>
      <c r="B145" s="568">
        <v>3360</v>
      </c>
      <c r="C145" s="569">
        <v>6733</v>
      </c>
      <c r="D145" s="570"/>
      <c r="E145" s="509"/>
      <c r="F145" s="468"/>
      <c r="G145" s="571"/>
      <c r="H145" s="468"/>
      <c r="I145" s="468"/>
      <c r="J145" s="468"/>
      <c r="K145" s="468"/>
    </row>
    <row r="146" spans="1:11" ht="12.75" customHeight="1" thickBot="1" x14ac:dyDescent="0.25">
      <c r="A146" s="1518" t="s">
        <v>978</v>
      </c>
      <c r="B146" s="572">
        <v>3365</v>
      </c>
      <c r="C146" s="573">
        <v>0</v>
      </c>
      <c r="D146" s="532">
        <v>0</v>
      </c>
      <c r="E146" s="561"/>
      <c r="F146" s="468"/>
      <c r="G146" s="532">
        <v>0</v>
      </c>
      <c r="H146" s="468"/>
      <c r="I146" s="468"/>
      <c r="J146" s="468"/>
      <c r="K146" s="468"/>
    </row>
    <row r="147" spans="1:11" ht="12.75" customHeight="1" thickTop="1" thickBot="1" x14ac:dyDescent="0.25">
      <c r="A147" s="1519" t="s">
        <v>140</v>
      </c>
      <c r="B147" s="574">
        <v>3370</v>
      </c>
      <c r="C147" s="573">
        <v>20809</v>
      </c>
      <c r="D147" s="573">
        <v>0</v>
      </c>
      <c r="E147" s="509"/>
      <c r="F147" s="468"/>
      <c r="G147" s="468"/>
      <c r="H147" s="468"/>
      <c r="I147" s="468"/>
      <c r="J147" s="468"/>
      <c r="K147" s="468"/>
    </row>
    <row r="148" spans="1:11" ht="12.75" customHeight="1" thickTop="1" thickBot="1" x14ac:dyDescent="0.25">
      <c r="A148" s="1519"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9"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9" t="s">
        <v>472</v>
      </c>
      <c r="B150" s="1621"/>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363054</v>
      </c>
      <c r="G151" s="467">
        <v>0</v>
      </c>
      <c r="H151" s="468"/>
      <c r="I151" s="468"/>
      <c r="J151" s="468"/>
      <c r="K151" s="468"/>
    </row>
    <row r="152" spans="1:11" ht="12.75" customHeight="1" x14ac:dyDescent="0.2">
      <c r="A152" s="463" t="s">
        <v>1116</v>
      </c>
      <c r="B152" s="562">
        <v>3510</v>
      </c>
      <c r="C152" s="551">
        <v>0</v>
      </c>
      <c r="D152" s="466">
        <v>0</v>
      </c>
      <c r="E152" s="561"/>
      <c r="F152" s="466">
        <v>179487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3" t="s">
        <v>96</v>
      </c>
      <c r="B154" s="1735"/>
      <c r="C154" s="1722">
        <f>SUM(C151:C153)</f>
        <v>0</v>
      </c>
      <c r="D154" s="1722">
        <f>SUM(D151:D153)</f>
        <v>0</v>
      </c>
      <c r="E154" s="561"/>
      <c r="F154" s="1722">
        <f>SUM(F151:F153)</f>
        <v>542541</v>
      </c>
      <c r="G154" s="1722">
        <f>SUM(G151:G153)</f>
        <v>0</v>
      </c>
      <c r="H154" s="468"/>
      <c r="I154" s="468"/>
      <c r="J154" s="468"/>
      <c r="K154" s="468"/>
    </row>
    <row r="155" spans="1:11" ht="12.75" customHeight="1" thickTop="1" thickBot="1" x14ac:dyDescent="0.25">
      <c r="A155" s="1519" t="s">
        <v>397</v>
      </c>
      <c r="B155" s="574">
        <v>3610</v>
      </c>
      <c r="C155" s="576">
        <v>0</v>
      </c>
      <c r="D155" s="468"/>
      <c r="E155" s="509"/>
      <c r="F155" s="468"/>
      <c r="G155" s="468"/>
      <c r="H155" s="468"/>
      <c r="I155" s="468"/>
      <c r="J155" s="468"/>
      <c r="K155" s="468"/>
    </row>
    <row r="156" spans="1:11" ht="12.75" customHeight="1" thickTop="1" thickBot="1" x14ac:dyDescent="0.25">
      <c r="A156" s="1519" t="s">
        <v>52</v>
      </c>
      <c r="B156" s="574">
        <v>3660</v>
      </c>
      <c r="C156" s="573">
        <v>0</v>
      </c>
      <c r="D156" s="578">
        <v>0</v>
      </c>
      <c r="E156" s="561"/>
      <c r="F156" s="578">
        <v>0</v>
      </c>
      <c r="G156" s="578">
        <v>0</v>
      </c>
      <c r="H156" s="468"/>
      <c r="I156" s="468"/>
      <c r="J156" s="468"/>
      <c r="K156" s="468"/>
    </row>
    <row r="157" spans="1:11" ht="12.75" customHeight="1" thickTop="1" thickBot="1" x14ac:dyDescent="0.25">
      <c r="A157" s="1519" t="s">
        <v>1056</v>
      </c>
      <c r="B157" s="574">
        <v>3695</v>
      </c>
      <c r="C157" s="576">
        <v>0</v>
      </c>
      <c r="D157" s="468"/>
      <c r="E157" s="561"/>
      <c r="F157" s="576">
        <v>0</v>
      </c>
      <c r="G157" s="576">
        <v>0</v>
      </c>
      <c r="H157" s="468"/>
      <c r="I157" s="468"/>
      <c r="J157" s="468"/>
      <c r="K157" s="468"/>
    </row>
    <row r="158" spans="1:11" ht="12.75" customHeight="1" thickTop="1" thickBot="1" x14ac:dyDescent="0.25">
      <c r="A158" s="1519" t="s">
        <v>1110</v>
      </c>
      <c r="B158" s="574">
        <v>3705</v>
      </c>
      <c r="C158" s="576">
        <v>149251</v>
      </c>
      <c r="D158" s="578">
        <v>32639</v>
      </c>
      <c r="E158" s="561"/>
      <c r="F158" s="576">
        <v>1868</v>
      </c>
      <c r="G158" s="576">
        <v>10920</v>
      </c>
      <c r="H158" s="468"/>
      <c r="I158" s="468"/>
      <c r="J158" s="468"/>
      <c r="K158" s="468"/>
    </row>
    <row r="159" spans="1:11" ht="12.75" customHeight="1" thickTop="1" thickBot="1" x14ac:dyDescent="0.25">
      <c r="A159" s="1519" t="s">
        <v>39</v>
      </c>
      <c r="B159" s="574">
        <v>3715</v>
      </c>
      <c r="C159" s="576">
        <v>0</v>
      </c>
      <c r="D159" s="468"/>
      <c r="E159" s="561"/>
      <c r="F159" s="576">
        <v>0</v>
      </c>
      <c r="G159" s="576">
        <v>0</v>
      </c>
      <c r="H159" s="468"/>
      <c r="I159" s="468"/>
      <c r="J159" s="468"/>
      <c r="K159" s="468"/>
    </row>
    <row r="160" spans="1:11" ht="12.75" customHeight="1" thickTop="1" thickBot="1" x14ac:dyDescent="0.25">
      <c r="A160" s="1519" t="s">
        <v>40</v>
      </c>
      <c r="B160" s="574">
        <v>3720</v>
      </c>
      <c r="C160" s="576">
        <v>0</v>
      </c>
      <c r="D160" s="468"/>
      <c r="E160" s="561"/>
      <c r="F160" s="576">
        <v>0</v>
      </c>
      <c r="G160" s="576">
        <v>0</v>
      </c>
      <c r="H160" s="468"/>
      <c r="I160" s="468"/>
      <c r="J160" s="468"/>
      <c r="K160" s="468"/>
    </row>
    <row r="161" spans="1:11" ht="12.75" customHeight="1" thickTop="1" thickBot="1" x14ac:dyDescent="0.25">
      <c r="A161" s="1519" t="s">
        <v>414</v>
      </c>
      <c r="B161" s="574">
        <v>3725</v>
      </c>
      <c r="C161" s="531">
        <v>0</v>
      </c>
      <c r="D161" s="468"/>
      <c r="E161" s="561"/>
      <c r="F161" s="531">
        <v>0</v>
      </c>
      <c r="G161" s="531">
        <v>0</v>
      </c>
      <c r="H161" s="468"/>
      <c r="I161" s="468"/>
      <c r="J161" s="468"/>
      <c r="K161" s="468"/>
    </row>
    <row r="162" spans="1:11" ht="12.75" customHeight="1" thickTop="1" thickBot="1" x14ac:dyDescent="0.25">
      <c r="A162" s="1519" t="s">
        <v>415</v>
      </c>
      <c r="B162" s="574">
        <v>3726</v>
      </c>
      <c r="C162" s="531">
        <v>0</v>
      </c>
      <c r="D162" s="468"/>
      <c r="E162" s="561"/>
      <c r="F162" s="531">
        <v>0</v>
      </c>
      <c r="G162" s="531">
        <v>0</v>
      </c>
      <c r="H162" s="468"/>
      <c r="I162" s="468"/>
      <c r="J162" s="468"/>
      <c r="K162" s="468"/>
    </row>
    <row r="163" spans="1:11" ht="12.75" customHeight="1" thickTop="1" thickBot="1" x14ac:dyDescent="0.25">
      <c r="A163" s="1519" t="s">
        <v>41</v>
      </c>
      <c r="B163" s="574">
        <v>3766</v>
      </c>
      <c r="C163" s="576">
        <v>0</v>
      </c>
      <c r="D163" s="578">
        <v>0</v>
      </c>
      <c r="E163" s="561"/>
      <c r="F163" s="576">
        <v>0</v>
      </c>
      <c r="G163" s="531">
        <v>0</v>
      </c>
      <c r="H163" s="468"/>
      <c r="I163" s="468"/>
      <c r="J163" s="468"/>
      <c r="K163" s="468"/>
    </row>
    <row r="164" spans="1:11" ht="12.75" customHeight="1" thickTop="1" thickBot="1" x14ac:dyDescent="0.25">
      <c r="A164" s="1519" t="s">
        <v>1041</v>
      </c>
      <c r="B164" s="574">
        <v>3767</v>
      </c>
      <c r="C164" s="576">
        <v>0</v>
      </c>
      <c r="D164" s="531">
        <v>0</v>
      </c>
      <c r="E164" s="561"/>
      <c r="F164" s="531">
        <v>0</v>
      </c>
      <c r="G164" s="531">
        <v>0</v>
      </c>
      <c r="H164" s="468"/>
      <c r="I164" s="468"/>
      <c r="J164" s="468"/>
      <c r="K164" s="468"/>
    </row>
    <row r="165" spans="1:11" ht="12.75" customHeight="1" thickTop="1" thickBot="1" x14ac:dyDescent="0.25">
      <c r="A165" s="1519"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19"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19" t="s">
        <v>912</v>
      </c>
      <c r="B167" s="574">
        <v>3815</v>
      </c>
      <c r="C167" s="576">
        <v>0</v>
      </c>
      <c r="D167" s="468"/>
      <c r="E167" s="561"/>
      <c r="F167" s="576">
        <v>0</v>
      </c>
      <c r="G167" s="468"/>
      <c r="H167" s="468"/>
      <c r="I167" s="468"/>
      <c r="J167" s="468"/>
      <c r="K167" s="468"/>
    </row>
    <row r="168" spans="1:11" ht="12.75" customHeight="1" thickTop="1" thickBot="1" x14ac:dyDescent="0.25">
      <c r="A168" s="1519" t="s">
        <v>416</v>
      </c>
      <c r="B168" s="574">
        <v>3825</v>
      </c>
      <c r="C168" s="576">
        <v>0</v>
      </c>
      <c r="D168" s="468"/>
      <c r="E168" s="561"/>
      <c r="F168" s="576">
        <v>0</v>
      </c>
      <c r="G168" s="468"/>
      <c r="H168" s="468"/>
      <c r="I168" s="468"/>
      <c r="J168" s="468"/>
      <c r="K168" s="468"/>
    </row>
    <row r="169" spans="1:11" ht="12.75" customHeight="1" thickTop="1" thickBot="1" x14ac:dyDescent="0.25">
      <c r="A169" s="1519" t="s">
        <v>365</v>
      </c>
      <c r="B169" s="574">
        <v>3920</v>
      </c>
      <c r="C169" s="566"/>
      <c r="D169" s="578">
        <v>0</v>
      </c>
      <c r="E169" s="468"/>
      <c r="F169" s="566"/>
      <c r="G169" s="468"/>
      <c r="H169" s="530">
        <v>0</v>
      </c>
      <c r="I169" s="468"/>
      <c r="J169" s="468"/>
      <c r="K169" s="468"/>
    </row>
    <row r="170" spans="1:11" ht="12.75" customHeight="1" thickTop="1" thickBot="1" x14ac:dyDescent="0.25">
      <c r="A170" s="1519" t="s">
        <v>366</v>
      </c>
      <c r="B170" s="574">
        <v>3925</v>
      </c>
      <c r="C170" s="521"/>
      <c r="D170" s="576">
        <v>0</v>
      </c>
      <c r="E170" s="521"/>
      <c r="F170" s="521"/>
      <c r="G170" s="468"/>
      <c r="H170" s="531">
        <v>0</v>
      </c>
      <c r="I170" s="468"/>
      <c r="J170" s="468"/>
      <c r="K170" s="530">
        <v>0</v>
      </c>
    </row>
    <row r="171" spans="1:11" ht="14.25" thickTop="1" thickBot="1" x14ac:dyDescent="0.25">
      <c r="A171" s="1519"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65" t="s">
        <v>417</v>
      </c>
      <c r="B172" s="2166"/>
      <c r="C172" s="1737">
        <f t="shared" ref="C172:K172" si="6">SUM(C131,C140,C144,C145:C149,C154,C155:C170,C171)</f>
        <v>772668</v>
      </c>
      <c r="D172" s="1737">
        <f t="shared" si="6"/>
        <v>32639</v>
      </c>
      <c r="E172" s="1737">
        <f t="shared" si="6"/>
        <v>0</v>
      </c>
      <c r="F172" s="1737">
        <f t="shared" si="6"/>
        <v>544409</v>
      </c>
      <c r="G172" s="1737">
        <f t="shared" si="6"/>
        <v>10920</v>
      </c>
      <c r="H172" s="1737">
        <f t="shared" si="6"/>
        <v>0</v>
      </c>
      <c r="I172" s="1737">
        <f t="shared" si="6"/>
        <v>0</v>
      </c>
      <c r="J172" s="1737">
        <f t="shared" si="6"/>
        <v>0</v>
      </c>
      <c r="K172" s="1718">
        <f t="shared" si="6"/>
        <v>0</v>
      </c>
    </row>
    <row r="173" spans="1:11" ht="12.75" customHeight="1" thickTop="1" thickBot="1" x14ac:dyDescent="0.25">
      <c r="A173" s="1723" t="s">
        <v>418</v>
      </c>
      <c r="B173" s="1729" t="s">
        <v>595</v>
      </c>
      <c r="C173" s="1730">
        <f>SUM(C121,C172)</f>
        <v>7577443</v>
      </c>
      <c r="D173" s="1730">
        <f>SUM(D121,D172)</f>
        <v>32639</v>
      </c>
      <c r="E173" s="1730">
        <f>SUM(E121,E172)</f>
        <v>0</v>
      </c>
      <c r="F173" s="1730">
        <f t="shared" ref="F173:K173" si="7">SUM(F121,F172)</f>
        <v>544409</v>
      </c>
      <c r="G173" s="1730">
        <f t="shared" si="7"/>
        <v>10920</v>
      </c>
      <c r="H173" s="1730">
        <f t="shared" si="7"/>
        <v>0</v>
      </c>
      <c r="I173" s="1730">
        <f t="shared" si="7"/>
        <v>0</v>
      </c>
      <c r="J173" s="1730">
        <f t="shared" si="7"/>
        <v>0</v>
      </c>
      <c r="K173" s="1717">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167" t="s">
        <v>1571</v>
      </c>
      <c r="B175" s="2168"/>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1" t="s">
        <v>1763</v>
      </c>
      <c r="B178" s="2172"/>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75" t="s">
        <v>1762</v>
      </c>
      <c r="B179" s="2176"/>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3" t="s">
        <v>817</v>
      </c>
      <c r="B184" s="2174"/>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69" t="s">
        <v>1902</v>
      </c>
      <c r="B185" s="2170"/>
      <c r="C185" s="584"/>
      <c r="D185" s="566"/>
      <c r="E185" s="509"/>
      <c r="F185" s="566"/>
      <c r="G185" s="566"/>
      <c r="H185" s="468"/>
      <c r="I185" s="468"/>
      <c r="J185" s="468"/>
      <c r="K185" s="468"/>
    </row>
    <row r="186" spans="1:11" ht="15.75" customHeight="1" x14ac:dyDescent="0.2">
      <c r="A186" s="1622" t="s">
        <v>1691</v>
      </c>
      <c r="B186" s="1623"/>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27285</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3" t="s">
        <v>1696</v>
      </c>
      <c r="B191" s="1724"/>
      <c r="C191" s="1722">
        <f>SUM(C187:C190)</f>
        <v>27285</v>
      </c>
      <c r="D191" s="1722">
        <f>SUM(D187:D190)</f>
        <v>0</v>
      </c>
      <c r="E191" s="561"/>
      <c r="F191" s="1722">
        <f>SUM(F187:F190)</f>
        <v>0</v>
      </c>
      <c r="G191" s="1722">
        <f>SUM(G187:G190)</f>
        <v>0</v>
      </c>
      <c r="H191" s="468"/>
      <c r="I191" s="468"/>
      <c r="J191" s="468"/>
      <c r="K191" s="468"/>
    </row>
    <row r="192" spans="1:11" ht="15.75" customHeight="1" thickTop="1" x14ac:dyDescent="0.2">
      <c r="A192" s="1619" t="s">
        <v>474</v>
      </c>
      <c r="B192" s="1624"/>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340715</v>
      </c>
      <c r="D194" s="468"/>
      <c r="E194" s="561"/>
      <c r="F194" s="468"/>
      <c r="G194" s="585">
        <v>0</v>
      </c>
      <c r="H194" s="468"/>
      <c r="I194" s="468"/>
      <c r="J194" s="468"/>
      <c r="K194" s="468"/>
    </row>
    <row r="195" spans="1:11" ht="12.75" customHeight="1" x14ac:dyDescent="0.2">
      <c r="A195" s="463" t="s">
        <v>1106</v>
      </c>
      <c r="B195" s="470">
        <v>4215</v>
      </c>
      <c r="C195" s="551">
        <v>2081</v>
      </c>
      <c r="D195" s="468"/>
      <c r="E195" s="561"/>
      <c r="F195" s="468"/>
      <c r="G195" s="585">
        <v>0</v>
      </c>
      <c r="H195" s="468"/>
      <c r="I195" s="468"/>
      <c r="J195" s="468"/>
      <c r="K195" s="468"/>
    </row>
    <row r="196" spans="1:11" ht="12.75" customHeight="1" x14ac:dyDescent="0.2">
      <c r="A196" s="463" t="s">
        <v>1118</v>
      </c>
      <c r="B196" s="470">
        <v>4220</v>
      </c>
      <c r="C196" s="551">
        <v>103021</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3" t="s">
        <v>568</v>
      </c>
      <c r="B201" s="1724"/>
      <c r="C201" s="1703">
        <f>SUM(C193:C200)</f>
        <v>445817</v>
      </c>
      <c r="D201" s="468"/>
      <c r="E201" s="468"/>
      <c r="F201" s="468"/>
      <c r="G201" s="1703">
        <f>SUM(G193:G200)</f>
        <v>0</v>
      </c>
      <c r="H201" s="468"/>
      <c r="I201" s="468"/>
      <c r="J201" s="468"/>
      <c r="K201" s="468"/>
    </row>
    <row r="202" spans="1:11" ht="15.75" customHeight="1" thickTop="1" x14ac:dyDescent="0.2">
      <c r="A202" s="1619" t="s">
        <v>1199</v>
      </c>
      <c r="B202" s="1624"/>
      <c r="C202" s="553"/>
      <c r="D202" s="468"/>
      <c r="E202" s="468"/>
      <c r="F202" s="468"/>
      <c r="G202" s="468"/>
      <c r="H202" s="468"/>
      <c r="I202" s="468"/>
      <c r="J202" s="468"/>
      <c r="K202" s="468"/>
    </row>
    <row r="203" spans="1:11" ht="12.75" customHeight="1" x14ac:dyDescent="0.2">
      <c r="A203" s="463" t="s">
        <v>973</v>
      </c>
      <c r="B203" s="470">
        <v>4300</v>
      </c>
      <c r="C203" s="466">
        <v>381987</v>
      </c>
      <c r="D203" s="466">
        <v>0</v>
      </c>
      <c r="E203" s="468"/>
      <c r="F203" s="466">
        <v>0</v>
      </c>
      <c r="G203" s="466">
        <v>2075</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3" t="s">
        <v>419</v>
      </c>
      <c r="B211" s="1724"/>
      <c r="C211" s="1722">
        <f>SUM(C203:C210)</f>
        <v>381987</v>
      </c>
      <c r="D211" s="1722">
        <f>SUM(D203:D210)</f>
        <v>0</v>
      </c>
      <c r="E211" s="468"/>
      <c r="F211" s="1722">
        <f>SUM(F203:F210)</f>
        <v>0</v>
      </c>
      <c r="G211" s="1722">
        <f>SUM(G203:G210)</f>
        <v>2075</v>
      </c>
      <c r="H211" s="468"/>
      <c r="I211" s="468"/>
      <c r="J211" s="468"/>
      <c r="K211" s="468"/>
    </row>
    <row r="212" spans="1:11" ht="15.75" customHeight="1" thickTop="1" x14ac:dyDescent="0.2">
      <c r="A212" s="1619" t="s">
        <v>1200</v>
      </c>
      <c r="B212" s="1624"/>
      <c r="C212" s="553"/>
      <c r="D212" s="553"/>
      <c r="E212" s="468"/>
      <c r="F212" s="553"/>
      <c r="G212" s="553"/>
      <c r="H212" s="468"/>
      <c r="I212" s="468"/>
      <c r="J212" s="468"/>
      <c r="K212" s="468"/>
    </row>
    <row r="213" spans="1:11" ht="12.75" customHeight="1" x14ac:dyDescent="0.2">
      <c r="A213" s="463" t="s">
        <v>782</v>
      </c>
      <c r="B213" s="470">
        <v>4400</v>
      </c>
      <c r="C213" s="551">
        <v>6231</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3" t="s">
        <v>943</v>
      </c>
      <c r="B216" s="1724"/>
      <c r="C216" s="1722">
        <f>SUM(C213:C215)</f>
        <v>6231</v>
      </c>
      <c r="D216" s="1722">
        <f>SUM(D213:D215)</f>
        <v>0</v>
      </c>
      <c r="E216" s="468" t="s">
        <v>1230</v>
      </c>
      <c r="F216" s="1722">
        <f>SUM(F213:F215)</f>
        <v>0</v>
      </c>
      <c r="G216" s="1722">
        <f>SUM(G213:G215)</f>
        <v>0</v>
      </c>
      <c r="H216" s="468"/>
      <c r="I216" s="468"/>
      <c r="J216" s="468"/>
      <c r="K216" s="468"/>
    </row>
    <row r="217" spans="1:11" ht="15.75" customHeight="1" thickTop="1" x14ac:dyDescent="0.2">
      <c r="A217" s="1619" t="s">
        <v>1153</v>
      </c>
      <c r="B217" s="1624"/>
      <c r="C217" s="553"/>
      <c r="D217" s="553"/>
      <c r="E217" s="468"/>
      <c r="F217" s="553"/>
      <c r="G217" s="553"/>
      <c r="H217" s="468"/>
      <c r="I217" s="468"/>
      <c r="J217" s="468"/>
      <c r="K217" s="468"/>
    </row>
    <row r="218" spans="1:11" ht="12.75" customHeight="1" x14ac:dyDescent="0.2">
      <c r="A218" s="463" t="s">
        <v>1111</v>
      </c>
      <c r="B218" s="470">
        <v>4600</v>
      </c>
      <c r="C218" s="551">
        <v>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216190</v>
      </c>
      <c r="D220" s="466">
        <v>0</v>
      </c>
      <c r="E220" s="468"/>
      <c r="F220" s="466">
        <v>0</v>
      </c>
      <c r="G220" s="466">
        <v>0</v>
      </c>
      <c r="H220" s="468"/>
      <c r="I220" s="468"/>
      <c r="J220" s="468"/>
      <c r="K220" s="468"/>
    </row>
    <row r="221" spans="1:11" ht="12.75" customHeight="1" x14ac:dyDescent="0.2">
      <c r="A221" s="463" t="s">
        <v>1113</v>
      </c>
      <c r="B221" s="470">
        <v>4625</v>
      </c>
      <c r="C221" s="551">
        <v>0</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0" t="s">
        <v>76</v>
      </c>
      <c r="B223" s="557">
        <v>4699</v>
      </c>
      <c r="C223" s="551">
        <v>0</v>
      </c>
      <c r="D223" s="466">
        <v>0</v>
      </c>
      <c r="E223" s="468"/>
      <c r="F223" s="466">
        <v>0</v>
      </c>
      <c r="G223" s="466">
        <v>0</v>
      </c>
      <c r="H223" s="468"/>
      <c r="I223" s="468"/>
      <c r="J223" s="468"/>
      <c r="K223" s="468"/>
    </row>
    <row r="224" spans="1:11" ht="12.75" customHeight="1" thickBot="1" x14ac:dyDescent="0.25">
      <c r="A224" s="1723" t="s">
        <v>466</v>
      </c>
      <c r="B224" s="1724"/>
      <c r="C224" s="1722">
        <f>SUM(C218:C223)</f>
        <v>216190</v>
      </c>
      <c r="D224" s="1722">
        <f>SUM(D218:D223)</f>
        <v>0</v>
      </c>
      <c r="E224" s="468"/>
      <c r="F224" s="1722">
        <f>SUM(F218:F223)</f>
        <v>0</v>
      </c>
      <c r="G224" s="1722">
        <f>SUM(G218:G223)</f>
        <v>0</v>
      </c>
      <c r="H224" s="468"/>
      <c r="I224" s="468"/>
      <c r="J224" s="468"/>
      <c r="K224" s="468"/>
    </row>
    <row r="225" spans="1:11" ht="15.75" customHeight="1" thickTop="1" x14ac:dyDescent="0.2">
      <c r="A225" s="1619" t="s">
        <v>1154</v>
      </c>
      <c r="B225" s="1624"/>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8" t="s">
        <v>1144</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0" t="s">
        <v>797</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21" t="s">
        <v>1492</v>
      </c>
      <c r="B260" s="588">
        <v>4901</v>
      </c>
      <c r="C260" s="589" t="s">
        <v>1230</v>
      </c>
      <c r="D260" s="469"/>
      <c r="E260" s="468"/>
      <c r="F260" s="468"/>
      <c r="G260" s="468"/>
      <c r="H260" s="468"/>
      <c r="I260" s="468"/>
      <c r="J260" s="468"/>
      <c r="K260" s="468"/>
    </row>
    <row r="261" spans="1:11" ht="12.75" customHeight="1" thickTop="1" thickBot="1" x14ac:dyDescent="0.25">
      <c r="A261" s="1522" t="s">
        <v>1537</v>
      </c>
      <c r="B261" s="590">
        <v>4902</v>
      </c>
      <c r="C261" s="591" t="s">
        <v>1230</v>
      </c>
      <c r="D261" s="592" t="s">
        <v>1230</v>
      </c>
      <c r="E261" s="469"/>
      <c r="F261" s="592" t="s">
        <v>1230</v>
      </c>
      <c r="G261" s="592" t="s">
        <v>1230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64329</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23274</v>
      </c>
      <c r="D270" s="576">
        <v>0</v>
      </c>
      <c r="E270" s="468"/>
      <c r="F270" s="576">
        <v>0</v>
      </c>
      <c r="G270" s="576">
        <v>0</v>
      </c>
      <c r="H270" s="468"/>
      <c r="I270" s="468"/>
      <c r="J270" s="468"/>
      <c r="K270" s="468"/>
    </row>
    <row r="271" spans="1:11" ht="12.75" customHeight="1" thickTop="1" thickBot="1" x14ac:dyDescent="0.25">
      <c r="A271" s="463" t="s">
        <v>394</v>
      </c>
      <c r="B271" s="470">
        <v>4992</v>
      </c>
      <c r="C271" s="575">
        <v>46668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3" t="s">
        <v>1764</v>
      </c>
      <c r="B273" s="1742"/>
      <c r="C273" s="1730">
        <f t="shared" ref="C273:H273" si="10">SUM(C191,C201,C211,C216,C224,C228,C229,C259:C272)</f>
        <v>1211781</v>
      </c>
      <c r="D273" s="1730">
        <f t="shared" si="10"/>
        <v>0</v>
      </c>
      <c r="E273" s="1730">
        <f t="shared" si="10"/>
        <v>0</v>
      </c>
      <c r="F273" s="1730">
        <f t="shared" si="10"/>
        <v>0</v>
      </c>
      <c r="G273" s="1730">
        <f t="shared" si="10"/>
        <v>2075</v>
      </c>
      <c r="H273" s="1730">
        <f t="shared" si="10"/>
        <v>0</v>
      </c>
      <c r="I273" s="468"/>
      <c r="J273" s="1730">
        <f>SUM(J191,J201,J211,J216,J224,J228,J229,J259:J272)</f>
        <v>0</v>
      </c>
      <c r="K273" s="1717">
        <f>SUM(K191,K201,K211,K216,K224,K228,K229,K259:K272)</f>
        <v>0</v>
      </c>
    </row>
    <row r="274" spans="1:11" ht="14.25" thickTop="1" thickBot="1" x14ac:dyDescent="0.25">
      <c r="A274" s="1743" t="s">
        <v>1146</v>
      </c>
      <c r="B274" s="1744" t="s">
        <v>914</v>
      </c>
      <c r="C274" s="1730">
        <f>SUM(C178,C184,C273)</f>
        <v>1211781</v>
      </c>
      <c r="D274" s="1730">
        <f>SUM(D178,D184,D273)</f>
        <v>0</v>
      </c>
      <c r="E274" s="1730">
        <f>SUM(E178,E273)</f>
        <v>0</v>
      </c>
      <c r="F274" s="1730">
        <f t="shared" ref="F274:K274" si="11">SUM(F178,F184,F273)</f>
        <v>0</v>
      </c>
      <c r="G274" s="1730">
        <f t="shared" si="11"/>
        <v>2075</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12480736</v>
      </c>
      <c r="D275" s="1730">
        <f t="shared" si="12"/>
        <v>984143</v>
      </c>
      <c r="E275" s="1730">
        <f t="shared" si="12"/>
        <v>1475553</v>
      </c>
      <c r="F275" s="1730">
        <f t="shared" si="12"/>
        <v>834745</v>
      </c>
      <c r="G275" s="1730">
        <f t="shared" si="12"/>
        <v>450182</v>
      </c>
      <c r="H275" s="1730">
        <f t="shared" si="12"/>
        <v>6180</v>
      </c>
      <c r="I275" s="1730">
        <f t="shared" si="12"/>
        <v>60264</v>
      </c>
      <c r="J275" s="1730">
        <f t="shared" si="12"/>
        <v>923715</v>
      </c>
      <c r="K275" s="1717">
        <f t="shared" si="12"/>
        <v>138449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10" activePane="bottomLeft" state="frozen"/>
      <selection activeCell="A47" sqref="A47"/>
      <selection pane="bottomLeft" activeCell="P205" sqref="P204:P205"/>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5" t="s">
        <v>314</v>
      </c>
      <c r="B3" s="2186"/>
      <c r="C3" s="1567"/>
      <c r="D3" s="1567"/>
      <c r="E3" s="1567"/>
      <c r="F3" s="1567"/>
      <c r="G3" s="1567"/>
      <c r="H3" s="1567"/>
      <c r="I3" s="1567"/>
      <c r="J3" s="1567"/>
      <c r="K3" s="1568"/>
      <c r="L3" s="1569"/>
      <c r="M3" s="610"/>
      <c r="N3" s="610"/>
    </row>
    <row r="4" spans="1:14" s="259" customFormat="1" ht="15.75" customHeight="1" x14ac:dyDescent="0.2">
      <c r="A4" s="1625" t="s">
        <v>46</v>
      </c>
      <c r="B4" s="1626" t="s">
        <v>590</v>
      </c>
      <c r="C4" s="611"/>
      <c r="D4" s="611"/>
      <c r="E4" s="611"/>
      <c r="F4" s="611"/>
      <c r="G4" s="611"/>
      <c r="H4" s="611"/>
      <c r="I4" s="612"/>
      <c r="J4" s="611"/>
      <c r="K4" s="613"/>
      <c r="L4" s="611"/>
      <c r="M4" s="614"/>
      <c r="N4" s="614"/>
    </row>
    <row r="5" spans="1:14" x14ac:dyDescent="0.2">
      <c r="A5" s="1523" t="s">
        <v>1017</v>
      </c>
      <c r="B5" s="615">
        <v>1100</v>
      </c>
      <c r="C5" s="466">
        <v>3740364</v>
      </c>
      <c r="D5" s="466">
        <v>678888</v>
      </c>
      <c r="E5" s="466">
        <v>3334</v>
      </c>
      <c r="F5" s="466">
        <v>150673</v>
      </c>
      <c r="G5" s="466">
        <v>588</v>
      </c>
      <c r="H5" s="466">
        <v>0</v>
      </c>
      <c r="I5" s="467">
        <v>0</v>
      </c>
      <c r="J5" s="467">
        <v>0</v>
      </c>
      <c r="K5" s="1686">
        <f>SUM(C5:J5)</f>
        <v>4573847</v>
      </c>
      <c r="L5" s="466">
        <v>4809223</v>
      </c>
    </row>
    <row r="6" spans="1:14" x14ac:dyDescent="0.2">
      <c r="A6" s="1523" t="s">
        <v>1507</v>
      </c>
      <c r="B6" s="615" t="s">
        <v>1505</v>
      </c>
      <c r="C6" s="477"/>
      <c r="D6" s="477"/>
      <c r="E6" s="466" t="s">
        <v>1230</v>
      </c>
      <c r="F6" s="477"/>
      <c r="G6" s="477"/>
      <c r="H6" s="477"/>
      <c r="I6" s="477"/>
      <c r="J6" s="477"/>
      <c r="K6" s="1686">
        <f>SUM(C6,E6)</f>
        <v>0</v>
      </c>
      <c r="L6" s="466">
        <v>0</v>
      </c>
    </row>
    <row r="7" spans="1:14" x14ac:dyDescent="0.2">
      <c r="A7" s="1523" t="s">
        <v>165</v>
      </c>
      <c r="B7" s="615" t="s">
        <v>1023</v>
      </c>
      <c r="C7" s="467">
        <v>122362</v>
      </c>
      <c r="D7" s="467">
        <v>10338</v>
      </c>
      <c r="E7" s="467">
        <v>0</v>
      </c>
      <c r="F7" s="467">
        <v>705</v>
      </c>
      <c r="G7" s="467">
        <v>0</v>
      </c>
      <c r="H7" s="467">
        <v>0</v>
      </c>
      <c r="I7" s="467">
        <v>0</v>
      </c>
      <c r="J7" s="467">
        <v>0</v>
      </c>
      <c r="K7" s="1686">
        <f t="shared" ref="K7:K32" si="0">SUM(C7:J7)</f>
        <v>133405</v>
      </c>
      <c r="L7" s="466">
        <v>157632</v>
      </c>
    </row>
    <row r="8" spans="1:14" x14ac:dyDescent="0.2">
      <c r="A8" s="1523" t="s">
        <v>166</v>
      </c>
      <c r="B8" s="615">
        <v>1200</v>
      </c>
      <c r="C8" s="466">
        <v>972245</v>
      </c>
      <c r="D8" s="466">
        <v>140272</v>
      </c>
      <c r="E8" s="466">
        <v>4727</v>
      </c>
      <c r="F8" s="466">
        <v>4434</v>
      </c>
      <c r="G8" s="466">
        <v>1789</v>
      </c>
      <c r="H8" s="466">
        <v>0</v>
      </c>
      <c r="I8" s="467">
        <v>0</v>
      </c>
      <c r="J8" s="467">
        <v>0</v>
      </c>
      <c r="K8" s="1686">
        <f t="shared" si="0"/>
        <v>1123467</v>
      </c>
      <c r="L8" s="466">
        <v>1168614</v>
      </c>
    </row>
    <row r="9" spans="1:14" x14ac:dyDescent="0.2">
      <c r="A9" s="1523" t="s">
        <v>744</v>
      </c>
      <c r="B9" s="615" t="s">
        <v>1024</v>
      </c>
      <c r="C9" s="467">
        <v>0</v>
      </c>
      <c r="D9" s="467">
        <v>0</v>
      </c>
      <c r="E9" s="467">
        <v>0</v>
      </c>
      <c r="F9" s="467">
        <v>0</v>
      </c>
      <c r="G9" s="467">
        <v>0</v>
      </c>
      <c r="H9" s="467">
        <v>0</v>
      </c>
      <c r="I9" s="467">
        <v>0</v>
      </c>
      <c r="J9" s="467">
        <v>0</v>
      </c>
      <c r="K9" s="1686">
        <f t="shared" si="0"/>
        <v>0</v>
      </c>
      <c r="L9" s="466">
        <v>0</v>
      </c>
    </row>
    <row r="10" spans="1:14" x14ac:dyDescent="0.2">
      <c r="A10" s="1523" t="s">
        <v>745</v>
      </c>
      <c r="B10" s="615">
        <v>1250</v>
      </c>
      <c r="C10" s="466">
        <v>343456</v>
      </c>
      <c r="D10" s="466">
        <v>80633</v>
      </c>
      <c r="E10" s="466">
        <v>37507</v>
      </c>
      <c r="F10" s="466">
        <v>104616</v>
      </c>
      <c r="G10" s="466">
        <v>5593</v>
      </c>
      <c r="H10" s="466">
        <v>0</v>
      </c>
      <c r="I10" s="467">
        <v>0</v>
      </c>
      <c r="J10" s="467">
        <v>0</v>
      </c>
      <c r="K10" s="1686">
        <f t="shared" si="0"/>
        <v>571805</v>
      </c>
      <c r="L10" s="466">
        <v>590558</v>
      </c>
    </row>
    <row r="11" spans="1:14" x14ac:dyDescent="0.2">
      <c r="A11" s="1523" t="s">
        <v>1191</v>
      </c>
      <c r="B11" s="615" t="s">
        <v>163</v>
      </c>
      <c r="C11" s="467">
        <v>0</v>
      </c>
      <c r="D11" s="467">
        <v>0</v>
      </c>
      <c r="E11" s="467">
        <v>0</v>
      </c>
      <c r="F11" s="467">
        <v>0</v>
      </c>
      <c r="G11" s="467">
        <v>0</v>
      </c>
      <c r="H11" s="467">
        <v>0</v>
      </c>
      <c r="I11" s="467">
        <v>0</v>
      </c>
      <c r="J11" s="467">
        <v>0</v>
      </c>
      <c r="K11" s="1686">
        <f t="shared" si="0"/>
        <v>0</v>
      </c>
      <c r="L11" s="466">
        <v>0</v>
      </c>
    </row>
    <row r="12" spans="1:14" x14ac:dyDescent="0.2">
      <c r="A12" s="1523" t="s">
        <v>1018</v>
      </c>
      <c r="B12" s="615">
        <v>1300</v>
      </c>
      <c r="C12" s="466">
        <v>0</v>
      </c>
      <c r="D12" s="466">
        <v>0</v>
      </c>
      <c r="E12" s="466">
        <v>0</v>
      </c>
      <c r="F12" s="466">
        <v>0</v>
      </c>
      <c r="G12" s="466">
        <v>0</v>
      </c>
      <c r="H12" s="466">
        <v>0</v>
      </c>
      <c r="I12" s="467">
        <v>0</v>
      </c>
      <c r="J12" s="467">
        <v>0</v>
      </c>
      <c r="K12" s="1686">
        <f t="shared" si="0"/>
        <v>0</v>
      </c>
      <c r="L12" s="466">
        <v>0</v>
      </c>
    </row>
    <row r="13" spans="1:14" x14ac:dyDescent="0.2">
      <c r="A13" s="1523" t="s">
        <v>746</v>
      </c>
      <c r="B13" s="615">
        <v>1400</v>
      </c>
      <c r="C13" s="466">
        <v>733775</v>
      </c>
      <c r="D13" s="466">
        <v>159394</v>
      </c>
      <c r="E13" s="466">
        <v>6250</v>
      </c>
      <c r="F13" s="466">
        <v>14299</v>
      </c>
      <c r="G13" s="466">
        <v>68657</v>
      </c>
      <c r="H13" s="466">
        <v>0</v>
      </c>
      <c r="I13" s="467">
        <v>0</v>
      </c>
      <c r="J13" s="467">
        <v>0</v>
      </c>
      <c r="K13" s="1686">
        <f t="shared" si="0"/>
        <v>982375</v>
      </c>
      <c r="L13" s="466">
        <v>901999</v>
      </c>
    </row>
    <row r="14" spans="1:14" x14ac:dyDescent="0.2">
      <c r="A14" s="1523" t="s">
        <v>1019</v>
      </c>
      <c r="B14" s="615">
        <v>1500</v>
      </c>
      <c r="C14" s="466">
        <v>372055</v>
      </c>
      <c r="D14" s="466">
        <v>58104</v>
      </c>
      <c r="E14" s="466">
        <v>43572</v>
      </c>
      <c r="F14" s="466">
        <v>38967</v>
      </c>
      <c r="G14" s="466">
        <v>0</v>
      </c>
      <c r="H14" s="466">
        <v>6113</v>
      </c>
      <c r="I14" s="466">
        <v>0</v>
      </c>
      <c r="J14" s="466">
        <v>0</v>
      </c>
      <c r="K14" s="1686">
        <f t="shared" si="0"/>
        <v>518811</v>
      </c>
      <c r="L14" s="466">
        <v>507918</v>
      </c>
    </row>
    <row r="15" spans="1:14" x14ac:dyDescent="0.2">
      <c r="A15" s="1523" t="s">
        <v>1020</v>
      </c>
      <c r="B15" s="615">
        <v>1600</v>
      </c>
      <c r="C15" s="466">
        <v>0</v>
      </c>
      <c r="D15" s="466">
        <v>0</v>
      </c>
      <c r="E15" s="466">
        <v>0</v>
      </c>
      <c r="F15" s="466">
        <v>0</v>
      </c>
      <c r="G15" s="466">
        <v>0</v>
      </c>
      <c r="H15" s="466">
        <v>0</v>
      </c>
      <c r="I15" s="466">
        <v>0</v>
      </c>
      <c r="J15" s="466">
        <v>0</v>
      </c>
      <c r="K15" s="1686">
        <f t="shared" si="0"/>
        <v>0</v>
      </c>
      <c r="L15" s="466">
        <v>0</v>
      </c>
    </row>
    <row r="16" spans="1:14" x14ac:dyDescent="0.2">
      <c r="A16" s="1523" t="s">
        <v>1043</v>
      </c>
      <c r="B16" s="615" t="s">
        <v>443</v>
      </c>
      <c r="C16" s="466">
        <v>0</v>
      </c>
      <c r="D16" s="466">
        <v>0</v>
      </c>
      <c r="E16" s="466">
        <v>0</v>
      </c>
      <c r="F16" s="466">
        <v>0</v>
      </c>
      <c r="G16" s="466">
        <v>0</v>
      </c>
      <c r="H16" s="466">
        <v>0</v>
      </c>
      <c r="I16" s="466">
        <v>0</v>
      </c>
      <c r="J16" s="466">
        <v>0</v>
      </c>
      <c r="K16" s="1686">
        <f t="shared" si="0"/>
        <v>0</v>
      </c>
      <c r="L16" s="466">
        <v>0</v>
      </c>
    </row>
    <row r="17" spans="1:12" x14ac:dyDescent="0.2">
      <c r="A17" s="1523" t="s">
        <v>747</v>
      </c>
      <c r="B17" s="615" t="s">
        <v>164</v>
      </c>
      <c r="C17" s="466">
        <v>27611</v>
      </c>
      <c r="D17" s="466">
        <v>4894</v>
      </c>
      <c r="E17" s="466">
        <v>808</v>
      </c>
      <c r="F17" s="466">
        <v>1755</v>
      </c>
      <c r="G17" s="466">
        <v>0</v>
      </c>
      <c r="H17" s="466">
        <v>0</v>
      </c>
      <c r="I17" s="466">
        <v>0</v>
      </c>
      <c r="J17" s="466">
        <v>0</v>
      </c>
      <c r="K17" s="1686">
        <f t="shared" si="0"/>
        <v>35068</v>
      </c>
      <c r="L17" s="466">
        <v>49574</v>
      </c>
    </row>
    <row r="18" spans="1:12" x14ac:dyDescent="0.2">
      <c r="A18" s="1523" t="s">
        <v>1147</v>
      </c>
      <c r="B18" s="615">
        <v>1800</v>
      </c>
      <c r="C18" s="466">
        <v>0</v>
      </c>
      <c r="D18" s="466">
        <v>0</v>
      </c>
      <c r="E18" s="466">
        <v>0</v>
      </c>
      <c r="F18" s="466">
        <v>0</v>
      </c>
      <c r="G18" s="466">
        <v>0</v>
      </c>
      <c r="H18" s="466">
        <v>0</v>
      </c>
      <c r="I18" s="466">
        <v>0</v>
      </c>
      <c r="J18" s="466">
        <v>0</v>
      </c>
      <c r="K18" s="1686">
        <f t="shared" si="0"/>
        <v>0</v>
      </c>
      <c r="L18" s="466">
        <v>0</v>
      </c>
    </row>
    <row r="19" spans="1:12" x14ac:dyDescent="0.2">
      <c r="A19" s="1523" t="s">
        <v>136</v>
      </c>
      <c r="B19" s="615">
        <v>1900</v>
      </c>
      <c r="C19" s="466">
        <v>0</v>
      </c>
      <c r="D19" s="466">
        <v>0</v>
      </c>
      <c r="E19" s="466">
        <v>0</v>
      </c>
      <c r="F19" s="466">
        <v>0</v>
      </c>
      <c r="G19" s="466">
        <v>0</v>
      </c>
      <c r="H19" s="466">
        <v>0</v>
      </c>
      <c r="I19" s="466">
        <v>0</v>
      </c>
      <c r="J19" s="466">
        <v>0</v>
      </c>
      <c r="K19" s="1686">
        <f t="shared" si="0"/>
        <v>0</v>
      </c>
      <c r="L19" s="466">
        <v>0</v>
      </c>
    </row>
    <row r="20" spans="1:12" x14ac:dyDescent="0.2">
      <c r="A20" s="1524" t="s">
        <v>761</v>
      </c>
      <c r="B20" s="603" t="s">
        <v>748</v>
      </c>
      <c r="C20" s="477"/>
      <c r="D20" s="477"/>
      <c r="E20" s="477"/>
      <c r="F20" s="477"/>
      <c r="G20" s="477"/>
      <c r="H20" s="466">
        <v>0</v>
      </c>
      <c r="I20" s="617"/>
      <c r="J20" s="475"/>
      <c r="K20" s="1686">
        <f t="shared" si="0"/>
        <v>0</v>
      </c>
      <c r="L20" s="471">
        <v>0</v>
      </c>
    </row>
    <row r="21" spans="1:12" x14ac:dyDescent="0.2">
      <c r="A21" s="1524" t="s">
        <v>762</v>
      </c>
      <c r="B21" s="603" t="s">
        <v>749</v>
      </c>
      <c r="C21" s="477"/>
      <c r="D21" s="477"/>
      <c r="E21" s="477"/>
      <c r="F21" s="477"/>
      <c r="G21" s="477"/>
      <c r="H21" s="466">
        <v>0</v>
      </c>
      <c r="I21" s="617"/>
      <c r="J21" s="477"/>
      <c r="K21" s="1686">
        <f t="shared" si="0"/>
        <v>0</v>
      </c>
      <c r="L21" s="471">
        <v>0</v>
      </c>
    </row>
    <row r="22" spans="1:12" x14ac:dyDescent="0.2">
      <c r="A22" s="1524" t="s">
        <v>763</v>
      </c>
      <c r="B22" s="603" t="s">
        <v>750</v>
      </c>
      <c r="C22" s="477"/>
      <c r="D22" s="477"/>
      <c r="E22" s="477"/>
      <c r="F22" s="477"/>
      <c r="G22" s="477"/>
      <c r="H22" s="466">
        <v>432111</v>
      </c>
      <c r="I22" s="617"/>
      <c r="J22" s="477"/>
      <c r="K22" s="1686">
        <f t="shared" si="0"/>
        <v>432111</v>
      </c>
      <c r="L22" s="471">
        <v>550000</v>
      </c>
    </row>
    <row r="23" spans="1:12" x14ac:dyDescent="0.2">
      <c r="A23" s="1524" t="s">
        <v>764</v>
      </c>
      <c r="B23" s="603" t="s">
        <v>751</v>
      </c>
      <c r="C23" s="477"/>
      <c r="D23" s="477"/>
      <c r="E23" s="477"/>
      <c r="F23" s="477"/>
      <c r="G23" s="477"/>
      <c r="H23" s="466">
        <v>0</v>
      </c>
      <c r="I23" s="617"/>
      <c r="J23" s="477"/>
      <c r="K23" s="1686">
        <f t="shared" si="0"/>
        <v>0</v>
      </c>
      <c r="L23" s="471">
        <v>0</v>
      </c>
    </row>
    <row r="24" spans="1:12" ht="12.75" customHeight="1" x14ac:dyDescent="0.2">
      <c r="A24" s="1524" t="s">
        <v>765</v>
      </c>
      <c r="B24" s="603" t="s">
        <v>752</v>
      </c>
      <c r="C24" s="477"/>
      <c r="D24" s="477"/>
      <c r="E24" s="477"/>
      <c r="F24" s="477"/>
      <c r="G24" s="477"/>
      <c r="H24" s="466">
        <v>0</v>
      </c>
      <c r="I24" s="617"/>
      <c r="J24" s="477"/>
      <c r="K24" s="1686">
        <f t="shared" si="0"/>
        <v>0</v>
      </c>
      <c r="L24" s="471">
        <v>0</v>
      </c>
    </row>
    <row r="25" spans="1:12" ht="12.75" customHeight="1" x14ac:dyDescent="0.2">
      <c r="A25" s="1524" t="s">
        <v>834</v>
      </c>
      <c r="B25" s="603" t="s">
        <v>753</v>
      </c>
      <c r="C25" s="477"/>
      <c r="D25" s="477"/>
      <c r="E25" s="477"/>
      <c r="F25" s="477"/>
      <c r="G25" s="477"/>
      <c r="H25" s="466">
        <v>0</v>
      </c>
      <c r="I25" s="617"/>
      <c r="J25" s="477"/>
      <c r="K25" s="1686">
        <f t="shared" si="0"/>
        <v>0</v>
      </c>
      <c r="L25" s="471">
        <v>0</v>
      </c>
    </row>
    <row r="26" spans="1:12" x14ac:dyDescent="0.2">
      <c r="A26" s="1524" t="s">
        <v>642</v>
      </c>
      <c r="B26" s="603" t="s">
        <v>754</v>
      </c>
      <c r="C26" s="477"/>
      <c r="D26" s="477"/>
      <c r="E26" s="477"/>
      <c r="F26" s="477"/>
      <c r="G26" s="477"/>
      <c r="H26" s="466">
        <v>0</v>
      </c>
      <c r="I26" s="617"/>
      <c r="J26" s="477"/>
      <c r="K26" s="1686">
        <f t="shared" si="0"/>
        <v>0</v>
      </c>
      <c r="L26" s="471">
        <v>0</v>
      </c>
    </row>
    <row r="27" spans="1:12" x14ac:dyDescent="0.2">
      <c r="A27" s="1524" t="s">
        <v>643</v>
      </c>
      <c r="B27" s="603" t="s">
        <v>755</v>
      </c>
      <c r="C27" s="477"/>
      <c r="D27" s="477"/>
      <c r="E27" s="477"/>
      <c r="F27" s="477"/>
      <c r="G27" s="477"/>
      <c r="H27" s="466">
        <v>0</v>
      </c>
      <c r="I27" s="617"/>
      <c r="J27" s="477"/>
      <c r="K27" s="1686">
        <f t="shared" si="0"/>
        <v>0</v>
      </c>
      <c r="L27" s="471">
        <v>0</v>
      </c>
    </row>
    <row r="28" spans="1:12" x14ac:dyDescent="0.2">
      <c r="A28" s="1524" t="s">
        <v>152</v>
      </c>
      <c r="B28" s="603" t="s">
        <v>756</v>
      </c>
      <c r="C28" s="477"/>
      <c r="D28" s="477"/>
      <c r="E28" s="477"/>
      <c r="F28" s="477"/>
      <c r="G28" s="477"/>
      <c r="H28" s="466">
        <v>0</v>
      </c>
      <c r="I28" s="617"/>
      <c r="J28" s="477"/>
      <c r="K28" s="1686">
        <f t="shared" si="0"/>
        <v>0</v>
      </c>
      <c r="L28" s="471">
        <v>0</v>
      </c>
    </row>
    <row r="29" spans="1:12" x14ac:dyDescent="0.2">
      <c r="A29" s="1524" t="s">
        <v>153</v>
      </c>
      <c r="B29" s="603" t="s">
        <v>757</v>
      </c>
      <c r="C29" s="477"/>
      <c r="D29" s="477"/>
      <c r="E29" s="477"/>
      <c r="F29" s="477"/>
      <c r="G29" s="477"/>
      <c r="H29" s="466" t="s">
        <v>1230</v>
      </c>
      <c r="I29" s="617"/>
      <c r="J29" s="477"/>
      <c r="K29" s="1686">
        <f t="shared" si="0"/>
        <v>0</v>
      </c>
      <c r="L29" s="471">
        <v>0</v>
      </c>
    </row>
    <row r="30" spans="1:12" x14ac:dyDescent="0.2">
      <c r="A30" s="1524" t="s">
        <v>154</v>
      </c>
      <c r="B30" s="603" t="s">
        <v>758</v>
      </c>
      <c r="C30" s="477"/>
      <c r="D30" s="477"/>
      <c r="E30" s="477"/>
      <c r="F30" s="477"/>
      <c r="G30" s="477"/>
      <c r="H30" s="466">
        <v>0</v>
      </c>
      <c r="I30" s="617"/>
      <c r="J30" s="477"/>
      <c r="K30" s="1686">
        <f t="shared" si="0"/>
        <v>0</v>
      </c>
      <c r="L30" s="471">
        <v>0</v>
      </c>
    </row>
    <row r="31" spans="1:12" x14ac:dyDescent="0.2">
      <c r="A31" s="1524" t="s">
        <v>155</v>
      </c>
      <c r="B31" s="603" t="s">
        <v>759</v>
      </c>
      <c r="C31" s="477"/>
      <c r="D31" s="477"/>
      <c r="E31" s="477"/>
      <c r="F31" s="477"/>
      <c r="G31" s="477"/>
      <c r="H31" s="466">
        <v>0</v>
      </c>
      <c r="I31" s="617"/>
      <c r="J31" s="477"/>
      <c r="K31" s="1686">
        <f t="shared" si="0"/>
        <v>0</v>
      </c>
      <c r="L31" s="471">
        <v>0</v>
      </c>
    </row>
    <row r="32" spans="1:12" x14ac:dyDescent="0.2">
      <c r="A32" s="1525" t="s">
        <v>1190</v>
      </c>
      <c r="B32" s="615" t="s">
        <v>760</v>
      </c>
      <c r="C32" s="477"/>
      <c r="D32" s="477"/>
      <c r="E32" s="477"/>
      <c r="F32" s="477"/>
      <c r="G32" s="477"/>
      <c r="H32" s="466">
        <v>0</v>
      </c>
      <c r="I32" s="617"/>
      <c r="J32" s="480"/>
      <c r="K32" s="1686">
        <f t="shared" si="0"/>
        <v>0</v>
      </c>
      <c r="L32" s="471">
        <v>0</v>
      </c>
    </row>
    <row r="33" spans="1:14" ht="12.75" customHeight="1" thickBot="1" x14ac:dyDescent="0.25">
      <c r="A33" s="1683" t="s">
        <v>1766</v>
      </c>
      <c r="B33" s="1684" t="s">
        <v>590</v>
      </c>
      <c r="C33" s="1685">
        <f>SUM(C5:C32)</f>
        <v>6311868</v>
      </c>
      <c r="D33" s="1685">
        <f t="shared" ref="D33:L33" si="1">SUM(D5:D32)</f>
        <v>1132523</v>
      </c>
      <c r="E33" s="1685">
        <f t="shared" si="1"/>
        <v>96198</v>
      </c>
      <c r="F33" s="1685">
        <f t="shared" si="1"/>
        <v>315449</v>
      </c>
      <c r="G33" s="1685">
        <f t="shared" si="1"/>
        <v>76627</v>
      </c>
      <c r="H33" s="1685">
        <f t="shared" si="1"/>
        <v>438224</v>
      </c>
      <c r="I33" s="1685">
        <f t="shared" si="1"/>
        <v>0</v>
      </c>
      <c r="J33" s="1685">
        <f t="shared" si="1"/>
        <v>0</v>
      </c>
      <c r="K33" s="1685">
        <f t="shared" si="1"/>
        <v>8370889</v>
      </c>
      <c r="L33" s="1685">
        <f t="shared" si="1"/>
        <v>8735518</v>
      </c>
    </row>
    <row r="34" spans="1:14" s="621" customFormat="1" ht="15.75" customHeight="1" thickTop="1" x14ac:dyDescent="0.2">
      <c r="A34" s="1627" t="s">
        <v>48</v>
      </c>
      <c r="B34" s="1628"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3" t="s">
        <v>1149</v>
      </c>
      <c r="B36" s="615">
        <v>2110</v>
      </c>
      <c r="C36" s="481">
        <v>73043</v>
      </c>
      <c r="D36" s="481">
        <v>7513</v>
      </c>
      <c r="E36" s="481">
        <v>0</v>
      </c>
      <c r="F36" s="481">
        <v>0</v>
      </c>
      <c r="G36" s="481">
        <v>0</v>
      </c>
      <c r="H36" s="481">
        <v>0</v>
      </c>
      <c r="I36" s="481">
        <v>0</v>
      </c>
      <c r="J36" s="481">
        <v>0</v>
      </c>
      <c r="K36" s="1686">
        <f t="shared" ref="K36:K41" si="2">SUM(C36:J36)</f>
        <v>80556</v>
      </c>
      <c r="L36" s="466">
        <v>91119</v>
      </c>
    </row>
    <row r="37" spans="1:14" x14ac:dyDescent="0.2">
      <c r="A37" s="1523" t="s">
        <v>1150</v>
      </c>
      <c r="B37" s="615">
        <v>2120</v>
      </c>
      <c r="C37" s="481">
        <v>155633</v>
      </c>
      <c r="D37" s="481">
        <v>29949</v>
      </c>
      <c r="E37" s="481">
        <v>0</v>
      </c>
      <c r="F37" s="481">
        <v>109</v>
      </c>
      <c r="G37" s="481">
        <v>0</v>
      </c>
      <c r="H37" s="481">
        <v>0</v>
      </c>
      <c r="I37" s="481">
        <v>0</v>
      </c>
      <c r="J37" s="481">
        <v>0</v>
      </c>
      <c r="K37" s="1686">
        <f t="shared" si="2"/>
        <v>185691</v>
      </c>
      <c r="L37" s="466">
        <v>206938</v>
      </c>
    </row>
    <row r="38" spans="1:14" x14ac:dyDescent="0.2">
      <c r="A38" s="1523" t="s">
        <v>207</v>
      </c>
      <c r="B38" s="615">
        <v>2130</v>
      </c>
      <c r="C38" s="481">
        <v>61464</v>
      </c>
      <c r="D38" s="481">
        <v>11424</v>
      </c>
      <c r="E38" s="481">
        <v>1880</v>
      </c>
      <c r="F38" s="481">
        <v>565</v>
      </c>
      <c r="G38" s="481">
        <v>0</v>
      </c>
      <c r="H38" s="481">
        <v>0</v>
      </c>
      <c r="I38" s="481">
        <v>0</v>
      </c>
      <c r="J38" s="481">
        <v>0</v>
      </c>
      <c r="K38" s="1686">
        <f t="shared" si="2"/>
        <v>75333</v>
      </c>
      <c r="L38" s="466">
        <v>80858</v>
      </c>
    </row>
    <row r="39" spans="1:14" x14ac:dyDescent="0.2">
      <c r="A39" s="1523" t="s">
        <v>208</v>
      </c>
      <c r="B39" s="615">
        <v>2140</v>
      </c>
      <c r="C39" s="481">
        <v>0</v>
      </c>
      <c r="D39" s="481">
        <v>0</v>
      </c>
      <c r="E39" s="481">
        <v>0</v>
      </c>
      <c r="F39" s="481">
        <v>0</v>
      </c>
      <c r="G39" s="481">
        <v>0</v>
      </c>
      <c r="H39" s="481">
        <v>0</v>
      </c>
      <c r="I39" s="481">
        <v>0</v>
      </c>
      <c r="J39" s="481">
        <v>0</v>
      </c>
      <c r="K39" s="1686">
        <f t="shared" si="2"/>
        <v>0</v>
      </c>
      <c r="L39" s="466">
        <v>0</v>
      </c>
    </row>
    <row r="40" spans="1:14" x14ac:dyDescent="0.2">
      <c r="A40" s="1523" t="s">
        <v>209</v>
      </c>
      <c r="B40" s="615">
        <v>2150</v>
      </c>
      <c r="C40" s="481">
        <v>172730</v>
      </c>
      <c r="D40" s="481">
        <v>27044</v>
      </c>
      <c r="E40" s="481">
        <v>0</v>
      </c>
      <c r="F40" s="481">
        <v>225</v>
      </c>
      <c r="G40" s="481">
        <v>0</v>
      </c>
      <c r="H40" s="481">
        <v>0</v>
      </c>
      <c r="I40" s="481">
        <v>0</v>
      </c>
      <c r="J40" s="481">
        <v>0</v>
      </c>
      <c r="K40" s="1686">
        <f t="shared" si="2"/>
        <v>199999</v>
      </c>
      <c r="L40" s="466">
        <v>239685</v>
      </c>
    </row>
    <row r="41" spans="1:14" x14ac:dyDescent="0.2">
      <c r="A41" s="1523" t="s">
        <v>1767</v>
      </c>
      <c r="B41" s="615">
        <v>2190</v>
      </c>
      <c r="C41" s="481">
        <v>0</v>
      </c>
      <c r="D41" s="481">
        <v>0</v>
      </c>
      <c r="E41" s="481">
        <v>0</v>
      </c>
      <c r="F41" s="481">
        <v>0</v>
      </c>
      <c r="G41" s="481">
        <v>0</v>
      </c>
      <c r="H41" s="481">
        <v>0</v>
      </c>
      <c r="I41" s="481">
        <v>0</v>
      </c>
      <c r="J41" s="481">
        <v>0</v>
      </c>
      <c r="K41" s="1686">
        <f t="shared" si="2"/>
        <v>0</v>
      </c>
      <c r="L41" s="466">
        <v>0</v>
      </c>
    </row>
    <row r="42" spans="1:14" ht="12.75" customHeight="1" thickBot="1" x14ac:dyDescent="0.25">
      <c r="A42" s="1683" t="s">
        <v>580</v>
      </c>
      <c r="B42" s="1684" t="s">
        <v>739</v>
      </c>
      <c r="C42" s="1685">
        <f>SUM(C36:C41)</f>
        <v>462870</v>
      </c>
      <c r="D42" s="1685">
        <f t="shared" ref="D42:L42" si="3">SUM(D36:D41)</f>
        <v>75930</v>
      </c>
      <c r="E42" s="1685">
        <f t="shared" si="3"/>
        <v>1880</v>
      </c>
      <c r="F42" s="1685">
        <f t="shared" si="3"/>
        <v>899</v>
      </c>
      <c r="G42" s="1685">
        <f t="shared" si="3"/>
        <v>0</v>
      </c>
      <c r="H42" s="1685">
        <f t="shared" si="3"/>
        <v>0</v>
      </c>
      <c r="I42" s="1685">
        <f t="shared" si="3"/>
        <v>0</v>
      </c>
      <c r="J42" s="1685">
        <f t="shared" si="3"/>
        <v>0</v>
      </c>
      <c r="K42" s="1685">
        <f t="shared" si="3"/>
        <v>541579</v>
      </c>
      <c r="L42" s="1685">
        <f t="shared" si="3"/>
        <v>618600</v>
      </c>
    </row>
    <row r="43" spans="1:14" ht="15.75" customHeight="1" thickTop="1" x14ac:dyDescent="0.2">
      <c r="A43" s="625" t="s">
        <v>612</v>
      </c>
      <c r="B43" s="626"/>
      <c r="C43" s="627"/>
      <c r="D43" s="627"/>
      <c r="E43" s="627"/>
      <c r="F43" s="627"/>
      <c r="G43" s="627"/>
      <c r="H43" s="627"/>
      <c r="I43" s="617"/>
      <c r="J43" s="617"/>
      <c r="K43" s="627"/>
      <c r="L43" s="627"/>
    </row>
    <row r="44" spans="1:14" x14ac:dyDescent="0.2">
      <c r="A44" s="1523" t="s">
        <v>867</v>
      </c>
      <c r="B44" s="615">
        <v>2210</v>
      </c>
      <c r="C44" s="481">
        <v>0</v>
      </c>
      <c r="D44" s="481">
        <v>0</v>
      </c>
      <c r="E44" s="481">
        <v>31632</v>
      </c>
      <c r="F44" s="481">
        <v>0</v>
      </c>
      <c r="G44" s="481">
        <v>0</v>
      </c>
      <c r="H44" s="481">
        <v>0</v>
      </c>
      <c r="I44" s="481">
        <v>0</v>
      </c>
      <c r="J44" s="481">
        <v>0</v>
      </c>
      <c r="K44" s="1687">
        <f>SUM(C44:J44)</f>
        <v>31632</v>
      </c>
      <c r="L44" s="481">
        <v>57177</v>
      </c>
    </row>
    <row r="45" spans="1:14" x14ac:dyDescent="0.2">
      <c r="A45" s="1523" t="s">
        <v>868</v>
      </c>
      <c r="B45" s="615">
        <v>2220</v>
      </c>
      <c r="C45" s="481">
        <v>108278</v>
      </c>
      <c r="D45" s="481">
        <v>11543</v>
      </c>
      <c r="E45" s="481">
        <v>7075</v>
      </c>
      <c r="F45" s="481">
        <v>62910</v>
      </c>
      <c r="G45" s="481">
        <v>8721</v>
      </c>
      <c r="H45" s="481">
        <v>0</v>
      </c>
      <c r="I45" s="481">
        <v>0</v>
      </c>
      <c r="J45" s="481">
        <v>0</v>
      </c>
      <c r="K45" s="1687">
        <f>SUM(C45:J45)</f>
        <v>198527</v>
      </c>
      <c r="L45" s="466">
        <v>202057</v>
      </c>
    </row>
    <row r="46" spans="1:14" x14ac:dyDescent="0.2">
      <c r="A46" s="1523" t="s">
        <v>869</v>
      </c>
      <c r="B46" s="615">
        <v>2230</v>
      </c>
      <c r="C46" s="481">
        <v>0</v>
      </c>
      <c r="D46" s="481">
        <v>0</v>
      </c>
      <c r="E46" s="481">
        <v>0</v>
      </c>
      <c r="F46" s="481">
        <v>6486</v>
      </c>
      <c r="G46" s="481">
        <v>799</v>
      </c>
      <c r="H46" s="481">
        <v>0</v>
      </c>
      <c r="I46" s="481">
        <v>0</v>
      </c>
      <c r="J46" s="481">
        <v>0</v>
      </c>
      <c r="K46" s="1687">
        <f>SUM(C46:J46)</f>
        <v>7285</v>
      </c>
      <c r="L46" s="466">
        <v>51500</v>
      </c>
    </row>
    <row r="47" spans="1:14" ht="12.75" customHeight="1" thickBot="1" x14ac:dyDescent="0.25">
      <c r="A47" s="1683" t="s">
        <v>581</v>
      </c>
      <c r="B47" s="1684" t="s">
        <v>32</v>
      </c>
      <c r="C47" s="1685">
        <f>SUM(C44:C46)</f>
        <v>108278</v>
      </c>
      <c r="D47" s="1685">
        <f t="shared" ref="D47:K47" si="4">SUM(D44:D46)</f>
        <v>11543</v>
      </c>
      <c r="E47" s="1685">
        <f t="shared" si="4"/>
        <v>38707</v>
      </c>
      <c r="F47" s="1685">
        <f t="shared" si="4"/>
        <v>69396</v>
      </c>
      <c r="G47" s="1685">
        <f t="shared" si="4"/>
        <v>9520</v>
      </c>
      <c r="H47" s="1685">
        <f t="shared" si="4"/>
        <v>0</v>
      </c>
      <c r="I47" s="1685">
        <f t="shared" si="4"/>
        <v>0</v>
      </c>
      <c r="J47" s="1685">
        <f t="shared" si="4"/>
        <v>0</v>
      </c>
      <c r="K47" s="1685">
        <f t="shared" si="4"/>
        <v>237444</v>
      </c>
      <c r="L47" s="1685">
        <f>SUM(L44:L46)</f>
        <v>310734</v>
      </c>
    </row>
    <row r="48" spans="1:14" ht="15.75" customHeight="1" thickTop="1" x14ac:dyDescent="0.2">
      <c r="A48" s="625" t="s">
        <v>630</v>
      </c>
      <c r="B48" s="626"/>
      <c r="C48" s="627"/>
      <c r="D48" s="627"/>
      <c r="E48" s="627"/>
      <c r="F48" s="627"/>
      <c r="G48" s="627"/>
      <c r="H48" s="627"/>
      <c r="I48" s="617"/>
      <c r="J48" s="617"/>
      <c r="K48" s="627"/>
      <c r="L48" s="627"/>
    </row>
    <row r="49" spans="1:14" x14ac:dyDescent="0.2">
      <c r="A49" s="1523" t="s">
        <v>870</v>
      </c>
      <c r="B49" s="615">
        <v>2310</v>
      </c>
      <c r="C49" s="481">
        <v>0</v>
      </c>
      <c r="D49" s="481">
        <v>10200</v>
      </c>
      <c r="E49" s="481">
        <v>67527</v>
      </c>
      <c r="F49" s="481">
        <v>7182</v>
      </c>
      <c r="G49" s="481">
        <v>0</v>
      </c>
      <c r="H49" s="481">
        <v>4907</v>
      </c>
      <c r="I49" s="481">
        <v>0</v>
      </c>
      <c r="J49" s="481">
        <v>0</v>
      </c>
      <c r="K49" s="1687">
        <f>SUM(C49:J49)</f>
        <v>89816</v>
      </c>
      <c r="L49" s="481">
        <v>71500</v>
      </c>
    </row>
    <row r="50" spans="1:14" x14ac:dyDescent="0.2">
      <c r="A50" s="1523" t="s">
        <v>871</v>
      </c>
      <c r="B50" s="615">
        <v>2320</v>
      </c>
      <c r="C50" s="481">
        <v>174682</v>
      </c>
      <c r="D50" s="481">
        <v>32710</v>
      </c>
      <c r="E50" s="481">
        <v>0</v>
      </c>
      <c r="F50" s="481">
        <v>3283</v>
      </c>
      <c r="G50" s="481">
        <v>0</v>
      </c>
      <c r="H50" s="481">
        <v>1926</v>
      </c>
      <c r="I50" s="481">
        <v>0</v>
      </c>
      <c r="J50" s="481">
        <v>0</v>
      </c>
      <c r="K50" s="1687">
        <f>SUM(C50:J50)</f>
        <v>212601</v>
      </c>
      <c r="L50" s="466">
        <v>190373</v>
      </c>
    </row>
    <row r="51" spans="1:14" x14ac:dyDescent="0.2">
      <c r="A51" s="1523" t="s">
        <v>44</v>
      </c>
      <c r="B51" s="615">
        <v>2330</v>
      </c>
      <c r="C51" s="481">
        <v>63876</v>
      </c>
      <c r="D51" s="481">
        <v>15613</v>
      </c>
      <c r="E51" s="481">
        <v>0</v>
      </c>
      <c r="F51" s="481">
        <v>0</v>
      </c>
      <c r="G51" s="481">
        <v>0</v>
      </c>
      <c r="H51" s="481">
        <v>0</v>
      </c>
      <c r="I51" s="481">
        <v>0</v>
      </c>
      <c r="J51" s="481">
        <v>0</v>
      </c>
      <c r="K51" s="1687">
        <f>SUM(C51:J51)</f>
        <v>79489</v>
      </c>
      <c r="L51" s="466">
        <v>87317</v>
      </c>
    </row>
    <row r="52" spans="1:14" ht="22.5" x14ac:dyDescent="0.2">
      <c r="A52" s="1524" t="s">
        <v>315</v>
      </c>
      <c r="B52" s="628" t="s">
        <v>383</v>
      </c>
      <c r="C52" s="481">
        <v>0</v>
      </c>
      <c r="D52" s="481">
        <v>0</v>
      </c>
      <c r="E52" s="481">
        <v>0</v>
      </c>
      <c r="F52" s="481">
        <v>0</v>
      </c>
      <c r="G52" s="481">
        <v>0</v>
      </c>
      <c r="H52" s="481">
        <v>0</v>
      </c>
      <c r="I52" s="481">
        <v>0</v>
      </c>
      <c r="J52" s="481">
        <v>0</v>
      </c>
      <c r="K52" s="1687">
        <f>SUM(C52:J52)</f>
        <v>0</v>
      </c>
      <c r="L52" s="474">
        <v>0</v>
      </c>
    </row>
    <row r="53" spans="1:14" ht="12.75" customHeight="1" thickBot="1" x14ac:dyDescent="0.25">
      <c r="A53" s="1683" t="s">
        <v>740</v>
      </c>
      <c r="B53" s="1684" t="s">
        <v>33</v>
      </c>
      <c r="C53" s="1685">
        <f>SUM(C49:C52)</f>
        <v>238558</v>
      </c>
      <c r="D53" s="1685">
        <f t="shared" ref="D53:L53" si="5">SUM(D49:D52)</f>
        <v>58523</v>
      </c>
      <c r="E53" s="1685">
        <f t="shared" si="5"/>
        <v>67527</v>
      </c>
      <c r="F53" s="1685">
        <f t="shared" si="5"/>
        <v>10465</v>
      </c>
      <c r="G53" s="1685">
        <f t="shared" si="5"/>
        <v>0</v>
      </c>
      <c r="H53" s="1685">
        <f t="shared" si="5"/>
        <v>6833</v>
      </c>
      <c r="I53" s="1685">
        <f t="shared" si="5"/>
        <v>0</v>
      </c>
      <c r="J53" s="1685">
        <f t="shared" si="5"/>
        <v>0</v>
      </c>
      <c r="K53" s="1685">
        <f t="shared" si="5"/>
        <v>381906</v>
      </c>
      <c r="L53" s="1685">
        <f t="shared" si="5"/>
        <v>349190</v>
      </c>
    </row>
    <row r="54" spans="1:14" ht="15.75" customHeight="1" thickTop="1" x14ac:dyDescent="0.2">
      <c r="A54" s="625" t="s">
        <v>631</v>
      </c>
      <c r="B54" s="626"/>
      <c r="C54" s="627"/>
      <c r="D54" s="627"/>
      <c r="E54" s="627"/>
      <c r="F54" s="627"/>
      <c r="G54" s="627"/>
      <c r="H54" s="627"/>
      <c r="I54" s="617"/>
      <c r="J54" s="617"/>
      <c r="K54" s="627"/>
      <c r="L54" s="627"/>
    </row>
    <row r="55" spans="1:14" x14ac:dyDescent="0.2">
      <c r="A55" s="1523" t="s">
        <v>1126</v>
      </c>
      <c r="B55" s="615">
        <v>2410</v>
      </c>
      <c r="C55" s="481">
        <v>524929</v>
      </c>
      <c r="D55" s="481">
        <v>110657</v>
      </c>
      <c r="E55" s="481">
        <v>0</v>
      </c>
      <c r="F55" s="481">
        <v>7754</v>
      </c>
      <c r="G55" s="481">
        <v>0</v>
      </c>
      <c r="H55" s="481">
        <v>2234</v>
      </c>
      <c r="I55" s="481">
        <v>0</v>
      </c>
      <c r="J55" s="481">
        <v>0</v>
      </c>
      <c r="K55" s="1687">
        <f>SUM(C55:J55)</f>
        <v>645574</v>
      </c>
      <c r="L55" s="481">
        <v>633092</v>
      </c>
    </row>
    <row r="56" spans="1:14" ht="12.75" customHeight="1" x14ac:dyDescent="0.2">
      <c r="A56" s="1527" t="s">
        <v>393</v>
      </c>
      <c r="B56" s="629">
        <v>2490</v>
      </c>
      <c r="C56" s="481">
        <v>0</v>
      </c>
      <c r="D56" s="481">
        <v>0</v>
      </c>
      <c r="E56" s="481">
        <v>0</v>
      </c>
      <c r="F56" s="481">
        <v>0</v>
      </c>
      <c r="G56" s="481">
        <v>0</v>
      </c>
      <c r="H56" s="481">
        <v>0</v>
      </c>
      <c r="I56" s="481">
        <v>0</v>
      </c>
      <c r="J56" s="481">
        <v>0</v>
      </c>
      <c r="K56" s="1687">
        <f>SUM(C56:J56)</f>
        <v>0</v>
      </c>
      <c r="L56" s="466">
        <v>0</v>
      </c>
    </row>
    <row r="57" spans="1:14" s="343" customFormat="1" ht="12.75" customHeight="1" thickBot="1" x14ac:dyDescent="0.25">
      <c r="A57" s="1683" t="s">
        <v>281</v>
      </c>
      <c r="B57" s="1688" t="s">
        <v>34</v>
      </c>
      <c r="C57" s="1689">
        <f>SUM(C55:C56)</f>
        <v>524929</v>
      </c>
      <c r="D57" s="1689">
        <f t="shared" ref="D57:K57" si="6">SUM(D55:D56)</f>
        <v>110657</v>
      </c>
      <c r="E57" s="1689">
        <f t="shared" si="6"/>
        <v>0</v>
      </c>
      <c r="F57" s="1689">
        <f t="shared" si="6"/>
        <v>7754</v>
      </c>
      <c r="G57" s="1689">
        <f t="shared" si="6"/>
        <v>0</v>
      </c>
      <c r="H57" s="1689">
        <f t="shared" si="6"/>
        <v>2234</v>
      </c>
      <c r="I57" s="1689">
        <f t="shared" si="6"/>
        <v>0</v>
      </c>
      <c r="J57" s="1689">
        <f t="shared" si="6"/>
        <v>0</v>
      </c>
      <c r="K57" s="1689">
        <f t="shared" si="6"/>
        <v>645574</v>
      </c>
      <c r="L57" s="1685">
        <f>SUM(L55:L56)</f>
        <v>633092</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3" t="s">
        <v>1127</v>
      </c>
      <c r="B59" s="615">
        <v>2510</v>
      </c>
      <c r="C59" s="481">
        <v>0</v>
      </c>
      <c r="D59" s="481">
        <v>0</v>
      </c>
      <c r="E59" s="481">
        <v>0</v>
      </c>
      <c r="F59" s="481">
        <v>0</v>
      </c>
      <c r="G59" s="481">
        <v>0</v>
      </c>
      <c r="H59" s="481">
        <v>0</v>
      </c>
      <c r="I59" s="481">
        <v>0</v>
      </c>
      <c r="J59" s="481">
        <v>0</v>
      </c>
      <c r="K59" s="1687">
        <f t="shared" ref="K59:K64" si="7">SUM(C59:J59)</f>
        <v>0</v>
      </c>
      <c r="L59" s="481">
        <v>0</v>
      </c>
      <c r="M59" s="610"/>
      <c r="N59" s="610"/>
    </row>
    <row r="60" spans="1:14" s="343" customFormat="1" x14ac:dyDescent="0.2">
      <c r="A60" s="1523" t="s">
        <v>482</v>
      </c>
      <c r="B60" s="615">
        <v>2520</v>
      </c>
      <c r="C60" s="481">
        <v>126231</v>
      </c>
      <c r="D60" s="481">
        <v>13488</v>
      </c>
      <c r="E60" s="481">
        <v>4831</v>
      </c>
      <c r="F60" s="481">
        <v>5059</v>
      </c>
      <c r="G60" s="481">
        <v>0</v>
      </c>
      <c r="H60" s="481">
        <v>15</v>
      </c>
      <c r="I60" s="481">
        <v>0</v>
      </c>
      <c r="J60" s="481">
        <v>0</v>
      </c>
      <c r="K60" s="1687">
        <f t="shared" si="7"/>
        <v>149624</v>
      </c>
      <c r="L60" s="466">
        <v>157849</v>
      </c>
      <c r="M60" s="610"/>
      <c r="N60" s="610"/>
    </row>
    <row r="61" spans="1:14" s="343" customFormat="1" x14ac:dyDescent="0.2">
      <c r="A61" s="1523" t="s">
        <v>206</v>
      </c>
      <c r="B61" s="615">
        <v>2540</v>
      </c>
      <c r="C61" s="481">
        <v>528166</v>
      </c>
      <c r="D61" s="481">
        <v>65627</v>
      </c>
      <c r="E61" s="481">
        <v>0</v>
      </c>
      <c r="F61" s="481">
        <v>0</v>
      </c>
      <c r="G61" s="481">
        <v>0</v>
      </c>
      <c r="H61" s="481">
        <v>0</v>
      </c>
      <c r="I61" s="481">
        <v>0</v>
      </c>
      <c r="J61" s="481">
        <v>0</v>
      </c>
      <c r="K61" s="1687">
        <f t="shared" si="7"/>
        <v>593793</v>
      </c>
      <c r="L61" s="466">
        <v>605722</v>
      </c>
      <c r="M61" s="610"/>
      <c r="N61" s="610"/>
    </row>
    <row r="62" spans="1:14" s="343" customFormat="1" x14ac:dyDescent="0.2">
      <c r="A62" s="1523" t="s">
        <v>1009</v>
      </c>
      <c r="B62" s="615">
        <v>2550</v>
      </c>
      <c r="C62" s="481">
        <v>0</v>
      </c>
      <c r="D62" s="481">
        <v>0</v>
      </c>
      <c r="E62" s="481">
        <v>522</v>
      </c>
      <c r="F62" s="481">
        <v>1776</v>
      </c>
      <c r="G62" s="481">
        <v>0</v>
      </c>
      <c r="H62" s="481">
        <v>0</v>
      </c>
      <c r="I62" s="481">
        <v>0</v>
      </c>
      <c r="J62" s="481">
        <v>0</v>
      </c>
      <c r="K62" s="1687">
        <f t="shared" si="7"/>
        <v>2298</v>
      </c>
      <c r="L62" s="466">
        <v>5000</v>
      </c>
      <c r="M62" s="610"/>
      <c r="N62" s="610"/>
    </row>
    <row r="63" spans="1:14" s="610" customFormat="1" x14ac:dyDescent="0.2">
      <c r="A63" s="1523" t="s">
        <v>102</v>
      </c>
      <c r="B63" s="615">
        <v>2560</v>
      </c>
      <c r="C63" s="481">
        <v>226382</v>
      </c>
      <c r="D63" s="481">
        <v>47</v>
      </c>
      <c r="E63" s="481">
        <v>9400</v>
      </c>
      <c r="F63" s="481">
        <v>497052</v>
      </c>
      <c r="G63" s="481">
        <v>0</v>
      </c>
      <c r="H63" s="481">
        <v>35</v>
      </c>
      <c r="I63" s="481">
        <v>0</v>
      </c>
      <c r="J63" s="481">
        <v>0</v>
      </c>
      <c r="K63" s="1687">
        <f t="shared" si="7"/>
        <v>732916</v>
      </c>
      <c r="L63" s="466">
        <v>761000</v>
      </c>
    </row>
    <row r="64" spans="1:14" s="610" customFormat="1" x14ac:dyDescent="0.2">
      <c r="A64" s="1528" t="s">
        <v>103</v>
      </c>
      <c r="B64" s="631">
        <v>2570</v>
      </c>
      <c r="C64" s="481">
        <v>0</v>
      </c>
      <c r="D64" s="481">
        <v>0</v>
      </c>
      <c r="E64" s="481">
        <v>0</v>
      </c>
      <c r="F64" s="481">
        <v>0</v>
      </c>
      <c r="G64" s="481">
        <v>0</v>
      </c>
      <c r="H64" s="481">
        <v>0</v>
      </c>
      <c r="I64" s="481">
        <v>0</v>
      </c>
      <c r="J64" s="481">
        <v>0</v>
      </c>
      <c r="K64" s="1687">
        <f t="shared" si="7"/>
        <v>0</v>
      </c>
      <c r="L64" s="481">
        <v>0</v>
      </c>
    </row>
    <row r="65" spans="1:14" s="343" customFormat="1" ht="12.75" customHeight="1" thickBot="1" x14ac:dyDescent="0.25">
      <c r="A65" s="1683" t="s">
        <v>742</v>
      </c>
      <c r="B65" s="1684" t="s">
        <v>35</v>
      </c>
      <c r="C65" s="1685">
        <f>SUM(C59:C64)</f>
        <v>880779</v>
      </c>
      <c r="D65" s="1685">
        <f t="shared" ref="D65:L65" si="8">SUM(D59:D64)</f>
        <v>79162</v>
      </c>
      <c r="E65" s="1685">
        <f t="shared" si="8"/>
        <v>14753</v>
      </c>
      <c r="F65" s="1685">
        <f t="shared" si="8"/>
        <v>503887</v>
      </c>
      <c r="G65" s="1685">
        <f t="shared" si="8"/>
        <v>0</v>
      </c>
      <c r="H65" s="1685">
        <f t="shared" si="8"/>
        <v>50</v>
      </c>
      <c r="I65" s="1685">
        <f t="shared" si="8"/>
        <v>0</v>
      </c>
      <c r="J65" s="1685">
        <f t="shared" si="8"/>
        <v>0</v>
      </c>
      <c r="K65" s="1685">
        <f t="shared" si="8"/>
        <v>1478631</v>
      </c>
      <c r="L65" s="1685">
        <f t="shared" si="8"/>
        <v>1529571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3" t="s">
        <v>1119</v>
      </c>
      <c r="B67" s="615">
        <v>2610</v>
      </c>
      <c r="C67" s="481">
        <v>0</v>
      </c>
      <c r="D67" s="481">
        <v>0</v>
      </c>
      <c r="E67" s="481">
        <v>0</v>
      </c>
      <c r="F67" s="481">
        <v>0</v>
      </c>
      <c r="G67" s="481">
        <v>0</v>
      </c>
      <c r="H67" s="481">
        <v>0</v>
      </c>
      <c r="I67" s="481">
        <v>0</v>
      </c>
      <c r="J67" s="481">
        <v>0</v>
      </c>
      <c r="K67" s="1687">
        <f>SUM(C67:J67)</f>
        <v>0</v>
      </c>
      <c r="L67" s="481">
        <v>0</v>
      </c>
      <c r="M67" s="610"/>
      <c r="N67" s="610"/>
    </row>
    <row r="68" spans="1:14" s="343" customFormat="1" x14ac:dyDescent="0.2">
      <c r="A68" s="1523" t="s">
        <v>627</v>
      </c>
      <c r="B68" s="615">
        <v>2620</v>
      </c>
      <c r="C68" s="481">
        <v>0</v>
      </c>
      <c r="D68" s="481">
        <v>0</v>
      </c>
      <c r="E68" s="481">
        <v>0</v>
      </c>
      <c r="F68" s="481">
        <v>0</v>
      </c>
      <c r="G68" s="481">
        <v>0</v>
      </c>
      <c r="H68" s="481">
        <v>0</v>
      </c>
      <c r="I68" s="481">
        <v>0</v>
      </c>
      <c r="J68" s="481">
        <v>0</v>
      </c>
      <c r="K68" s="1687">
        <f>SUM(C68:J68)</f>
        <v>0</v>
      </c>
      <c r="L68" s="466">
        <v>0</v>
      </c>
      <c r="M68" s="610"/>
      <c r="N68" s="610"/>
    </row>
    <row r="69" spans="1:14" s="343" customFormat="1" x14ac:dyDescent="0.2">
      <c r="A69" s="1523" t="s">
        <v>1120</v>
      </c>
      <c r="B69" s="615">
        <v>2630</v>
      </c>
      <c r="C69" s="481">
        <v>0</v>
      </c>
      <c r="D69" s="481">
        <v>0</v>
      </c>
      <c r="E69" s="481">
        <v>0</v>
      </c>
      <c r="F69" s="481">
        <v>0</v>
      </c>
      <c r="G69" s="481">
        <v>0</v>
      </c>
      <c r="H69" s="481">
        <v>0</v>
      </c>
      <c r="I69" s="481">
        <v>0</v>
      </c>
      <c r="J69" s="481">
        <v>0</v>
      </c>
      <c r="K69" s="1687">
        <f>SUM(C69:J69)</f>
        <v>0</v>
      </c>
      <c r="L69" s="466">
        <v>0</v>
      </c>
      <c r="M69" s="610"/>
      <c r="N69" s="610"/>
    </row>
    <row r="70" spans="1:14" s="343" customFormat="1" x14ac:dyDescent="0.2">
      <c r="A70" s="1523" t="s">
        <v>422</v>
      </c>
      <c r="B70" s="615">
        <v>2640</v>
      </c>
      <c r="C70" s="481">
        <v>0</v>
      </c>
      <c r="D70" s="481">
        <v>0</v>
      </c>
      <c r="E70" s="481">
        <v>0</v>
      </c>
      <c r="F70" s="481">
        <v>0</v>
      </c>
      <c r="G70" s="481">
        <v>0</v>
      </c>
      <c r="H70" s="481">
        <v>0</v>
      </c>
      <c r="I70" s="481">
        <v>0</v>
      </c>
      <c r="J70" s="481">
        <v>0</v>
      </c>
      <c r="K70" s="1687">
        <f>SUM(C70:J70)</f>
        <v>0</v>
      </c>
      <c r="L70" s="466">
        <v>0</v>
      </c>
      <c r="M70" s="610"/>
      <c r="N70" s="610"/>
    </row>
    <row r="71" spans="1:14" s="343" customFormat="1" x14ac:dyDescent="0.2">
      <c r="A71" s="1523" t="s">
        <v>423</v>
      </c>
      <c r="B71" s="615">
        <v>2660</v>
      </c>
      <c r="C71" s="481">
        <v>0</v>
      </c>
      <c r="D71" s="481">
        <v>0</v>
      </c>
      <c r="E71" s="481">
        <v>21016</v>
      </c>
      <c r="F71" s="481">
        <v>0</v>
      </c>
      <c r="G71" s="481">
        <v>0</v>
      </c>
      <c r="H71" s="481">
        <v>0</v>
      </c>
      <c r="I71" s="481">
        <v>0</v>
      </c>
      <c r="J71" s="481">
        <v>0</v>
      </c>
      <c r="K71" s="1687">
        <f>SUM(C71:J71)</f>
        <v>21016</v>
      </c>
      <c r="L71" s="466">
        <v>0</v>
      </c>
      <c r="M71" s="610"/>
      <c r="N71" s="610"/>
    </row>
    <row r="72" spans="1:14" s="343" customFormat="1" ht="12.75" customHeight="1" thickBot="1" x14ac:dyDescent="0.25">
      <c r="A72" s="1683" t="s">
        <v>37</v>
      </c>
      <c r="B72" s="1690" t="s">
        <v>36</v>
      </c>
      <c r="C72" s="1685">
        <f>SUM(C67:C71)</f>
        <v>0</v>
      </c>
      <c r="D72" s="1685">
        <f t="shared" ref="D72:K72" si="9">SUM(D67:D71)</f>
        <v>0</v>
      </c>
      <c r="E72" s="1685">
        <f t="shared" si="9"/>
        <v>21016</v>
      </c>
      <c r="F72" s="1685">
        <f t="shared" si="9"/>
        <v>0</v>
      </c>
      <c r="G72" s="1685">
        <f t="shared" si="9"/>
        <v>0</v>
      </c>
      <c r="H72" s="1685">
        <f t="shared" si="9"/>
        <v>0</v>
      </c>
      <c r="I72" s="1685">
        <f t="shared" si="9"/>
        <v>0</v>
      </c>
      <c r="J72" s="1685">
        <f t="shared" si="9"/>
        <v>0</v>
      </c>
      <c r="K72" s="1685">
        <f t="shared" si="9"/>
        <v>21016</v>
      </c>
      <c r="L72" s="1685">
        <f>SUM(L67:L71)</f>
        <v>0</v>
      </c>
      <c r="M72" s="610"/>
      <c r="N72" s="610"/>
    </row>
    <row r="73" spans="1:14" s="343" customFormat="1" ht="14.25" thickTop="1" thickBot="1" x14ac:dyDescent="0.25">
      <c r="A73" s="1529" t="s">
        <v>1036</v>
      </c>
      <c r="B73" s="633" t="s">
        <v>594</v>
      </c>
      <c r="C73" s="573">
        <v>0</v>
      </c>
      <c r="D73" s="573">
        <v>0</v>
      </c>
      <c r="E73" s="573">
        <v>0</v>
      </c>
      <c r="F73" s="573">
        <v>0</v>
      </c>
      <c r="G73" s="573">
        <v>0</v>
      </c>
      <c r="H73" s="573">
        <v>0</v>
      </c>
      <c r="I73" s="573">
        <v>0</v>
      </c>
      <c r="J73" s="573">
        <v>0</v>
      </c>
      <c r="K73" s="1685">
        <f>SUM(C73:J73)</f>
        <v>0</v>
      </c>
      <c r="L73" s="576">
        <v>0</v>
      </c>
      <c r="M73" s="610"/>
      <c r="N73" s="610"/>
    </row>
    <row r="74" spans="1:14" ht="12.75" customHeight="1" thickTop="1" thickBot="1" x14ac:dyDescent="0.25">
      <c r="A74" s="1683" t="s">
        <v>864</v>
      </c>
      <c r="B74" s="1691">
        <v>2000</v>
      </c>
      <c r="C74" s="1692">
        <f>SUM(C42,C47,C53,C57,C65,C72,C73)</f>
        <v>2215414</v>
      </c>
      <c r="D74" s="1692">
        <f t="shared" ref="D74:K74" si="10">SUM(D42,D47,D53,D57,D65,D72,D73)</f>
        <v>335815</v>
      </c>
      <c r="E74" s="1692">
        <f t="shared" si="10"/>
        <v>143883</v>
      </c>
      <c r="F74" s="1692">
        <f t="shared" si="10"/>
        <v>592401</v>
      </c>
      <c r="G74" s="1692">
        <f t="shared" si="10"/>
        <v>9520</v>
      </c>
      <c r="H74" s="1692">
        <f t="shared" si="10"/>
        <v>9117</v>
      </c>
      <c r="I74" s="1692">
        <f t="shared" si="10"/>
        <v>0</v>
      </c>
      <c r="J74" s="1692">
        <f t="shared" si="10"/>
        <v>0</v>
      </c>
      <c r="K74" s="1692">
        <f t="shared" si="10"/>
        <v>3306150</v>
      </c>
      <c r="L74" s="1692">
        <f>SUM(L42,L47,L53,L57,L65,L72,L73)</f>
        <v>3441187</v>
      </c>
    </row>
    <row r="75" spans="1:14" s="259" customFormat="1" ht="15.75" customHeight="1" thickTop="1" thickBot="1" x14ac:dyDescent="0.25">
      <c r="A75" s="1629" t="s">
        <v>49</v>
      </c>
      <c r="B75" s="1630" t="s">
        <v>595</v>
      </c>
      <c r="C75" s="573">
        <v>11169</v>
      </c>
      <c r="D75" s="573">
        <v>0</v>
      </c>
      <c r="E75" s="573">
        <v>0</v>
      </c>
      <c r="F75" s="573">
        <v>0</v>
      </c>
      <c r="G75" s="573">
        <v>0</v>
      </c>
      <c r="H75" s="573">
        <v>0</v>
      </c>
      <c r="I75" s="573">
        <v>0</v>
      </c>
      <c r="J75" s="573">
        <v>0</v>
      </c>
      <c r="K75" s="1685">
        <f>SUM(C75:J75)</f>
        <v>11169</v>
      </c>
      <c r="L75" s="576">
        <v>8350</v>
      </c>
      <c r="M75" s="614"/>
      <c r="N75" s="614"/>
    </row>
    <row r="76" spans="1:14" s="634" customFormat="1" ht="15.75" customHeight="1" thickTop="1" x14ac:dyDescent="0.2">
      <c r="A76" s="1631" t="s">
        <v>382</v>
      </c>
      <c r="B76" s="1628"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3" t="s">
        <v>516</v>
      </c>
      <c r="B78" s="615">
        <v>4110</v>
      </c>
      <c r="C78" s="617"/>
      <c r="D78" s="617"/>
      <c r="E78" s="481">
        <v>0</v>
      </c>
      <c r="F78" s="617"/>
      <c r="G78" s="617"/>
      <c r="H78" s="481">
        <v>0</v>
      </c>
      <c r="I78" s="477"/>
      <c r="J78" s="477"/>
      <c r="K78" s="1686">
        <f t="shared" ref="K78:K83" si="11">SUM(C78:J78)</f>
        <v>0</v>
      </c>
      <c r="L78" s="481">
        <v>0</v>
      </c>
    </row>
    <row r="79" spans="1:14" x14ac:dyDescent="0.2">
      <c r="A79" s="1523" t="s">
        <v>321</v>
      </c>
      <c r="B79" s="615">
        <v>4120</v>
      </c>
      <c r="C79" s="617"/>
      <c r="D79" s="617"/>
      <c r="E79" s="481">
        <v>0</v>
      </c>
      <c r="F79" s="617"/>
      <c r="G79" s="617"/>
      <c r="H79" s="481">
        <v>223214</v>
      </c>
      <c r="I79" s="477"/>
      <c r="J79" s="477"/>
      <c r="K79" s="1686">
        <f t="shared" si="11"/>
        <v>223214</v>
      </c>
      <c r="L79" s="466">
        <v>235000</v>
      </c>
    </row>
    <row r="80" spans="1:14" x14ac:dyDescent="0.2">
      <c r="A80" s="1523" t="s">
        <v>322</v>
      </c>
      <c r="B80" s="615">
        <v>4130</v>
      </c>
      <c r="C80" s="617"/>
      <c r="D80" s="617"/>
      <c r="E80" s="481">
        <v>0</v>
      </c>
      <c r="F80" s="617"/>
      <c r="G80" s="617"/>
      <c r="H80" s="481">
        <v>0</v>
      </c>
      <c r="I80" s="477"/>
      <c r="J80" s="477"/>
      <c r="K80" s="1686">
        <f t="shared" si="11"/>
        <v>0</v>
      </c>
      <c r="L80" s="466">
        <v>0</v>
      </c>
    </row>
    <row r="81" spans="1:12" x14ac:dyDescent="0.2">
      <c r="A81" s="1523" t="s">
        <v>720</v>
      </c>
      <c r="B81" s="615">
        <v>4140</v>
      </c>
      <c r="C81" s="617"/>
      <c r="D81" s="617"/>
      <c r="E81" s="481">
        <v>0</v>
      </c>
      <c r="F81" s="617"/>
      <c r="G81" s="617"/>
      <c r="H81" s="481">
        <v>0</v>
      </c>
      <c r="I81" s="477"/>
      <c r="J81" s="477"/>
      <c r="K81" s="1686">
        <f t="shared" si="11"/>
        <v>0</v>
      </c>
      <c r="L81" s="466">
        <v>0</v>
      </c>
    </row>
    <row r="82" spans="1:12" x14ac:dyDescent="0.2">
      <c r="A82" s="1523" t="s">
        <v>88</v>
      </c>
      <c r="B82" s="615">
        <v>4170</v>
      </c>
      <c r="C82" s="617"/>
      <c r="D82" s="617"/>
      <c r="E82" s="481">
        <v>0</v>
      </c>
      <c r="F82" s="617"/>
      <c r="G82" s="617"/>
      <c r="H82" s="481">
        <v>0</v>
      </c>
      <c r="I82" s="477"/>
      <c r="J82" s="477"/>
      <c r="K82" s="1686">
        <f t="shared" si="11"/>
        <v>0</v>
      </c>
      <c r="L82" s="466">
        <v>0</v>
      </c>
    </row>
    <row r="83" spans="1:12" x14ac:dyDescent="0.2">
      <c r="A83" s="1527" t="s">
        <v>721</v>
      </c>
      <c r="B83" s="629">
        <v>4190</v>
      </c>
      <c r="C83" s="617"/>
      <c r="D83" s="617"/>
      <c r="E83" s="481">
        <v>0</v>
      </c>
      <c r="F83" s="617"/>
      <c r="G83" s="617"/>
      <c r="H83" s="481">
        <v>0</v>
      </c>
      <c r="I83" s="477"/>
      <c r="J83" s="477"/>
      <c r="K83" s="1686">
        <f t="shared" si="11"/>
        <v>0</v>
      </c>
      <c r="L83" s="466">
        <v>0</v>
      </c>
    </row>
    <row r="84" spans="1:12" ht="13.5" thickBot="1" x14ac:dyDescent="0.25">
      <c r="A84" s="1683" t="s">
        <v>1564</v>
      </c>
      <c r="B84" s="1693">
        <v>4100</v>
      </c>
      <c r="C84" s="617"/>
      <c r="D84" s="617"/>
      <c r="E84" s="1685">
        <f>SUM(E78:E83)</f>
        <v>0</v>
      </c>
      <c r="F84" s="617"/>
      <c r="G84" s="617"/>
      <c r="H84" s="1685">
        <f>SUM(H78:H83)</f>
        <v>223214</v>
      </c>
      <c r="I84" s="477"/>
      <c r="J84" s="477"/>
      <c r="K84" s="1685">
        <f>SUM(K78:K83)</f>
        <v>223214</v>
      </c>
      <c r="L84" s="1685">
        <f>SUM(L78:L83)</f>
        <v>235000</v>
      </c>
    </row>
    <row r="85" spans="1:12" ht="12.75" customHeight="1" thickTop="1" thickBot="1" x14ac:dyDescent="0.25">
      <c r="A85" s="1530" t="s">
        <v>273</v>
      </c>
      <c r="B85" s="635">
        <v>4210</v>
      </c>
      <c r="C85" s="617"/>
      <c r="D85" s="617"/>
      <c r="E85" s="636"/>
      <c r="F85" s="617"/>
      <c r="G85" s="617"/>
      <c r="H85" s="535">
        <v>8519</v>
      </c>
      <c r="I85" s="477"/>
      <c r="J85" s="477"/>
      <c r="K85" s="1692">
        <f>H85</f>
        <v>8519</v>
      </c>
      <c r="L85" s="530">
        <v>10000</v>
      </c>
    </row>
    <row r="86" spans="1:12" ht="12.75" customHeight="1" thickTop="1" thickBot="1" x14ac:dyDescent="0.25">
      <c r="A86" s="1531" t="s">
        <v>722</v>
      </c>
      <c r="B86" s="637">
        <v>4220</v>
      </c>
      <c r="C86" s="617"/>
      <c r="D86" s="617"/>
      <c r="E86" s="638"/>
      <c r="F86" s="617"/>
      <c r="G86" s="617"/>
      <c r="H86" s="467">
        <v>1231</v>
      </c>
      <c r="I86" s="477"/>
      <c r="J86" s="477"/>
      <c r="K86" s="1692">
        <f t="shared" ref="K86:K98" si="12">H86</f>
        <v>1231</v>
      </c>
      <c r="L86" s="530">
        <v>1600</v>
      </c>
    </row>
    <row r="87" spans="1:12" ht="14.25" thickTop="1" thickBot="1" x14ac:dyDescent="0.25">
      <c r="A87" s="1532" t="s">
        <v>723</v>
      </c>
      <c r="B87" s="639">
        <v>4230</v>
      </c>
      <c r="C87" s="617"/>
      <c r="D87" s="617"/>
      <c r="E87" s="638"/>
      <c r="F87" s="617"/>
      <c r="G87" s="617"/>
      <c r="H87" s="467">
        <v>0</v>
      </c>
      <c r="I87" s="477"/>
      <c r="J87" s="477"/>
      <c r="K87" s="1692">
        <f t="shared" si="12"/>
        <v>0</v>
      </c>
      <c r="L87" s="530">
        <v>0</v>
      </c>
    </row>
    <row r="88" spans="1:12" ht="12.75" customHeight="1" thickTop="1" thickBot="1" x14ac:dyDescent="0.25">
      <c r="A88" s="1532" t="s">
        <v>788</v>
      </c>
      <c r="B88" s="639">
        <v>4240</v>
      </c>
      <c r="C88" s="617"/>
      <c r="D88" s="617"/>
      <c r="E88" s="638"/>
      <c r="F88" s="617"/>
      <c r="G88" s="617"/>
      <c r="H88" s="467">
        <v>146614</v>
      </c>
      <c r="I88" s="477"/>
      <c r="J88" s="477"/>
      <c r="K88" s="1692">
        <f t="shared" si="12"/>
        <v>146614</v>
      </c>
      <c r="L88" s="530">
        <v>147000</v>
      </c>
    </row>
    <row r="89" spans="1:12" ht="12.75" customHeight="1" thickTop="1" thickBot="1" x14ac:dyDescent="0.25">
      <c r="A89" s="1532" t="s">
        <v>724</v>
      </c>
      <c r="B89" s="639">
        <v>4270</v>
      </c>
      <c r="C89" s="617"/>
      <c r="D89" s="617"/>
      <c r="E89" s="638"/>
      <c r="F89" s="617"/>
      <c r="G89" s="617"/>
      <c r="H89" s="467">
        <v>0</v>
      </c>
      <c r="I89" s="477"/>
      <c r="J89" s="477"/>
      <c r="K89" s="1692">
        <f t="shared" si="12"/>
        <v>0</v>
      </c>
      <c r="L89" s="530">
        <v>0</v>
      </c>
    </row>
    <row r="90" spans="1:12" ht="12.75" customHeight="1" thickTop="1" thickBot="1" x14ac:dyDescent="0.25">
      <c r="A90" s="1532" t="s">
        <v>709</v>
      </c>
      <c r="B90" s="639">
        <v>4280</v>
      </c>
      <c r="C90" s="617"/>
      <c r="D90" s="617"/>
      <c r="E90" s="638"/>
      <c r="F90" s="617"/>
      <c r="G90" s="617"/>
      <c r="H90" s="467">
        <v>0</v>
      </c>
      <c r="I90" s="477"/>
      <c r="J90" s="477"/>
      <c r="K90" s="1692">
        <f t="shared" si="12"/>
        <v>0</v>
      </c>
      <c r="L90" s="530">
        <v>0</v>
      </c>
    </row>
    <row r="91" spans="1:12" ht="12.75" customHeight="1" thickTop="1" thickBot="1" x14ac:dyDescent="0.25">
      <c r="A91" s="1532" t="s">
        <v>710</v>
      </c>
      <c r="B91" s="639">
        <v>4290</v>
      </c>
      <c r="C91" s="617"/>
      <c r="D91" s="617"/>
      <c r="E91" s="638"/>
      <c r="F91" s="617"/>
      <c r="G91" s="617"/>
      <c r="H91" s="467">
        <v>0</v>
      </c>
      <c r="I91" s="477"/>
      <c r="J91" s="477"/>
      <c r="K91" s="1692">
        <f t="shared" si="12"/>
        <v>0</v>
      </c>
      <c r="L91" s="530">
        <v>0</v>
      </c>
    </row>
    <row r="92" spans="1:12" ht="14.25" thickTop="1" thickBot="1" x14ac:dyDescent="0.25">
      <c r="A92" s="1695" t="s">
        <v>1640</v>
      </c>
      <c r="B92" s="1693">
        <v>4200</v>
      </c>
      <c r="C92" s="617"/>
      <c r="D92" s="617"/>
      <c r="E92" s="638"/>
      <c r="F92" s="617"/>
      <c r="G92" s="617"/>
      <c r="H92" s="1685">
        <f>SUM(H85:H91)</f>
        <v>156364</v>
      </c>
      <c r="I92" s="477"/>
      <c r="J92" s="477"/>
      <c r="K92" s="1692">
        <f t="shared" si="12"/>
        <v>156364</v>
      </c>
      <c r="L92" s="1685">
        <f>SUM(L85:L91)</f>
        <v>158600</v>
      </c>
    </row>
    <row r="93" spans="1:12" ht="14.25" thickTop="1" thickBot="1" x14ac:dyDescent="0.25">
      <c r="A93" s="1531" t="s">
        <v>711</v>
      </c>
      <c r="B93" s="640">
        <v>4310</v>
      </c>
      <c r="C93" s="617"/>
      <c r="D93" s="617"/>
      <c r="E93" s="638"/>
      <c r="F93" s="617"/>
      <c r="G93" s="617"/>
      <c r="H93" s="641">
        <v>0</v>
      </c>
      <c r="I93" s="477"/>
      <c r="J93" s="477"/>
      <c r="K93" s="1692">
        <f t="shared" si="12"/>
        <v>0</v>
      </c>
      <c r="L93" s="532">
        <v>0</v>
      </c>
    </row>
    <row r="94" spans="1:12" ht="12.75" customHeight="1" thickTop="1" thickBot="1" x14ac:dyDescent="0.25">
      <c r="A94" s="1532" t="s">
        <v>712</v>
      </c>
      <c r="B94" s="639">
        <v>4320</v>
      </c>
      <c r="C94" s="617"/>
      <c r="D94" s="617"/>
      <c r="E94" s="638"/>
      <c r="F94" s="617"/>
      <c r="G94" s="617"/>
      <c r="H94" s="467">
        <v>0</v>
      </c>
      <c r="I94" s="477"/>
      <c r="J94" s="477"/>
      <c r="K94" s="1692">
        <f t="shared" si="12"/>
        <v>0</v>
      </c>
      <c r="L94" s="530">
        <v>0</v>
      </c>
    </row>
    <row r="95" spans="1:12" ht="15" customHeight="1" thickTop="1" thickBot="1" x14ac:dyDescent="0.25">
      <c r="A95" s="1532" t="s">
        <v>1567</v>
      </c>
      <c r="B95" s="639">
        <v>4330</v>
      </c>
      <c r="C95" s="617"/>
      <c r="D95" s="617"/>
      <c r="E95" s="638"/>
      <c r="F95" s="617"/>
      <c r="G95" s="617"/>
      <c r="H95" s="467">
        <v>0</v>
      </c>
      <c r="I95" s="477"/>
      <c r="J95" s="477"/>
      <c r="K95" s="1692">
        <f t="shared" si="12"/>
        <v>0</v>
      </c>
      <c r="L95" s="530">
        <v>0</v>
      </c>
    </row>
    <row r="96" spans="1:12" ht="14.25" thickTop="1" thickBot="1" x14ac:dyDescent="0.25">
      <c r="A96" s="1532" t="s">
        <v>713</v>
      </c>
      <c r="B96" s="639">
        <v>4340</v>
      </c>
      <c r="C96" s="617"/>
      <c r="D96" s="617"/>
      <c r="E96" s="638"/>
      <c r="F96" s="617"/>
      <c r="G96" s="617"/>
      <c r="H96" s="467">
        <v>0</v>
      </c>
      <c r="I96" s="477"/>
      <c r="J96" s="477"/>
      <c r="K96" s="1692">
        <f t="shared" si="12"/>
        <v>0</v>
      </c>
      <c r="L96" s="530">
        <v>0</v>
      </c>
    </row>
    <row r="97" spans="1:14" ht="12.75" customHeight="1" thickTop="1" thickBot="1" x14ac:dyDescent="0.25">
      <c r="A97" s="1532" t="s">
        <v>786</v>
      </c>
      <c r="B97" s="639">
        <v>4370</v>
      </c>
      <c r="C97" s="617"/>
      <c r="D97" s="617"/>
      <c r="E97" s="638"/>
      <c r="F97" s="617"/>
      <c r="G97" s="617"/>
      <c r="H97" s="467">
        <v>0</v>
      </c>
      <c r="I97" s="477"/>
      <c r="J97" s="477"/>
      <c r="K97" s="1692">
        <f t="shared" si="12"/>
        <v>0</v>
      </c>
      <c r="L97" s="530">
        <v>0</v>
      </c>
    </row>
    <row r="98" spans="1:14" ht="14.25" thickTop="1" thickBot="1" x14ac:dyDescent="0.25">
      <c r="A98" s="1532" t="s">
        <v>787</v>
      </c>
      <c r="B98" s="639">
        <v>4380</v>
      </c>
      <c r="C98" s="617"/>
      <c r="D98" s="617"/>
      <c r="E98" s="642"/>
      <c r="F98" s="617"/>
      <c r="G98" s="617"/>
      <c r="H98" s="467">
        <v>0</v>
      </c>
      <c r="I98" s="477"/>
      <c r="J98" s="477"/>
      <c r="K98" s="1692">
        <f t="shared" si="12"/>
        <v>0</v>
      </c>
      <c r="L98" s="530">
        <v>0</v>
      </c>
    </row>
    <row r="99" spans="1:14" ht="14.25" thickTop="1" thickBot="1" x14ac:dyDescent="0.25">
      <c r="A99" s="1532" t="s">
        <v>384</v>
      </c>
      <c r="B99" s="639">
        <v>4390</v>
      </c>
      <c r="C99" s="617"/>
      <c r="D99" s="617"/>
      <c r="E99" s="532">
        <v>0</v>
      </c>
      <c r="F99" s="617"/>
      <c r="G99" s="617"/>
      <c r="H99" s="467">
        <v>0</v>
      </c>
      <c r="I99" s="477"/>
      <c r="J99" s="477"/>
      <c r="K99" s="1692">
        <f>SUM(E99,H99)</f>
        <v>0</v>
      </c>
      <c r="L99" s="530">
        <v>0</v>
      </c>
    </row>
    <row r="100" spans="1:14" ht="14.25" thickTop="1" thickBot="1" x14ac:dyDescent="0.25">
      <c r="A100" s="1695" t="s">
        <v>1565</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9" t="s">
        <v>1568</v>
      </c>
      <c r="B101" s="643" t="s">
        <v>987</v>
      </c>
      <c r="C101" s="617"/>
      <c r="D101" s="617"/>
      <c r="E101" s="531">
        <v>0</v>
      </c>
      <c r="F101" s="617"/>
      <c r="G101" s="617"/>
      <c r="H101" s="531">
        <v>0</v>
      </c>
      <c r="I101" s="477"/>
      <c r="J101" s="477"/>
      <c r="K101" s="1694">
        <f>SUM(C101:J101)</f>
        <v>0</v>
      </c>
      <c r="L101" s="530">
        <v>0</v>
      </c>
    </row>
    <row r="102" spans="1:14" ht="12.75" customHeight="1" thickTop="1" thickBot="1" x14ac:dyDescent="0.25">
      <c r="A102" s="1683" t="s">
        <v>1566</v>
      </c>
      <c r="B102" s="1693">
        <v>4000</v>
      </c>
      <c r="C102" s="617"/>
      <c r="D102" s="617"/>
      <c r="E102" s="1692">
        <f>SUM(E84,E92,E100,E101)</f>
        <v>0</v>
      </c>
      <c r="F102" s="617"/>
      <c r="G102" s="617"/>
      <c r="H102" s="1692">
        <f>SUM(H84,H92,H100,H101)</f>
        <v>379578</v>
      </c>
      <c r="I102" s="477"/>
      <c r="J102" s="477"/>
      <c r="K102" s="1692">
        <f>SUM(K84,K92,K100,K101)</f>
        <v>379578</v>
      </c>
      <c r="L102" s="1692">
        <f>SUM(L84,L92,L100,L101)</f>
        <v>393600</v>
      </c>
    </row>
    <row r="103" spans="1:14" s="634" customFormat="1" ht="15.75" customHeight="1" thickTop="1" x14ac:dyDescent="0.2">
      <c r="A103" s="1631" t="s">
        <v>533</v>
      </c>
      <c r="B103" s="1628" t="s">
        <v>512</v>
      </c>
      <c r="C103" s="617"/>
      <c r="D103" s="617"/>
      <c r="E103" s="617"/>
      <c r="F103" s="617"/>
      <c r="G103" s="617"/>
      <c r="H103" s="619"/>
      <c r="I103" s="468"/>
      <c r="J103" s="468"/>
      <c r="K103" s="619"/>
      <c r="L103" s="619"/>
      <c r="M103" s="184"/>
      <c r="N103" s="184"/>
    </row>
    <row r="104" spans="1:14" s="646" customFormat="1" ht="15.75" customHeight="1" x14ac:dyDescent="0.2">
      <c r="A104" s="644" t="s">
        <v>635</v>
      </c>
      <c r="B104" s="645"/>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v>0</v>
      </c>
      <c r="I105" s="468"/>
      <c r="J105" s="468"/>
      <c r="K105" s="1686">
        <f>H105</f>
        <v>0</v>
      </c>
      <c r="L105" s="481">
        <v>0</v>
      </c>
      <c r="M105" s="210"/>
      <c r="N105" s="210"/>
    </row>
    <row r="106" spans="1:14" s="598" customFormat="1" x14ac:dyDescent="0.2">
      <c r="A106" s="1523" t="s">
        <v>90</v>
      </c>
      <c r="B106" s="615">
        <v>5120</v>
      </c>
      <c r="C106" s="617"/>
      <c r="D106" s="617"/>
      <c r="E106" s="617"/>
      <c r="F106" s="617"/>
      <c r="G106" s="617"/>
      <c r="H106" s="466">
        <v>0</v>
      </c>
      <c r="I106" s="468"/>
      <c r="J106" s="468"/>
      <c r="K106" s="1686">
        <f>H106</f>
        <v>0</v>
      </c>
      <c r="L106" s="466">
        <v>0</v>
      </c>
      <c r="M106" s="210"/>
      <c r="N106" s="210"/>
    </row>
    <row r="107" spans="1:14" s="598" customFormat="1" ht="12.75" customHeight="1" x14ac:dyDescent="0.2">
      <c r="A107" s="1523" t="s">
        <v>1231</v>
      </c>
      <c r="B107" s="615">
        <v>5130</v>
      </c>
      <c r="C107" s="617"/>
      <c r="D107" s="617"/>
      <c r="E107" s="617"/>
      <c r="F107" s="617"/>
      <c r="G107" s="617"/>
      <c r="H107" s="466">
        <v>0</v>
      </c>
      <c r="I107" s="468"/>
      <c r="J107" s="468"/>
      <c r="K107" s="1686">
        <f>H107</f>
        <v>0</v>
      </c>
      <c r="L107" s="466">
        <v>0</v>
      </c>
      <c r="M107" s="210"/>
      <c r="N107" s="210"/>
    </row>
    <row r="108" spans="1:14" s="598" customFormat="1" x14ac:dyDescent="0.2">
      <c r="A108" s="1523" t="s">
        <v>91</v>
      </c>
      <c r="B108" s="615" t="s">
        <v>609</v>
      </c>
      <c r="C108" s="617"/>
      <c r="D108" s="617"/>
      <c r="E108" s="617"/>
      <c r="F108" s="617"/>
      <c r="G108" s="617"/>
      <c r="H108" s="466">
        <v>0</v>
      </c>
      <c r="I108" s="468"/>
      <c r="J108" s="468"/>
      <c r="K108" s="1686">
        <f>H108</f>
        <v>0</v>
      </c>
      <c r="L108" s="466">
        <v>0</v>
      </c>
      <c r="M108" s="210"/>
      <c r="N108" s="210"/>
    </row>
    <row r="109" spans="1:14" s="598" customFormat="1" x14ac:dyDescent="0.2">
      <c r="A109" s="1523" t="s">
        <v>272</v>
      </c>
      <c r="B109" s="629">
        <v>5150</v>
      </c>
      <c r="C109" s="617"/>
      <c r="D109" s="617"/>
      <c r="E109" s="617"/>
      <c r="F109" s="617"/>
      <c r="G109" s="617"/>
      <c r="H109" s="466">
        <v>0</v>
      </c>
      <c r="I109" s="468"/>
      <c r="J109" s="468"/>
      <c r="K109" s="1686">
        <f>H109</f>
        <v>0</v>
      </c>
      <c r="L109" s="466">
        <v>0</v>
      </c>
      <c r="M109" s="210"/>
      <c r="N109" s="210"/>
    </row>
    <row r="110" spans="1:14" s="598" customFormat="1" ht="12.75" customHeight="1" thickBot="1" x14ac:dyDescent="0.25">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3" t="s">
        <v>385</v>
      </c>
      <c r="B111" s="647" t="s">
        <v>38</v>
      </c>
      <c r="C111" s="617"/>
      <c r="D111" s="617"/>
      <c r="E111" s="617"/>
      <c r="F111" s="617"/>
      <c r="G111" s="617"/>
      <c r="H111" s="535">
        <v>0</v>
      </c>
      <c r="I111" s="468"/>
      <c r="J111" s="468"/>
      <c r="K111" s="1698">
        <f>H111</f>
        <v>0</v>
      </c>
      <c r="L111" s="532">
        <v>0</v>
      </c>
      <c r="M111" s="210"/>
      <c r="N111" s="210"/>
    </row>
    <row r="112" spans="1:14" s="598" customFormat="1" ht="12.75" customHeight="1" thickTop="1" thickBot="1" x14ac:dyDescent="0.25">
      <c r="A112" s="1683" t="s">
        <v>658</v>
      </c>
      <c r="B112" s="1684" t="s">
        <v>512</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5" t="s">
        <v>534</v>
      </c>
      <c r="B113" s="1632" t="s">
        <v>915</v>
      </c>
      <c r="C113" s="624"/>
      <c r="D113" s="624"/>
      <c r="E113" s="617"/>
      <c r="F113" s="617"/>
      <c r="G113" s="617"/>
      <c r="H113" s="624"/>
      <c r="I113" s="468"/>
      <c r="J113" s="468"/>
      <c r="K113" s="624"/>
      <c r="L113" s="531">
        <v>0</v>
      </c>
      <c r="M113" s="614"/>
      <c r="N113" s="614"/>
    </row>
    <row r="114" spans="1:14" ht="12.75" customHeight="1" thickTop="1" thickBot="1" x14ac:dyDescent="0.25">
      <c r="A114" s="1683" t="s">
        <v>50</v>
      </c>
      <c r="B114" s="1697"/>
      <c r="C114" s="1685">
        <f>SUM(C33,C74,C75,C102,C112,C113)</f>
        <v>8538451</v>
      </c>
      <c r="D114" s="1685">
        <f t="shared" ref="D114:K114" si="13">SUM(D33,D74,D75,D102,D112,D113)</f>
        <v>1468338</v>
      </c>
      <c r="E114" s="1685">
        <f t="shared" si="13"/>
        <v>240081</v>
      </c>
      <c r="F114" s="1685">
        <f t="shared" si="13"/>
        <v>907850</v>
      </c>
      <c r="G114" s="1685">
        <f t="shared" si="13"/>
        <v>86147</v>
      </c>
      <c r="H114" s="1685">
        <f>SUM(H33,H74,H75,H102,H112,H113)</f>
        <v>826919</v>
      </c>
      <c r="I114" s="1685">
        <f t="shared" si="13"/>
        <v>0</v>
      </c>
      <c r="J114" s="1685">
        <f t="shared" si="13"/>
        <v>0</v>
      </c>
      <c r="K114" s="1685">
        <f t="shared" si="13"/>
        <v>12067786</v>
      </c>
      <c r="L114" s="1685">
        <f>SUM(L33,L74,L75,L102,L112,L113)</f>
        <v>12578655</v>
      </c>
    </row>
    <row r="115" spans="1:14" ht="13.5" thickTop="1" x14ac:dyDescent="0.2">
      <c r="A115" s="2177" t="s">
        <v>1052</v>
      </c>
      <c r="B115" s="2178"/>
      <c r="C115" s="619"/>
      <c r="D115" s="619"/>
      <c r="E115" s="619"/>
      <c r="F115" s="619"/>
      <c r="G115" s="619"/>
      <c r="H115" s="619"/>
      <c r="I115" s="619"/>
      <c r="J115" s="619"/>
      <c r="K115" s="1699">
        <f>'Revenues 9-14'!C275-'Expenditures 15-22'!K114</f>
        <v>412950</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2" t="s">
        <v>313</v>
      </c>
      <c r="B117" s="2183"/>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7"/>
      <c r="D118" s="617"/>
      <c r="E118" s="617"/>
      <c r="F118" s="617"/>
      <c r="G118" s="617"/>
      <c r="H118" s="617"/>
      <c r="I118" s="617"/>
      <c r="J118" s="617"/>
      <c r="K118" s="617"/>
      <c r="L118" s="617"/>
    </row>
    <row r="119" spans="1:14" ht="15.75" customHeight="1" x14ac:dyDescent="0.2">
      <c r="A119" s="652" t="s">
        <v>611</v>
      </c>
      <c r="B119" s="623"/>
      <c r="C119" s="624"/>
      <c r="D119" s="624"/>
      <c r="E119" s="624"/>
      <c r="F119" s="617"/>
      <c r="G119" s="617"/>
      <c r="H119" s="624"/>
      <c r="I119" s="617"/>
      <c r="J119" s="617"/>
      <c r="K119" s="624"/>
      <c r="L119" s="624"/>
    </row>
    <row r="120" spans="1:14" ht="12.75" customHeight="1" x14ac:dyDescent="0.2">
      <c r="A120" s="1527" t="s">
        <v>167</v>
      </c>
      <c r="B120" s="629">
        <v>2190</v>
      </c>
      <c r="C120" s="466">
        <v>0</v>
      </c>
      <c r="D120" s="466">
        <v>0</v>
      </c>
      <c r="E120" s="466">
        <v>0</v>
      </c>
      <c r="F120" s="466">
        <v>0</v>
      </c>
      <c r="G120" s="466">
        <v>0</v>
      </c>
      <c r="H120" s="466">
        <v>0</v>
      </c>
      <c r="I120" s="466">
        <v>0</v>
      </c>
      <c r="J120" s="466">
        <v>0</v>
      </c>
      <c r="K120" s="1686">
        <f>SUM(C120:J120)</f>
        <v>0</v>
      </c>
      <c r="L120" s="466">
        <v>0</v>
      </c>
    </row>
    <row r="121" spans="1:14" ht="15.75" customHeight="1" x14ac:dyDescent="0.2">
      <c r="A121" s="653" t="s">
        <v>632</v>
      </c>
      <c r="B121" s="623"/>
      <c r="C121" s="521"/>
      <c r="D121" s="521"/>
      <c r="E121" s="521"/>
      <c r="F121" s="521"/>
      <c r="G121" s="521"/>
      <c r="H121" s="521"/>
      <c r="I121" s="617"/>
      <c r="J121" s="617"/>
      <c r="K121" s="624"/>
      <c r="L121" s="521"/>
    </row>
    <row r="122" spans="1:14" ht="13.5" thickBot="1" x14ac:dyDescent="0.25">
      <c r="A122" s="1523" t="s">
        <v>1127</v>
      </c>
      <c r="B122" s="615">
        <v>2510</v>
      </c>
      <c r="C122" s="466">
        <v>0</v>
      </c>
      <c r="D122" s="466">
        <v>0</v>
      </c>
      <c r="E122" s="466">
        <v>0</v>
      </c>
      <c r="F122" s="466">
        <v>0</v>
      </c>
      <c r="G122" s="466">
        <v>0</v>
      </c>
      <c r="H122" s="466">
        <v>0</v>
      </c>
      <c r="I122" s="466">
        <v>0</v>
      </c>
      <c r="J122" s="466">
        <v>0</v>
      </c>
      <c r="K122" s="1685">
        <f>SUM(C122:J122)</f>
        <v>0</v>
      </c>
      <c r="L122" s="466">
        <v>0</v>
      </c>
    </row>
    <row r="123" spans="1:14" ht="14.25" thickTop="1" thickBot="1" x14ac:dyDescent="0.25">
      <c r="A123" s="1523" t="s">
        <v>4</v>
      </c>
      <c r="B123" s="615">
        <v>2530</v>
      </c>
      <c r="C123" s="466">
        <v>0</v>
      </c>
      <c r="D123" s="466">
        <v>0</v>
      </c>
      <c r="E123" s="466">
        <v>2988</v>
      </c>
      <c r="F123" s="466">
        <v>0</v>
      </c>
      <c r="G123" s="466">
        <v>157085</v>
      </c>
      <c r="H123" s="466">
        <v>0</v>
      </c>
      <c r="I123" s="466">
        <v>0</v>
      </c>
      <c r="J123" s="466">
        <v>0</v>
      </c>
      <c r="K123" s="1685">
        <f>SUM(C123:J123)</f>
        <v>160073</v>
      </c>
      <c r="L123" s="466">
        <v>450100</v>
      </c>
    </row>
    <row r="124" spans="1:14" ht="14.25" thickTop="1" thickBot="1" x14ac:dyDescent="0.25">
      <c r="A124" s="1523" t="s">
        <v>206</v>
      </c>
      <c r="B124" s="615">
        <v>2540</v>
      </c>
      <c r="C124" s="466">
        <v>0</v>
      </c>
      <c r="D124" s="466">
        <v>0</v>
      </c>
      <c r="E124" s="466">
        <v>155937</v>
      </c>
      <c r="F124" s="466">
        <v>412502</v>
      </c>
      <c r="G124" s="466">
        <v>52621</v>
      </c>
      <c r="H124" s="466">
        <v>0</v>
      </c>
      <c r="I124" s="466">
        <v>0</v>
      </c>
      <c r="J124" s="466">
        <v>0</v>
      </c>
      <c r="K124" s="1685">
        <f>SUM(C124:J124)</f>
        <v>621060</v>
      </c>
      <c r="L124" s="466">
        <v>833600</v>
      </c>
    </row>
    <row r="125" spans="1:14" ht="14.25" thickTop="1" thickBot="1" x14ac:dyDescent="0.25">
      <c r="A125" s="1523" t="s">
        <v>1009</v>
      </c>
      <c r="B125" s="615">
        <v>2550</v>
      </c>
      <c r="C125" s="466">
        <v>0</v>
      </c>
      <c r="D125" s="466">
        <v>0</v>
      </c>
      <c r="E125" s="466">
        <v>0</v>
      </c>
      <c r="F125" s="466">
        <v>0</v>
      </c>
      <c r="G125" s="466">
        <v>0</v>
      </c>
      <c r="H125" s="466">
        <v>0</v>
      </c>
      <c r="I125" s="466">
        <v>0</v>
      </c>
      <c r="J125" s="466">
        <v>0</v>
      </c>
      <c r="K125" s="1685">
        <f>SUM(C125:J125)</f>
        <v>0</v>
      </c>
      <c r="L125" s="466">
        <v>0</v>
      </c>
    </row>
    <row r="126" spans="1:14" ht="14.25" thickTop="1" thickBot="1" x14ac:dyDescent="0.25">
      <c r="A126" s="1523" t="s">
        <v>102</v>
      </c>
      <c r="B126" s="615">
        <v>2560</v>
      </c>
      <c r="C126" s="654"/>
      <c r="D126" s="654"/>
      <c r="E126" s="654"/>
      <c r="F126" s="654"/>
      <c r="G126" s="466">
        <v>0</v>
      </c>
      <c r="H126" s="654"/>
      <c r="I126" s="474">
        <v>0</v>
      </c>
      <c r="J126" s="617"/>
      <c r="K126" s="1685">
        <f>SUM(C126:J126)</f>
        <v>0</v>
      </c>
      <c r="L126" s="466">
        <v>0</v>
      </c>
    </row>
    <row r="127" spans="1:14" ht="12.75" customHeight="1" thickTop="1" thickBot="1" x14ac:dyDescent="0.25">
      <c r="A127" s="1683" t="s">
        <v>742</v>
      </c>
      <c r="B127" s="1684" t="s">
        <v>35</v>
      </c>
      <c r="C127" s="1685">
        <f>SUM(C122:C126)</f>
        <v>0</v>
      </c>
      <c r="D127" s="1685">
        <f t="shared" ref="D127:L127" si="14">SUM(D122:D126)</f>
        <v>0</v>
      </c>
      <c r="E127" s="1685">
        <f t="shared" si="14"/>
        <v>158925</v>
      </c>
      <c r="F127" s="1685">
        <f t="shared" si="14"/>
        <v>412502</v>
      </c>
      <c r="G127" s="1685">
        <f t="shared" si="14"/>
        <v>209706</v>
      </c>
      <c r="H127" s="1685">
        <f t="shared" si="14"/>
        <v>0</v>
      </c>
      <c r="I127" s="1685">
        <f t="shared" si="14"/>
        <v>0</v>
      </c>
      <c r="J127" s="1685">
        <f t="shared" si="14"/>
        <v>0</v>
      </c>
      <c r="K127" s="1685">
        <f t="shared" si="14"/>
        <v>781133</v>
      </c>
      <c r="L127" s="1685">
        <f t="shared" si="14"/>
        <v>1283700</v>
      </c>
    </row>
    <row r="128" spans="1:14" ht="12.75" customHeight="1" thickTop="1" thickBot="1" x14ac:dyDescent="0.25">
      <c r="A128" s="1530" t="s">
        <v>1036</v>
      </c>
      <c r="B128" s="655" t="s">
        <v>594</v>
      </c>
      <c r="C128" s="573">
        <v>0</v>
      </c>
      <c r="D128" s="573">
        <v>0</v>
      </c>
      <c r="E128" s="573">
        <v>0</v>
      </c>
      <c r="F128" s="573">
        <v>0</v>
      </c>
      <c r="G128" s="573">
        <v>0</v>
      </c>
      <c r="H128" s="573">
        <v>0</v>
      </c>
      <c r="I128" s="573">
        <v>0</v>
      </c>
      <c r="J128" s="573">
        <v>0</v>
      </c>
      <c r="K128" s="1700">
        <f>SUM(C128:J128)</f>
        <v>0</v>
      </c>
      <c r="L128" s="656">
        <v>0</v>
      </c>
    </row>
    <row r="129" spans="1:14" ht="12.75" customHeight="1" thickTop="1" thickBot="1" x14ac:dyDescent="0.25">
      <c r="A129" s="1701" t="s">
        <v>864</v>
      </c>
      <c r="B129" s="1702" t="s">
        <v>589</v>
      </c>
      <c r="C129" s="1692">
        <f>SUM(C120,C127,C128)</f>
        <v>0</v>
      </c>
      <c r="D129" s="1692">
        <f t="shared" ref="D129:L129" si="15">SUM(D120,D127,D128)</f>
        <v>0</v>
      </c>
      <c r="E129" s="1692">
        <f t="shared" si="15"/>
        <v>158925</v>
      </c>
      <c r="F129" s="1692">
        <f t="shared" si="15"/>
        <v>412502</v>
      </c>
      <c r="G129" s="1692">
        <f t="shared" si="15"/>
        <v>209706</v>
      </c>
      <c r="H129" s="1692">
        <f t="shared" si="15"/>
        <v>0</v>
      </c>
      <c r="I129" s="1692">
        <f t="shared" si="15"/>
        <v>0</v>
      </c>
      <c r="J129" s="1692">
        <f t="shared" si="15"/>
        <v>0</v>
      </c>
      <c r="K129" s="1692">
        <f t="shared" si="15"/>
        <v>781133</v>
      </c>
      <c r="L129" s="1692">
        <f t="shared" si="15"/>
        <v>1283700</v>
      </c>
    </row>
    <row r="130" spans="1:14" ht="15.75" customHeight="1" thickTop="1" thickBot="1" x14ac:dyDescent="0.25">
      <c r="A130" s="1629" t="s">
        <v>1095</v>
      </c>
      <c r="B130" s="1630" t="s">
        <v>595</v>
      </c>
      <c r="C130" s="573">
        <v>0</v>
      </c>
      <c r="D130" s="573">
        <v>0</v>
      </c>
      <c r="E130" s="573">
        <v>0</v>
      </c>
      <c r="F130" s="573">
        <v>0</v>
      </c>
      <c r="G130" s="573">
        <v>0</v>
      </c>
      <c r="H130" s="573">
        <v>0</v>
      </c>
      <c r="I130" s="573">
        <v>0</v>
      </c>
      <c r="J130" s="573">
        <v>0</v>
      </c>
      <c r="K130" s="1685">
        <f>SUM(C130:J130)</f>
        <v>0</v>
      </c>
      <c r="L130" s="576">
        <v>0</v>
      </c>
    </row>
    <row r="131" spans="1:14" ht="15.75" customHeight="1" thickTop="1" x14ac:dyDescent="0.2">
      <c r="A131" s="1635" t="s">
        <v>636</v>
      </c>
      <c r="B131" s="1628" t="s">
        <v>914</v>
      </c>
      <c r="C131" s="468"/>
      <c r="D131" s="468"/>
      <c r="E131" s="566"/>
      <c r="F131" s="468"/>
      <c r="G131" s="468"/>
      <c r="H131" s="566"/>
      <c r="I131" s="468"/>
      <c r="J131" s="468"/>
      <c r="K131" s="566"/>
      <c r="L131" s="566"/>
    </row>
    <row r="132" spans="1:14" s="384" customFormat="1" ht="13.5" customHeight="1" x14ac:dyDescent="0.2">
      <c r="A132" s="657" t="s">
        <v>634</v>
      </c>
      <c r="B132" s="658"/>
      <c r="C132" s="468"/>
      <c r="D132" s="468"/>
      <c r="E132" s="521"/>
      <c r="F132" s="468"/>
      <c r="G132" s="468"/>
      <c r="H132" s="521"/>
      <c r="I132" s="468"/>
      <c r="J132" s="468"/>
      <c r="K132" s="521"/>
      <c r="L132" s="521"/>
      <c r="M132" s="206"/>
      <c r="N132" s="206"/>
    </row>
    <row r="133" spans="1:14" s="384" customFormat="1" ht="13.5" customHeight="1" x14ac:dyDescent="0.2">
      <c r="A133" s="1509" t="s">
        <v>516</v>
      </c>
      <c r="B133" s="1856" t="s">
        <v>1953</v>
      </c>
      <c r="C133" s="468"/>
      <c r="D133" s="468"/>
      <c r="E133" s="641" t="s">
        <v>1230</v>
      </c>
      <c r="F133" s="468"/>
      <c r="G133" s="468"/>
      <c r="H133" s="641" t="s">
        <v>1230</v>
      </c>
      <c r="I133" s="468"/>
      <c r="J133" s="468"/>
      <c r="K133" s="1837">
        <f>SUM(E133,H133)</f>
        <v>0</v>
      </c>
      <c r="L133" s="641">
        <v>0</v>
      </c>
      <c r="M133" s="206"/>
      <c r="N133" s="206"/>
    </row>
    <row r="134" spans="1:14" x14ac:dyDescent="0.2">
      <c r="A134" s="1523" t="s">
        <v>321</v>
      </c>
      <c r="B134" s="615">
        <v>4120</v>
      </c>
      <c r="C134" s="617"/>
      <c r="D134" s="617"/>
      <c r="E134" s="641">
        <v>0</v>
      </c>
      <c r="F134" s="617"/>
      <c r="G134" s="617"/>
      <c r="H134" s="641">
        <v>0</v>
      </c>
      <c r="I134" s="477"/>
      <c r="J134" s="617"/>
      <c r="K134" s="1687">
        <f>SUM(E134,H134)</f>
        <v>0</v>
      </c>
      <c r="L134" s="481">
        <v>0</v>
      </c>
    </row>
    <row r="135" spans="1:14" x14ac:dyDescent="0.2">
      <c r="A135" s="1523" t="s">
        <v>720</v>
      </c>
      <c r="B135" s="615">
        <v>4140</v>
      </c>
      <c r="C135" s="617"/>
      <c r="D135" s="617"/>
      <c r="E135" s="641">
        <v>0</v>
      </c>
      <c r="F135" s="617"/>
      <c r="G135" s="617"/>
      <c r="H135" s="641">
        <v>0</v>
      </c>
      <c r="I135" s="477"/>
      <c r="J135" s="617"/>
      <c r="K135" s="1687">
        <f>SUM(E135,H135)</f>
        <v>0</v>
      </c>
      <c r="L135" s="466">
        <v>0</v>
      </c>
    </row>
    <row r="136" spans="1:14" x14ac:dyDescent="0.2">
      <c r="A136" s="1527" t="s">
        <v>721</v>
      </c>
      <c r="B136" s="629">
        <v>4190</v>
      </c>
      <c r="C136" s="617"/>
      <c r="D136" s="617"/>
      <c r="E136" s="641">
        <v>0</v>
      </c>
      <c r="F136" s="617"/>
      <c r="G136" s="617"/>
      <c r="H136" s="641">
        <v>0</v>
      </c>
      <c r="I136" s="477"/>
      <c r="J136" s="617"/>
      <c r="K136" s="1687">
        <f>SUM(E136,H136)</f>
        <v>0</v>
      </c>
      <c r="L136" s="466">
        <v>0</v>
      </c>
    </row>
    <row r="137" spans="1:14" ht="12.75" customHeight="1" thickBot="1" x14ac:dyDescent="0.25">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9" t="s">
        <v>98</v>
      </c>
      <c r="B138" s="643" t="s">
        <v>987</v>
      </c>
      <c r="C138" s="617"/>
      <c r="D138" s="617"/>
      <c r="E138" s="576" t="s">
        <v>1230</v>
      </c>
      <c r="F138" s="617"/>
      <c r="G138" s="617"/>
      <c r="H138" s="576">
        <v>0</v>
      </c>
      <c r="I138" s="477"/>
      <c r="J138" s="617"/>
      <c r="K138" s="1687">
        <f>SUM(E138,H138)</f>
        <v>0</v>
      </c>
      <c r="L138" s="576">
        <v>0</v>
      </c>
    </row>
    <row r="139" spans="1:14" ht="12.75" customHeight="1" thickTop="1" thickBot="1" x14ac:dyDescent="0.25">
      <c r="A139" s="1683" t="s">
        <v>1566</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31" t="s">
        <v>1096</v>
      </c>
      <c r="B140" s="1632" t="s">
        <v>512</v>
      </c>
      <c r="C140" s="617"/>
      <c r="D140" s="617"/>
      <c r="E140" s="638"/>
      <c r="F140" s="638"/>
      <c r="G140" s="638"/>
      <c r="H140" s="636"/>
      <c r="I140" s="477"/>
      <c r="J140" s="638"/>
      <c r="K140" s="636"/>
      <c r="L140" s="636"/>
    </row>
    <row r="141" spans="1:14" ht="15.75" customHeight="1" x14ac:dyDescent="0.2">
      <c r="A141" s="653" t="s">
        <v>635</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v>0</v>
      </c>
      <c r="I142" s="468"/>
      <c r="J142" s="617"/>
      <c r="K142" s="1687">
        <f>SUM(H142)</f>
        <v>0</v>
      </c>
      <c r="L142" s="481">
        <v>0</v>
      </c>
    </row>
    <row r="143" spans="1:14" x14ac:dyDescent="0.2">
      <c r="A143" s="1523" t="s">
        <v>90</v>
      </c>
      <c r="B143" s="615">
        <v>5120</v>
      </c>
      <c r="C143" s="617"/>
      <c r="D143" s="617"/>
      <c r="E143" s="617"/>
      <c r="F143" s="617"/>
      <c r="G143" s="617"/>
      <c r="H143" s="466">
        <v>0</v>
      </c>
      <c r="I143" s="468"/>
      <c r="J143" s="617"/>
      <c r="K143" s="1687">
        <f>SUM(H143)</f>
        <v>0</v>
      </c>
      <c r="L143" s="466">
        <v>0</v>
      </c>
    </row>
    <row r="144" spans="1:14" ht="12.75" customHeight="1" x14ac:dyDescent="0.2">
      <c r="A144" s="1523" t="s">
        <v>1231</v>
      </c>
      <c r="B144" s="629" t="s">
        <v>637</v>
      </c>
      <c r="C144" s="617"/>
      <c r="D144" s="617"/>
      <c r="E144" s="617"/>
      <c r="F144" s="617"/>
      <c r="G144" s="617"/>
      <c r="H144" s="466">
        <v>0</v>
      </c>
      <c r="I144" s="468"/>
      <c r="J144" s="617"/>
      <c r="K144" s="1687">
        <f>SUM(H144)</f>
        <v>0</v>
      </c>
      <c r="L144" s="466">
        <v>0</v>
      </c>
    </row>
    <row r="145" spans="1:14" x14ac:dyDescent="0.2">
      <c r="A145" s="1523" t="s">
        <v>91</v>
      </c>
      <c r="B145" s="615" t="s">
        <v>609</v>
      </c>
      <c r="C145" s="617"/>
      <c r="D145" s="617"/>
      <c r="E145" s="617"/>
      <c r="F145" s="617"/>
      <c r="G145" s="617"/>
      <c r="H145" s="466">
        <v>0</v>
      </c>
      <c r="I145" s="468"/>
      <c r="J145" s="617"/>
      <c r="K145" s="1687">
        <f>SUM(H145)</f>
        <v>0</v>
      </c>
      <c r="L145" s="466">
        <v>0</v>
      </c>
    </row>
    <row r="146" spans="1:14" ht="12.75" customHeight="1" x14ac:dyDescent="0.2">
      <c r="A146" s="1523" t="s">
        <v>639</v>
      </c>
      <c r="B146" s="615" t="s">
        <v>638</v>
      </c>
      <c r="C146" s="617"/>
      <c r="D146" s="617"/>
      <c r="E146" s="617"/>
      <c r="F146" s="617"/>
      <c r="G146" s="617"/>
      <c r="H146" s="466">
        <v>0</v>
      </c>
      <c r="I146" s="468"/>
      <c r="J146" s="617"/>
      <c r="K146" s="1687">
        <f>SUM(H146)</f>
        <v>0</v>
      </c>
      <c r="L146" s="466">
        <v>0</v>
      </c>
    </row>
    <row r="147" spans="1:14" ht="12.75" customHeight="1" thickBot="1" x14ac:dyDescent="0.25">
      <c r="A147" s="1534" t="s">
        <v>646</v>
      </c>
      <c r="B147" s="659" t="s">
        <v>741</v>
      </c>
      <c r="C147" s="617"/>
      <c r="D147" s="617"/>
      <c r="E147" s="617"/>
      <c r="F147" s="617"/>
      <c r="G147" s="617"/>
      <c r="H147" s="1703">
        <f>SUM(H142:H146)</f>
        <v>0</v>
      </c>
      <c r="I147" s="468"/>
      <c r="J147" s="617"/>
      <c r="K147" s="1685">
        <f>SUM(K142:K146)</f>
        <v>0</v>
      </c>
      <c r="L147" s="1703">
        <f>SUM(L142:L146)</f>
        <v>0</v>
      </c>
    </row>
    <row r="148" spans="1:14" ht="15.75" customHeight="1" thickTop="1" x14ac:dyDescent="0.2">
      <c r="A148" s="660" t="s">
        <v>1164</v>
      </c>
      <c r="B148" s="661" t="s">
        <v>38</v>
      </c>
      <c r="C148" s="617"/>
      <c r="D148" s="617"/>
      <c r="E148" s="617"/>
      <c r="F148" s="617"/>
      <c r="G148" s="617"/>
      <c r="H148" s="479">
        <v>0</v>
      </c>
      <c r="I148" s="468"/>
      <c r="J148" s="617"/>
      <c r="K148" s="1687">
        <f>SUM(H148)</f>
        <v>0</v>
      </c>
      <c r="L148" s="492">
        <v>0</v>
      </c>
    </row>
    <row r="149" spans="1:14" ht="12.75" customHeight="1" thickBot="1" x14ac:dyDescent="0.25">
      <c r="A149" s="1526"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5" t="s">
        <v>1097</v>
      </c>
      <c r="B150" s="1632" t="s">
        <v>915</v>
      </c>
      <c r="C150" s="617"/>
      <c r="D150" s="617"/>
      <c r="E150" s="617"/>
      <c r="F150" s="617"/>
      <c r="G150" s="617"/>
      <c r="H150" s="662"/>
      <c r="I150" s="521"/>
      <c r="J150" s="617"/>
      <c r="K150" s="624"/>
      <c r="L150" s="573">
        <v>0</v>
      </c>
    </row>
    <row r="151" spans="1:14" ht="12.75" customHeight="1" thickTop="1" thickBot="1" x14ac:dyDescent="0.25">
      <c r="A151" s="2194" t="s">
        <v>640</v>
      </c>
      <c r="B151" s="2174"/>
      <c r="C151" s="1685">
        <f>SUM(C129,C130,C139,C149,C150)</f>
        <v>0</v>
      </c>
      <c r="D151" s="1685">
        <f t="shared" ref="D151:K151" si="16">SUM(D129,D130,D139,D149,D150)</f>
        <v>0</v>
      </c>
      <c r="E151" s="1685">
        <f t="shared" si="16"/>
        <v>158925</v>
      </c>
      <c r="F151" s="1685">
        <f t="shared" si="16"/>
        <v>412502</v>
      </c>
      <c r="G151" s="1685">
        <f t="shared" si="16"/>
        <v>209706</v>
      </c>
      <c r="H151" s="1685">
        <f t="shared" si="16"/>
        <v>0</v>
      </c>
      <c r="I151" s="1685">
        <f t="shared" si="16"/>
        <v>0</v>
      </c>
      <c r="J151" s="1685">
        <f t="shared" si="16"/>
        <v>0</v>
      </c>
      <c r="K151" s="1685">
        <f t="shared" si="16"/>
        <v>781133</v>
      </c>
      <c r="L151" s="1685">
        <f>SUM(L129,L130,L139,L149,L150)</f>
        <v>1283700</v>
      </c>
    </row>
    <row r="152" spans="1:14" ht="12.75" customHeight="1" thickTop="1" x14ac:dyDescent="0.2">
      <c r="A152" s="2197" t="s">
        <v>1239</v>
      </c>
      <c r="B152" s="2198"/>
      <c r="C152" s="619"/>
      <c r="D152" s="619"/>
      <c r="E152" s="619"/>
      <c r="F152" s="619"/>
      <c r="G152" s="619"/>
      <c r="H152" s="619"/>
      <c r="I152" s="619"/>
      <c r="J152" s="617"/>
      <c r="K152" s="1699">
        <f>'Revenues 9-14'!D275-'Expenditures 15-22'!K151</f>
        <v>203010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2" t="s">
        <v>641</v>
      </c>
      <c r="B154" s="2184"/>
      <c r="C154" s="1645"/>
      <c r="D154" s="1646"/>
      <c r="E154" s="1646"/>
      <c r="F154" s="1646"/>
      <c r="G154" s="1646"/>
      <c r="H154" s="1646"/>
      <c r="I154" s="1646"/>
      <c r="J154" s="1646"/>
      <c r="K154" s="1646"/>
      <c r="L154" s="1647"/>
      <c r="M154" s="667"/>
      <c r="N154" s="667"/>
    </row>
    <row r="155" spans="1:14" s="621" customFormat="1" ht="15.75" customHeight="1" thickBot="1" x14ac:dyDescent="0.25">
      <c r="A155" s="1636" t="s">
        <v>83</v>
      </c>
      <c r="B155" s="1637" t="s">
        <v>914</v>
      </c>
      <c r="C155" s="617"/>
      <c r="D155" s="617"/>
      <c r="E155" s="617"/>
      <c r="F155" s="617"/>
      <c r="G155" s="617"/>
      <c r="H155" s="1857"/>
      <c r="I155" s="617"/>
      <c r="J155" s="617"/>
      <c r="K155" s="1841"/>
      <c r="L155" s="1857"/>
      <c r="M155" s="620"/>
      <c r="N155" s="620"/>
    </row>
    <row r="156" spans="1:14" s="621" customFormat="1" ht="15.75" customHeight="1" thickTop="1" x14ac:dyDescent="0.2">
      <c r="A156" s="1838" t="s">
        <v>1954</v>
      </c>
      <c r="B156" s="1839"/>
      <c r="C156" s="617"/>
      <c r="D156" s="617"/>
      <c r="E156" s="617"/>
      <c r="F156" s="617"/>
      <c r="G156" s="617"/>
      <c r="H156" s="1858"/>
      <c r="I156" s="617"/>
      <c r="J156" s="617"/>
      <c r="K156" s="1840"/>
      <c r="L156" s="1858"/>
      <c r="M156" s="620"/>
      <c r="N156" s="620"/>
    </row>
    <row r="157" spans="1:14" s="621" customFormat="1" ht="12" x14ac:dyDescent="0.2">
      <c r="A157" s="1842" t="s">
        <v>516</v>
      </c>
      <c r="B157" s="1843" t="s">
        <v>1953</v>
      </c>
      <c r="C157" s="617"/>
      <c r="D157" s="617"/>
      <c r="E157" s="617"/>
      <c r="F157" s="617"/>
      <c r="G157" s="617"/>
      <c r="H157" s="641">
        <v>0</v>
      </c>
      <c r="I157" s="617"/>
      <c r="J157" s="617"/>
      <c r="K157" s="1686">
        <f>H157</f>
        <v>0</v>
      </c>
      <c r="L157" s="467">
        <v>0</v>
      </c>
      <c r="M157" s="620"/>
      <c r="N157" s="620"/>
    </row>
    <row r="158" spans="1:14" s="621" customFormat="1" ht="12" x14ac:dyDescent="0.2">
      <c r="A158" s="1842" t="s">
        <v>321</v>
      </c>
      <c r="B158" s="1843" t="s">
        <v>1955</v>
      </c>
      <c r="C158" s="617"/>
      <c r="D158" s="617"/>
      <c r="E158" s="617"/>
      <c r="F158" s="617"/>
      <c r="G158" s="617"/>
      <c r="H158" s="467" t="s">
        <v>1230</v>
      </c>
      <c r="I158" s="617"/>
      <c r="J158" s="617"/>
      <c r="K158" s="1686" t="str">
        <f>H158</f>
        <v xml:space="preserve"> </v>
      </c>
      <c r="L158" s="467">
        <v>0</v>
      </c>
      <c r="M158" s="620"/>
      <c r="N158" s="620"/>
    </row>
    <row r="159" spans="1:14" s="621" customFormat="1" ht="12" x14ac:dyDescent="0.2">
      <c r="A159" s="1842" t="s">
        <v>1956</v>
      </c>
      <c r="B159" s="1843" t="s">
        <v>578</v>
      </c>
      <c r="C159" s="617"/>
      <c r="D159" s="617"/>
      <c r="E159" s="617"/>
      <c r="F159" s="617"/>
      <c r="G159" s="617"/>
      <c r="H159" s="467" t="s">
        <v>1230</v>
      </c>
      <c r="I159" s="617"/>
      <c r="J159" s="617"/>
      <c r="K159" s="1686" t="str">
        <f>H159</f>
        <v xml:space="preserve"> </v>
      </c>
      <c r="L159" s="467">
        <v>0</v>
      </c>
      <c r="M159" s="620"/>
      <c r="N159" s="620"/>
    </row>
    <row r="160" spans="1:14" s="621" customFormat="1" ht="15.75" customHeight="1" thickBot="1" x14ac:dyDescent="0.25">
      <c r="A160" s="1844" t="s">
        <v>1957</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31" t="s">
        <v>84</v>
      </c>
      <c r="B161" s="1632" t="s">
        <v>512</v>
      </c>
      <c r="C161" s="617"/>
      <c r="D161" s="617"/>
      <c r="E161" s="617"/>
      <c r="F161" s="617"/>
      <c r="G161" s="617"/>
      <c r="H161" s="617"/>
      <c r="I161" s="617"/>
      <c r="J161" s="617"/>
      <c r="K161" s="617"/>
      <c r="L161" s="617"/>
      <c r="M161" s="614"/>
      <c r="N161" s="614"/>
    </row>
    <row r="162" spans="1:14" s="259" customFormat="1" ht="15.75" customHeight="1" x14ac:dyDescent="0.2">
      <c r="A162" s="653" t="s">
        <v>635</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v>0</v>
      </c>
      <c r="I163" s="617"/>
      <c r="J163" s="617"/>
      <c r="K163" s="1686">
        <f>SUM(C163:J163)</f>
        <v>0</v>
      </c>
      <c r="L163" s="466">
        <v>0</v>
      </c>
    </row>
    <row r="164" spans="1:14" x14ac:dyDescent="0.2">
      <c r="A164" s="1523" t="s">
        <v>90</v>
      </c>
      <c r="B164" s="615">
        <v>5120</v>
      </c>
      <c r="C164" s="617"/>
      <c r="D164" s="617"/>
      <c r="E164" s="617"/>
      <c r="F164" s="617"/>
      <c r="G164" s="617"/>
      <c r="H164" s="466">
        <v>0</v>
      </c>
      <c r="I164" s="617"/>
      <c r="J164" s="617"/>
      <c r="K164" s="1686">
        <f>SUM(C164:J164)</f>
        <v>0</v>
      </c>
      <c r="L164" s="466">
        <v>0</v>
      </c>
    </row>
    <row r="165" spans="1:14" ht="12.75" customHeight="1" x14ac:dyDescent="0.2">
      <c r="A165" s="1523" t="s">
        <v>1231</v>
      </c>
      <c r="B165" s="615" t="s">
        <v>637</v>
      </c>
      <c r="C165" s="617"/>
      <c r="D165" s="617"/>
      <c r="E165" s="617"/>
      <c r="F165" s="617"/>
      <c r="G165" s="617"/>
      <c r="H165" s="466">
        <v>0</v>
      </c>
      <c r="I165" s="617"/>
      <c r="J165" s="617"/>
      <c r="K165" s="1686">
        <f>SUM(C165:J165)</f>
        <v>0</v>
      </c>
      <c r="L165" s="466">
        <v>0</v>
      </c>
    </row>
    <row r="166" spans="1:14" x14ac:dyDescent="0.2">
      <c r="A166" s="1523" t="s">
        <v>91</v>
      </c>
      <c r="B166" s="629" t="s">
        <v>609</v>
      </c>
      <c r="C166" s="617"/>
      <c r="D166" s="617"/>
      <c r="E166" s="617"/>
      <c r="F166" s="617"/>
      <c r="G166" s="617"/>
      <c r="H166" s="466">
        <v>0</v>
      </c>
      <c r="I166" s="617"/>
      <c r="J166" s="617"/>
      <c r="K166" s="1686">
        <f>SUM(C166:J166)</f>
        <v>0</v>
      </c>
      <c r="L166" s="466">
        <v>0</v>
      </c>
    </row>
    <row r="167" spans="1:14" ht="12.75" customHeight="1" x14ac:dyDescent="0.2">
      <c r="A167" s="1523" t="s">
        <v>639</v>
      </c>
      <c r="B167" s="615" t="s">
        <v>638</v>
      </c>
      <c r="C167" s="617"/>
      <c r="D167" s="617"/>
      <c r="E167" s="617"/>
      <c r="F167" s="617"/>
      <c r="G167" s="617"/>
      <c r="H167" s="466">
        <v>0</v>
      </c>
      <c r="I167" s="617"/>
      <c r="J167" s="617"/>
      <c r="K167" s="1686">
        <f>SUM(C167:J167)</f>
        <v>0</v>
      </c>
      <c r="L167" s="466">
        <v>0</v>
      </c>
    </row>
    <row r="168" spans="1:14" ht="13.5" thickBot="1" x14ac:dyDescent="0.25">
      <c r="A168" s="1683" t="s">
        <v>293</v>
      </c>
      <c r="B168" s="1690" t="s">
        <v>741</v>
      </c>
      <c r="C168" s="617"/>
      <c r="D168" s="617"/>
      <c r="E168" s="617"/>
      <c r="F168" s="617"/>
      <c r="G168" s="617"/>
      <c r="H168" s="1685">
        <f>SUM(H163:H167)</f>
        <v>0</v>
      </c>
      <c r="I168" s="617"/>
      <c r="J168" s="617"/>
      <c r="K168" s="1685">
        <f>SUM(K163:K167)</f>
        <v>0</v>
      </c>
      <c r="L168" s="1685">
        <f>SUM(L163:L167)</f>
        <v>0</v>
      </c>
    </row>
    <row r="169" spans="1:14" ht="15.75" customHeight="1" thickTop="1" x14ac:dyDescent="0.2">
      <c r="A169" s="669" t="s">
        <v>85</v>
      </c>
      <c r="B169" s="670" t="s">
        <v>38</v>
      </c>
      <c r="C169" s="617"/>
      <c r="D169" s="617"/>
      <c r="E169" s="617"/>
      <c r="F169" s="617"/>
      <c r="G169" s="617"/>
      <c r="H169" s="656">
        <v>438673</v>
      </c>
      <c r="I169" s="617"/>
      <c r="J169" s="617"/>
      <c r="K169" s="1686">
        <f>SUM(C169:H169)</f>
        <v>438673</v>
      </c>
      <c r="L169" s="656">
        <v>0</v>
      </c>
    </row>
    <row r="170" spans="1:14" ht="33.75" customHeight="1" x14ac:dyDescent="0.2">
      <c r="A170" s="669" t="s">
        <v>1768</v>
      </c>
      <c r="B170" s="671" t="s">
        <v>31</v>
      </c>
      <c r="C170" s="617"/>
      <c r="D170" s="617"/>
      <c r="E170" s="617"/>
      <c r="F170" s="617"/>
      <c r="G170" s="617"/>
      <c r="H170" s="569">
        <v>1197200</v>
      </c>
      <c r="I170" s="617"/>
      <c r="J170" s="617"/>
      <c r="K170" s="1686">
        <f>SUM(C170:J170)</f>
        <v>1197200</v>
      </c>
      <c r="L170" s="569">
        <v>1635873</v>
      </c>
    </row>
    <row r="171" spans="1:14" ht="15.75" customHeight="1" x14ac:dyDescent="0.2">
      <c r="A171" s="622" t="s">
        <v>789</v>
      </c>
      <c r="B171" s="672" t="s">
        <v>86</v>
      </c>
      <c r="C171" s="617"/>
      <c r="D171" s="617"/>
      <c r="E171" s="466">
        <v>1250</v>
      </c>
      <c r="F171" s="617"/>
      <c r="G171" s="617"/>
      <c r="H171" s="569">
        <v>0</v>
      </c>
      <c r="I171" s="477"/>
      <c r="J171" s="617"/>
      <c r="K171" s="1686">
        <f>SUM(C171:J171)</f>
        <v>1250</v>
      </c>
      <c r="L171" s="569">
        <v>0</v>
      </c>
    </row>
    <row r="172" spans="1:14" ht="12.75" customHeight="1" thickBot="1" x14ac:dyDescent="0.25">
      <c r="A172" s="1683" t="s">
        <v>658</v>
      </c>
      <c r="B172" s="1684" t="s">
        <v>512</v>
      </c>
      <c r="C172" s="617"/>
      <c r="D172" s="617"/>
      <c r="E172" s="1692">
        <f>SUM(E168,E169,E170,E171)</f>
        <v>1250</v>
      </c>
      <c r="F172" s="617"/>
      <c r="G172" s="617"/>
      <c r="H172" s="1692">
        <f>SUM(H168,H169,H170,H171)</f>
        <v>1635873</v>
      </c>
      <c r="I172" s="638"/>
      <c r="J172" s="617"/>
      <c r="K172" s="1692">
        <f>SUM(K168,K169,K170,K171)</f>
        <v>1637123</v>
      </c>
      <c r="L172" s="1692">
        <f>SUM(L168,L169,L170,L171)</f>
        <v>1635873</v>
      </c>
    </row>
    <row r="173" spans="1:14" ht="15.75" customHeight="1" thickTop="1" thickBot="1" x14ac:dyDescent="0.25">
      <c r="A173" s="1638" t="s">
        <v>87</v>
      </c>
      <c r="B173" s="1630" t="s">
        <v>915</v>
      </c>
      <c r="C173" s="617"/>
      <c r="D173" s="617"/>
      <c r="E173" s="624"/>
      <c r="F173" s="617"/>
      <c r="G173" s="617"/>
      <c r="H173" s="627"/>
      <c r="I173" s="638"/>
      <c r="J173" s="617"/>
      <c r="K173" s="624"/>
      <c r="L173" s="576">
        <v>0</v>
      </c>
    </row>
    <row r="174" spans="1:14" ht="12.75" customHeight="1" thickTop="1" thickBot="1" x14ac:dyDescent="0.25">
      <c r="A174" s="1704" t="s">
        <v>92</v>
      </c>
      <c r="B174" s="1705"/>
      <c r="C174" s="617"/>
      <c r="D174" s="617"/>
      <c r="E174" s="1692">
        <f>SUM(E155,E172,E173)</f>
        <v>1250</v>
      </c>
      <c r="F174" s="617"/>
      <c r="G174" s="617"/>
      <c r="H174" s="1692">
        <f>SUM(H160,H172,H173)</f>
        <v>1635873</v>
      </c>
      <c r="I174" s="638"/>
      <c r="J174" s="617"/>
      <c r="K174" s="1692">
        <f>SUM(K160,K172,K173)</f>
        <v>1637123</v>
      </c>
      <c r="L174" s="1692">
        <f>SUM(L160,L172,L173)</f>
        <v>1635873</v>
      </c>
    </row>
    <row r="175" spans="1:14" ht="13.5" thickTop="1" x14ac:dyDescent="0.2">
      <c r="A175" s="2177" t="s">
        <v>1052</v>
      </c>
      <c r="B175" s="2178"/>
      <c r="C175" s="617"/>
      <c r="D175" s="617"/>
      <c r="E175" s="617"/>
      <c r="F175" s="617"/>
      <c r="G175" s="617"/>
      <c r="H175" s="619"/>
      <c r="I175" s="617"/>
      <c r="J175" s="617"/>
      <c r="K175" s="1699">
        <f>'Revenues 9-14'!E275-'Expenditures 15-22'!K174</f>
        <v>-161570</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3" t="s">
        <v>993</v>
      </c>
      <c r="B177" s="1574"/>
      <c r="C177" s="1570"/>
      <c r="D177" s="1571"/>
      <c r="E177" s="1571"/>
      <c r="F177" s="1571"/>
      <c r="G177" s="1571"/>
      <c r="H177" s="1571"/>
      <c r="I177" s="1571"/>
      <c r="J177" s="1571"/>
      <c r="K177" s="1571"/>
      <c r="L177" s="1572"/>
      <c r="M177" s="610"/>
      <c r="N177" s="610"/>
    </row>
    <row r="178" spans="1:14" s="674" customFormat="1" ht="15.75" customHeight="1" x14ac:dyDescent="0.2">
      <c r="A178" s="1639" t="s">
        <v>994</v>
      </c>
      <c r="B178" s="1640"/>
      <c r="C178" s="617"/>
      <c r="D178" s="617"/>
      <c r="E178" s="617"/>
      <c r="F178" s="617"/>
      <c r="G178" s="617"/>
      <c r="H178" s="617"/>
      <c r="I178" s="617"/>
      <c r="J178" s="617"/>
      <c r="K178" s="617"/>
      <c r="L178" s="617"/>
      <c r="M178" s="665"/>
      <c r="N178" s="665"/>
    </row>
    <row r="179" spans="1:14" s="674" customFormat="1" ht="15.75" customHeight="1" x14ac:dyDescent="0.2">
      <c r="A179" s="675" t="s">
        <v>611</v>
      </c>
      <c r="B179" s="623"/>
      <c r="C179" s="624"/>
      <c r="D179" s="624"/>
      <c r="E179" s="624"/>
      <c r="F179" s="617"/>
      <c r="G179" s="617"/>
      <c r="H179" s="624"/>
      <c r="I179" s="617"/>
      <c r="J179" s="617"/>
      <c r="K179" s="624"/>
      <c r="L179" s="624"/>
      <c r="M179" s="665"/>
      <c r="N179" s="665"/>
    </row>
    <row r="180" spans="1:14" ht="12.75" customHeight="1" x14ac:dyDescent="0.2">
      <c r="A180" s="1523" t="s">
        <v>167</v>
      </c>
      <c r="B180" s="615">
        <v>2190</v>
      </c>
      <c r="C180" s="466">
        <v>0</v>
      </c>
      <c r="D180" s="466">
        <v>0</v>
      </c>
      <c r="E180" s="466">
        <v>0</v>
      </c>
      <c r="F180" s="466">
        <v>0</v>
      </c>
      <c r="G180" s="466">
        <v>0</v>
      </c>
      <c r="H180" s="466">
        <v>0</v>
      </c>
      <c r="I180" s="466">
        <v>0</v>
      </c>
      <c r="J180" s="466">
        <v>0</v>
      </c>
      <c r="K180" s="1686">
        <f>SUM(C180:J180)</f>
        <v>0</v>
      </c>
      <c r="L180" s="466">
        <v>0</v>
      </c>
    </row>
    <row r="181" spans="1:14" ht="15.75" customHeight="1" x14ac:dyDescent="0.2">
      <c r="A181" s="625" t="s">
        <v>632</v>
      </c>
      <c r="B181" s="676"/>
      <c r="C181" s="570"/>
      <c r="D181" s="570"/>
      <c r="E181" s="570"/>
      <c r="F181" s="570"/>
      <c r="G181" s="570"/>
      <c r="H181" s="570"/>
      <c r="I181" s="468"/>
      <c r="J181" s="468"/>
      <c r="K181" s="570"/>
      <c r="L181" s="570"/>
    </row>
    <row r="182" spans="1:14" ht="12.75" customHeight="1" x14ac:dyDescent="0.2">
      <c r="A182" s="1523" t="s">
        <v>1009</v>
      </c>
      <c r="B182" s="615">
        <v>2550</v>
      </c>
      <c r="C182" s="466">
        <v>393813</v>
      </c>
      <c r="D182" s="466">
        <v>11445</v>
      </c>
      <c r="E182" s="466">
        <v>100206</v>
      </c>
      <c r="F182" s="466">
        <v>114797</v>
      </c>
      <c r="G182" s="466">
        <v>0</v>
      </c>
      <c r="H182" s="466">
        <v>0</v>
      </c>
      <c r="I182" s="466">
        <v>0</v>
      </c>
      <c r="J182" s="466">
        <v>0</v>
      </c>
      <c r="K182" s="1686">
        <f>SUM(C182:J182)</f>
        <v>620261</v>
      </c>
      <c r="L182" s="466">
        <v>708837</v>
      </c>
    </row>
    <row r="183" spans="1:14" ht="12.75" customHeight="1" thickBot="1" x14ac:dyDescent="0.25">
      <c r="A183" s="1528" t="s">
        <v>1036</v>
      </c>
      <c r="B183" s="677">
        <v>2900</v>
      </c>
      <c r="C183" s="573">
        <v>0</v>
      </c>
      <c r="D183" s="573">
        <v>0</v>
      </c>
      <c r="E183" s="573">
        <v>0</v>
      </c>
      <c r="F183" s="573">
        <v>0</v>
      </c>
      <c r="G183" s="573">
        <v>0</v>
      </c>
      <c r="H183" s="573">
        <v>0</v>
      </c>
      <c r="I183" s="573">
        <v>0</v>
      </c>
      <c r="J183" s="573">
        <v>0</v>
      </c>
      <c r="K183" s="1692">
        <f>SUM(C183:J183)</f>
        <v>0</v>
      </c>
      <c r="L183" s="573">
        <v>0</v>
      </c>
    </row>
    <row r="184" spans="1:14" ht="12.75" customHeight="1" thickTop="1" thickBot="1" x14ac:dyDescent="0.25">
      <c r="A184" s="1706" t="s">
        <v>864</v>
      </c>
      <c r="B184" s="1684" t="s">
        <v>589</v>
      </c>
      <c r="C184" s="1692">
        <f>SUM(C180,C182,C183)</f>
        <v>393813</v>
      </c>
      <c r="D184" s="1692">
        <f t="shared" ref="D184:J184" si="17">SUM(D180,D182,D183)</f>
        <v>11445</v>
      </c>
      <c r="E184" s="1692">
        <f t="shared" si="17"/>
        <v>100206</v>
      </c>
      <c r="F184" s="1692">
        <f t="shared" si="17"/>
        <v>114797</v>
      </c>
      <c r="G184" s="1692">
        <f t="shared" si="17"/>
        <v>0</v>
      </c>
      <c r="H184" s="1692">
        <f t="shared" si="17"/>
        <v>0</v>
      </c>
      <c r="I184" s="1692">
        <f t="shared" si="17"/>
        <v>0</v>
      </c>
      <c r="J184" s="1692">
        <f t="shared" si="17"/>
        <v>0</v>
      </c>
      <c r="K184" s="1692">
        <f>SUM(K180,K182,K183)</f>
        <v>620261</v>
      </c>
      <c r="L184" s="1692">
        <f>SUM(L180, L182:L183)</f>
        <v>708837</v>
      </c>
    </row>
    <row r="185" spans="1:14" ht="15.75" customHeight="1" thickTop="1" thickBot="1" x14ac:dyDescent="0.25">
      <c r="A185" s="1641" t="s">
        <v>995</v>
      </c>
      <c r="B185" s="1630">
        <v>3000</v>
      </c>
      <c r="C185" s="573">
        <v>0</v>
      </c>
      <c r="D185" s="573">
        <v>0</v>
      </c>
      <c r="E185" s="573">
        <v>0</v>
      </c>
      <c r="F185" s="573">
        <v>0</v>
      </c>
      <c r="G185" s="573">
        <v>0</v>
      </c>
      <c r="H185" s="573">
        <v>0</v>
      </c>
      <c r="I185" s="573">
        <v>0</v>
      </c>
      <c r="J185" s="573">
        <v>0</v>
      </c>
      <c r="K185" s="1685">
        <f>SUM(C185:J185)</f>
        <v>0</v>
      </c>
      <c r="L185" s="576"/>
    </row>
    <row r="186" spans="1:14" s="674" customFormat="1" ht="15.75" customHeight="1" thickTop="1" x14ac:dyDescent="0.2">
      <c r="A186" s="1625" t="s">
        <v>93</v>
      </c>
      <c r="B186" s="1628" t="s">
        <v>914</v>
      </c>
      <c r="C186" s="617"/>
      <c r="D186" s="617"/>
      <c r="E186" s="617"/>
      <c r="F186" s="617"/>
      <c r="G186" s="617"/>
      <c r="H186" s="617"/>
      <c r="I186" s="617"/>
      <c r="J186" s="617"/>
      <c r="K186" s="617"/>
      <c r="L186" s="617"/>
      <c r="M186" s="665"/>
      <c r="N186" s="665"/>
    </row>
    <row r="187" spans="1:14" s="674" customFormat="1" ht="15.75" customHeight="1" x14ac:dyDescent="0.2">
      <c r="A187" s="622" t="s">
        <v>1192</v>
      </c>
      <c r="B187" s="623"/>
      <c r="C187" s="617"/>
      <c r="D187" s="617"/>
      <c r="E187" s="617"/>
      <c r="F187" s="617"/>
      <c r="G187" s="617"/>
      <c r="H187" s="617"/>
      <c r="I187" s="617"/>
      <c r="J187" s="617"/>
      <c r="K187" s="617"/>
      <c r="L187" s="617"/>
      <c r="M187" s="665"/>
      <c r="N187" s="665"/>
    </row>
    <row r="188" spans="1:14" x14ac:dyDescent="0.2">
      <c r="A188" s="1523" t="s">
        <v>516</v>
      </c>
      <c r="B188" s="615">
        <v>4110</v>
      </c>
      <c r="C188" s="617"/>
      <c r="D188" s="617"/>
      <c r="E188" s="466">
        <v>0</v>
      </c>
      <c r="F188" s="617"/>
      <c r="G188" s="617"/>
      <c r="H188" s="466">
        <v>0</v>
      </c>
      <c r="I188" s="477"/>
      <c r="J188" s="617"/>
      <c r="K188" s="1686">
        <f t="shared" ref="K188:K193" si="18">SUM(E188,H188)</f>
        <v>0</v>
      </c>
      <c r="L188" s="466">
        <v>0</v>
      </c>
    </row>
    <row r="189" spans="1:14" x14ac:dyDescent="0.2">
      <c r="A189" s="1523" t="s">
        <v>321</v>
      </c>
      <c r="B189" s="615">
        <v>4120</v>
      </c>
      <c r="C189" s="617"/>
      <c r="D189" s="617"/>
      <c r="E189" s="466">
        <v>0</v>
      </c>
      <c r="F189" s="617"/>
      <c r="G189" s="617"/>
      <c r="H189" s="466">
        <v>0</v>
      </c>
      <c r="I189" s="477"/>
      <c r="J189" s="617"/>
      <c r="K189" s="1686">
        <f t="shared" si="18"/>
        <v>0</v>
      </c>
      <c r="L189" s="466">
        <v>0</v>
      </c>
    </row>
    <row r="190" spans="1:14" x14ac:dyDescent="0.2">
      <c r="A190" s="1523" t="s">
        <v>322</v>
      </c>
      <c r="B190" s="629">
        <v>4130</v>
      </c>
      <c r="C190" s="617"/>
      <c r="D190" s="617"/>
      <c r="E190" s="466">
        <v>0</v>
      </c>
      <c r="F190" s="617"/>
      <c r="G190" s="617"/>
      <c r="H190" s="466">
        <v>0</v>
      </c>
      <c r="I190" s="477"/>
      <c r="J190" s="617"/>
      <c r="K190" s="1686">
        <f t="shared" si="18"/>
        <v>0</v>
      </c>
      <c r="L190" s="466">
        <v>0</v>
      </c>
    </row>
    <row r="191" spans="1:14" x14ac:dyDescent="0.2">
      <c r="A191" s="1523" t="s">
        <v>720</v>
      </c>
      <c r="B191" s="615">
        <v>4140</v>
      </c>
      <c r="C191" s="617"/>
      <c r="D191" s="617"/>
      <c r="E191" s="466">
        <v>0</v>
      </c>
      <c r="F191" s="617"/>
      <c r="G191" s="617"/>
      <c r="H191" s="466">
        <v>0</v>
      </c>
      <c r="I191" s="477"/>
      <c r="J191" s="617"/>
      <c r="K191" s="1686">
        <f t="shared" si="18"/>
        <v>0</v>
      </c>
      <c r="L191" s="466">
        <v>0</v>
      </c>
    </row>
    <row r="192" spans="1:14" x14ac:dyDescent="0.2">
      <c r="A192" s="1523" t="s">
        <v>88</v>
      </c>
      <c r="B192" s="615">
        <v>4170</v>
      </c>
      <c r="C192" s="617"/>
      <c r="D192" s="617"/>
      <c r="E192" s="466">
        <v>0</v>
      </c>
      <c r="F192" s="617"/>
      <c r="G192" s="617"/>
      <c r="H192" s="466">
        <v>0</v>
      </c>
      <c r="I192" s="477"/>
      <c r="J192" s="617"/>
      <c r="K192" s="1686">
        <f t="shared" si="18"/>
        <v>0</v>
      </c>
      <c r="L192" s="466">
        <v>0</v>
      </c>
    </row>
    <row r="193" spans="1:14" x14ac:dyDescent="0.2">
      <c r="A193" s="1527" t="s">
        <v>721</v>
      </c>
      <c r="B193" s="629">
        <v>4190</v>
      </c>
      <c r="C193" s="617"/>
      <c r="D193" s="617"/>
      <c r="E193" s="466">
        <v>0</v>
      </c>
      <c r="F193" s="617"/>
      <c r="G193" s="617"/>
      <c r="H193" s="466">
        <v>0</v>
      </c>
      <c r="I193" s="477"/>
      <c r="J193" s="617"/>
      <c r="K193" s="1686">
        <f t="shared" si="18"/>
        <v>0</v>
      </c>
      <c r="L193" s="466">
        <v>0</v>
      </c>
    </row>
    <row r="194" spans="1:14" ht="12.75" customHeight="1" thickBot="1" x14ac:dyDescent="0.25">
      <c r="A194" s="1683" t="s">
        <v>1201</v>
      </c>
      <c r="B194" s="1684" t="s">
        <v>579</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69" t="s">
        <v>94</v>
      </c>
      <c r="B195" s="678" t="s">
        <v>987</v>
      </c>
      <c r="C195" s="617"/>
      <c r="D195" s="617"/>
      <c r="E195" s="656">
        <v>0</v>
      </c>
      <c r="F195" s="617"/>
      <c r="G195" s="617"/>
      <c r="H195" s="656">
        <v>0</v>
      </c>
      <c r="I195" s="477"/>
      <c r="J195" s="617"/>
      <c r="K195" s="1700">
        <f>SUM(E195,H195)</f>
        <v>0</v>
      </c>
      <c r="L195" s="656">
        <v>0</v>
      </c>
    </row>
    <row r="196" spans="1:14" ht="12.75" customHeight="1" thickBot="1" x14ac:dyDescent="0.25">
      <c r="A196" s="1683" t="s">
        <v>1566</v>
      </c>
      <c r="B196" s="1684" t="s">
        <v>914</v>
      </c>
      <c r="C196" s="617"/>
      <c r="D196" s="617"/>
      <c r="E196" s="1692">
        <f>SUM(E194,E195)</f>
        <v>0</v>
      </c>
      <c r="F196" s="617"/>
      <c r="G196" s="617"/>
      <c r="H196" s="1692">
        <f>SUM(H194,H195)</f>
        <v>0</v>
      </c>
      <c r="I196" s="477"/>
      <c r="J196" s="617"/>
      <c r="K196" s="1692">
        <f>SUM(K194,K195)</f>
        <v>0</v>
      </c>
      <c r="L196" s="1692">
        <f>SUM(L194,L195)</f>
        <v>0</v>
      </c>
    </row>
    <row r="197" spans="1:14" s="674" customFormat="1" ht="15.75" customHeight="1" thickTop="1" x14ac:dyDescent="0.2">
      <c r="A197" s="1631" t="s">
        <v>996</v>
      </c>
      <c r="B197" s="1628" t="s">
        <v>512</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3" t="s">
        <v>89</v>
      </c>
      <c r="B199" s="615">
        <v>5110</v>
      </c>
      <c r="C199" s="617"/>
      <c r="D199" s="617"/>
      <c r="E199" s="617"/>
      <c r="F199" s="617"/>
      <c r="G199" s="617"/>
      <c r="H199" s="466">
        <v>0</v>
      </c>
      <c r="I199" s="617"/>
      <c r="J199" s="617"/>
      <c r="K199" s="1686">
        <f>SUM(H199)</f>
        <v>0</v>
      </c>
      <c r="L199" s="466">
        <v>0</v>
      </c>
    </row>
    <row r="200" spans="1:14" x14ac:dyDescent="0.2">
      <c r="A200" s="1523" t="s">
        <v>90</v>
      </c>
      <c r="B200" s="615">
        <v>5120</v>
      </c>
      <c r="C200" s="617"/>
      <c r="D200" s="617"/>
      <c r="E200" s="617"/>
      <c r="F200" s="617"/>
      <c r="G200" s="617"/>
      <c r="H200" s="466">
        <v>0</v>
      </c>
      <c r="I200" s="617"/>
      <c r="J200" s="617"/>
      <c r="K200" s="1686">
        <f>SUM(H200)</f>
        <v>0</v>
      </c>
      <c r="L200" s="466">
        <v>0</v>
      </c>
    </row>
    <row r="201" spans="1:14" ht="12.75" customHeight="1" x14ac:dyDescent="0.2">
      <c r="A201" s="1523" t="s">
        <v>1231</v>
      </c>
      <c r="B201" s="629" t="s">
        <v>637</v>
      </c>
      <c r="C201" s="617"/>
      <c r="D201" s="617"/>
      <c r="E201" s="617"/>
      <c r="F201" s="617"/>
      <c r="G201" s="617"/>
      <c r="H201" s="466">
        <v>0</v>
      </c>
      <c r="I201" s="617"/>
      <c r="J201" s="617"/>
      <c r="K201" s="1686">
        <f>SUM(H201)</f>
        <v>0</v>
      </c>
      <c r="L201" s="466">
        <v>0</v>
      </c>
    </row>
    <row r="202" spans="1:14" x14ac:dyDescent="0.2">
      <c r="A202" s="1523" t="s">
        <v>91</v>
      </c>
      <c r="B202" s="615" t="s">
        <v>609</v>
      </c>
      <c r="C202" s="617"/>
      <c r="D202" s="617"/>
      <c r="E202" s="617"/>
      <c r="F202" s="617"/>
      <c r="G202" s="617"/>
      <c r="H202" s="466">
        <v>0</v>
      </c>
      <c r="I202" s="617"/>
      <c r="J202" s="617"/>
      <c r="K202" s="1686">
        <f>SUM(H202)</f>
        <v>0</v>
      </c>
      <c r="L202" s="466">
        <v>0</v>
      </c>
    </row>
    <row r="203" spans="1:14" x14ac:dyDescent="0.2">
      <c r="A203" s="1535" t="s">
        <v>639</v>
      </c>
      <c r="B203" s="615" t="s">
        <v>638</v>
      </c>
      <c r="C203" s="617"/>
      <c r="D203" s="617"/>
      <c r="E203" s="617"/>
      <c r="F203" s="617"/>
      <c r="G203" s="617"/>
      <c r="H203" s="471">
        <v>0</v>
      </c>
      <c r="I203" s="617"/>
      <c r="J203" s="617"/>
      <c r="K203" s="1686">
        <f>SUM(H203)</f>
        <v>0</v>
      </c>
      <c r="L203" s="471">
        <v>0</v>
      </c>
    </row>
    <row r="204" spans="1:14" ht="13.5" thickBot="1" x14ac:dyDescent="0.25">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x14ac:dyDescent="0.2">
      <c r="A205" s="679" t="s">
        <v>85</v>
      </c>
      <c r="B205" s="680" t="s">
        <v>38</v>
      </c>
      <c r="C205" s="617"/>
      <c r="D205" s="617"/>
      <c r="E205" s="617"/>
      <c r="F205" s="617"/>
      <c r="G205" s="617"/>
      <c r="H205" s="535">
        <v>0</v>
      </c>
      <c r="I205" s="617"/>
      <c r="J205" s="617"/>
      <c r="K205" s="1700">
        <f>SUM(H205)</f>
        <v>0</v>
      </c>
      <c r="L205" s="535">
        <v>0</v>
      </c>
    </row>
    <row r="206" spans="1:14" ht="30" customHeight="1" x14ac:dyDescent="0.2">
      <c r="A206" s="681" t="s">
        <v>1769</v>
      </c>
      <c r="B206" s="672" t="s">
        <v>31</v>
      </c>
      <c r="C206" s="617"/>
      <c r="D206" s="617"/>
      <c r="E206" s="617"/>
      <c r="F206" s="617"/>
      <c r="G206" s="617"/>
      <c r="H206" s="466">
        <v>0</v>
      </c>
      <c r="I206" s="617"/>
      <c r="J206" s="617"/>
      <c r="K206" s="1686">
        <f>SUM(H206)</f>
        <v>0</v>
      </c>
      <c r="L206" s="466">
        <v>0</v>
      </c>
    </row>
    <row r="207" spans="1:14" ht="15.75" customHeight="1" x14ac:dyDescent="0.2">
      <c r="A207" s="622" t="s">
        <v>789</v>
      </c>
      <c r="B207" s="672" t="s">
        <v>86</v>
      </c>
      <c r="C207" s="617"/>
      <c r="D207" s="617"/>
      <c r="E207" s="617"/>
      <c r="F207" s="617"/>
      <c r="G207" s="617"/>
      <c r="H207" s="467">
        <v>0</v>
      </c>
      <c r="I207" s="617"/>
      <c r="J207" s="617"/>
      <c r="K207" s="1686">
        <f>H207</f>
        <v>0</v>
      </c>
      <c r="L207" s="466">
        <v>0</v>
      </c>
    </row>
    <row r="208" spans="1:14" ht="12.75" customHeight="1" thickBot="1" x14ac:dyDescent="0.25">
      <c r="A208" s="1701" t="s">
        <v>658</v>
      </c>
      <c r="B208" s="1702" t="s">
        <v>512</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5" t="s">
        <v>926</v>
      </c>
      <c r="B209" s="1632" t="s">
        <v>915</v>
      </c>
      <c r="C209" s="624"/>
      <c r="D209" s="624"/>
      <c r="E209" s="624"/>
      <c r="F209" s="624"/>
      <c r="G209" s="624"/>
      <c r="H209" s="624"/>
      <c r="I209" s="617"/>
      <c r="J209" s="617"/>
      <c r="K209" s="624"/>
      <c r="L209" s="576">
        <v>0</v>
      </c>
    </row>
    <row r="210" spans="1:14" ht="12.75" customHeight="1" thickTop="1" thickBot="1" x14ac:dyDescent="0.25">
      <c r="A210" s="1707" t="s">
        <v>294</v>
      </c>
      <c r="B210" s="1708"/>
      <c r="C210" s="1685">
        <f>SUM(C184,C185)</f>
        <v>393813</v>
      </c>
      <c r="D210" s="1685">
        <f>SUM(D184,D185)</f>
        <v>11445</v>
      </c>
      <c r="E210" s="1685">
        <f>SUM(E184,E185,E196)</f>
        <v>100206</v>
      </c>
      <c r="F210" s="1685">
        <f>SUM(F184,F185)</f>
        <v>114797</v>
      </c>
      <c r="G210" s="1685">
        <f>SUM(G184,G185)</f>
        <v>0</v>
      </c>
      <c r="H210" s="1685">
        <f>SUM(H184,H185,H196,H208,H209)</f>
        <v>0</v>
      </c>
      <c r="I210" s="1685">
        <f>SUM(I184,I185)</f>
        <v>0</v>
      </c>
      <c r="J210" s="1685">
        <f>SUM(J184,J185)</f>
        <v>0</v>
      </c>
      <c r="K210" s="1686">
        <f>SUM(K184,K185,K196,K208,K209)</f>
        <v>620261</v>
      </c>
      <c r="L210" s="1685">
        <f>SUM(L184,L185,L196,L208,L209)</f>
        <v>708837</v>
      </c>
    </row>
    <row r="211" spans="1:14" ht="13.5" thickTop="1" x14ac:dyDescent="0.2">
      <c r="A211" s="2177" t="s">
        <v>1052</v>
      </c>
      <c r="B211" s="2178"/>
      <c r="C211" s="619"/>
      <c r="D211" s="619"/>
      <c r="E211" s="619"/>
      <c r="F211" s="619"/>
      <c r="G211" s="619"/>
      <c r="H211" s="619"/>
      <c r="I211" s="617"/>
      <c r="J211" s="617"/>
      <c r="K211" s="1699">
        <f>'Revenues 9-14'!F275-'Expenditures 15-22'!K210</f>
        <v>214484</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9" t="s">
        <v>1021</v>
      </c>
      <c r="B213" s="2200"/>
      <c r="C213" s="1570"/>
      <c r="D213" s="1571"/>
      <c r="E213" s="1571"/>
      <c r="F213" s="1571"/>
      <c r="G213" s="1571"/>
      <c r="H213" s="1571"/>
      <c r="I213" s="1571"/>
      <c r="J213" s="1571"/>
      <c r="K213" s="1571"/>
      <c r="L213" s="1572"/>
      <c r="M213" s="610"/>
      <c r="N213" s="610"/>
    </row>
    <row r="214" spans="1:14" s="674" customFormat="1" ht="15.75" customHeight="1" x14ac:dyDescent="0.2">
      <c r="A214" s="1642" t="s">
        <v>927</v>
      </c>
      <c r="B214" s="1634" t="s">
        <v>590</v>
      </c>
      <c r="C214" s="617"/>
      <c r="D214" s="624"/>
      <c r="E214" s="617"/>
      <c r="F214" s="617"/>
      <c r="G214" s="617"/>
      <c r="H214" s="617"/>
      <c r="I214" s="617"/>
      <c r="J214" s="617"/>
      <c r="K214" s="624"/>
      <c r="L214" s="624"/>
      <c r="M214" s="665"/>
      <c r="N214" s="665"/>
    </row>
    <row r="215" spans="1:14" x14ac:dyDescent="0.2">
      <c r="A215" s="1523" t="s">
        <v>1017</v>
      </c>
      <c r="B215" s="615">
        <v>1100</v>
      </c>
      <c r="C215" s="617"/>
      <c r="D215" s="466">
        <v>56710</v>
      </c>
      <c r="E215" s="617"/>
      <c r="F215" s="617"/>
      <c r="G215" s="617"/>
      <c r="H215" s="617"/>
      <c r="I215" s="617"/>
      <c r="J215" s="617"/>
      <c r="K215" s="1686">
        <f>D215</f>
        <v>56710</v>
      </c>
      <c r="L215" s="466">
        <v>42875</v>
      </c>
    </row>
    <row r="216" spans="1:14" x14ac:dyDescent="0.2">
      <c r="A216" s="1523" t="s">
        <v>165</v>
      </c>
      <c r="B216" s="615" t="s">
        <v>1023</v>
      </c>
      <c r="C216" s="617"/>
      <c r="D216" s="467">
        <v>9790</v>
      </c>
      <c r="E216" s="617"/>
      <c r="F216" s="617"/>
      <c r="G216" s="617"/>
      <c r="H216" s="617"/>
      <c r="I216" s="617"/>
      <c r="J216" s="617"/>
      <c r="K216" s="1686">
        <f t="shared" ref="K216:K228" si="19">D216</f>
        <v>9790</v>
      </c>
      <c r="L216" s="466">
        <v>24512</v>
      </c>
    </row>
    <row r="217" spans="1:14" x14ac:dyDescent="0.2">
      <c r="A217" s="1523" t="s">
        <v>166</v>
      </c>
      <c r="B217" s="615">
        <v>1200</v>
      </c>
      <c r="C217" s="617"/>
      <c r="D217" s="466">
        <v>67300</v>
      </c>
      <c r="E217" s="617"/>
      <c r="F217" s="617"/>
      <c r="G217" s="617"/>
      <c r="H217" s="617"/>
      <c r="I217" s="617"/>
      <c r="J217" s="617"/>
      <c r="K217" s="1686">
        <f t="shared" si="19"/>
        <v>67300</v>
      </c>
      <c r="L217" s="466">
        <v>73593</v>
      </c>
    </row>
    <row r="218" spans="1:14" x14ac:dyDescent="0.2">
      <c r="A218" s="1523" t="s">
        <v>295</v>
      </c>
      <c r="B218" s="615" t="s">
        <v>1024</v>
      </c>
      <c r="C218" s="617"/>
      <c r="D218" s="467">
        <v>0</v>
      </c>
      <c r="E218" s="617"/>
      <c r="F218" s="617"/>
      <c r="G218" s="617"/>
      <c r="H218" s="617"/>
      <c r="I218" s="617"/>
      <c r="J218" s="617"/>
      <c r="K218" s="1686">
        <f t="shared" si="19"/>
        <v>0</v>
      </c>
      <c r="L218" s="466">
        <v>0</v>
      </c>
    </row>
    <row r="219" spans="1:14" x14ac:dyDescent="0.2">
      <c r="A219" s="1523" t="s">
        <v>296</v>
      </c>
      <c r="B219" s="615">
        <v>1250</v>
      </c>
      <c r="C219" s="617"/>
      <c r="D219" s="466">
        <v>16755</v>
      </c>
      <c r="E219" s="617"/>
      <c r="F219" s="617"/>
      <c r="G219" s="617"/>
      <c r="H219" s="617"/>
      <c r="I219" s="617"/>
      <c r="J219" s="617"/>
      <c r="K219" s="1686">
        <f t="shared" si="19"/>
        <v>16755</v>
      </c>
      <c r="L219" s="466">
        <v>8683</v>
      </c>
    </row>
    <row r="220" spans="1:14" x14ac:dyDescent="0.2">
      <c r="A220" s="1523" t="s">
        <v>297</v>
      </c>
      <c r="B220" s="615" t="s">
        <v>163</v>
      </c>
      <c r="C220" s="617"/>
      <c r="D220" s="467">
        <v>0</v>
      </c>
      <c r="E220" s="617"/>
      <c r="F220" s="617"/>
      <c r="G220" s="617"/>
      <c r="H220" s="617"/>
      <c r="I220" s="617"/>
      <c r="J220" s="617"/>
      <c r="K220" s="1686">
        <f t="shared" si="19"/>
        <v>0</v>
      </c>
      <c r="L220" s="466">
        <v>0</v>
      </c>
    </row>
    <row r="221" spans="1:14" x14ac:dyDescent="0.2">
      <c r="A221" s="1523" t="s">
        <v>1018</v>
      </c>
      <c r="B221" s="615">
        <v>1300</v>
      </c>
      <c r="C221" s="617"/>
      <c r="D221" s="466">
        <v>0</v>
      </c>
      <c r="E221" s="617"/>
      <c r="F221" s="617"/>
      <c r="G221" s="617"/>
      <c r="H221" s="617"/>
      <c r="I221" s="617"/>
      <c r="J221" s="617"/>
      <c r="K221" s="1686">
        <f t="shared" si="19"/>
        <v>0</v>
      </c>
      <c r="L221" s="466">
        <v>0</v>
      </c>
    </row>
    <row r="222" spans="1:14" x14ac:dyDescent="0.2">
      <c r="A222" s="1523" t="s">
        <v>746</v>
      </c>
      <c r="B222" s="615">
        <v>1400</v>
      </c>
      <c r="C222" s="617"/>
      <c r="D222" s="466">
        <v>9868</v>
      </c>
      <c r="E222" s="617"/>
      <c r="F222" s="617"/>
      <c r="G222" s="617"/>
      <c r="H222" s="617"/>
      <c r="I222" s="617"/>
      <c r="J222" s="617"/>
      <c r="K222" s="1686">
        <f t="shared" si="19"/>
        <v>9868</v>
      </c>
      <c r="L222" s="466">
        <v>8925</v>
      </c>
    </row>
    <row r="223" spans="1:14" x14ac:dyDescent="0.2">
      <c r="A223" s="1523" t="s">
        <v>1019</v>
      </c>
      <c r="B223" s="615">
        <v>1500</v>
      </c>
      <c r="C223" s="617"/>
      <c r="D223" s="466">
        <v>9828</v>
      </c>
      <c r="E223" s="617"/>
      <c r="F223" s="617"/>
      <c r="G223" s="617"/>
      <c r="H223" s="617"/>
      <c r="I223" s="617"/>
      <c r="J223" s="617"/>
      <c r="K223" s="1686">
        <f t="shared" si="19"/>
        <v>9828</v>
      </c>
      <c r="L223" s="466">
        <v>8247</v>
      </c>
    </row>
    <row r="224" spans="1:14" x14ac:dyDescent="0.2">
      <c r="A224" s="1523" t="s">
        <v>1020</v>
      </c>
      <c r="B224" s="615">
        <v>1600</v>
      </c>
      <c r="C224" s="617"/>
      <c r="D224" s="466">
        <v>0</v>
      </c>
      <c r="E224" s="617"/>
      <c r="F224" s="617"/>
      <c r="G224" s="617"/>
      <c r="H224" s="617"/>
      <c r="I224" s="617"/>
      <c r="J224" s="617"/>
      <c r="K224" s="1686">
        <f t="shared" si="19"/>
        <v>0</v>
      </c>
      <c r="L224" s="466">
        <v>0</v>
      </c>
    </row>
    <row r="225" spans="1:12" x14ac:dyDescent="0.2">
      <c r="A225" s="1523" t="s">
        <v>1043</v>
      </c>
      <c r="B225" s="615">
        <v>1650</v>
      </c>
      <c r="C225" s="617"/>
      <c r="D225" s="466">
        <v>0</v>
      </c>
      <c r="E225" s="617"/>
      <c r="F225" s="617"/>
      <c r="G225" s="617"/>
      <c r="H225" s="617"/>
      <c r="I225" s="617"/>
      <c r="J225" s="617"/>
      <c r="K225" s="1686">
        <f t="shared" si="19"/>
        <v>0</v>
      </c>
      <c r="L225" s="466">
        <v>0</v>
      </c>
    </row>
    <row r="226" spans="1:12" x14ac:dyDescent="0.2">
      <c r="A226" s="1523" t="s">
        <v>747</v>
      </c>
      <c r="B226" s="615" t="s">
        <v>164</v>
      </c>
      <c r="C226" s="617"/>
      <c r="D226" s="467">
        <v>369</v>
      </c>
      <c r="E226" s="617"/>
      <c r="F226" s="617"/>
      <c r="G226" s="617"/>
      <c r="H226" s="617"/>
      <c r="I226" s="617"/>
      <c r="J226" s="617"/>
      <c r="K226" s="1686">
        <f t="shared" si="19"/>
        <v>369</v>
      </c>
      <c r="L226" s="466">
        <v>485</v>
      </c>
    </row>
    <row r="227" spans="1:12" x14ac:dyDescent="0.2">
      <c r="A227" s="1523" t="s">
        <v>1147</v>
      </c>
      <c r="B227" s="615">
        <v>1800</v>
      </c>
      <c r="C227" s="617"/>
      <c r="D227" s="466">
        <v>0</v>
      </c>
      <c r="E227" s="617"/>
      <c r="F227" s="617"/>
      <c r="G227" s="617"/>
      <c r="H227" s="617"/>
      <c r="I227" s="617"/>
      <c r="J227" s="617"/>
      <c r="K227" s="1686">
        <f t="shared" si="19"/>
        <v>0</v>
      </c>
      <c r="L227" s="466">
        <v>0</v>
      </c>
    </row>
    <row r="228" spans="1:12" x14ac:dyDescent="0.2">
      <c r="A228" s="1523" t="s">
        <v>1148</v>
      </c>
      <c r="B228" s="615">
        <v>1900</v>
      </c>
      <c r="C228" s="617"/>
      <c r="D228" s="466">
        <v>0</v>
      </c>
      <c r="E228" s="617"/>
      <c r="F228" s="617"/>
      <c r="G228" s="617"/>
      <c r="H228" s="617"/>
      <c r="I228" s="617"/>
      <c r="J228" s="617"/>
      <c r="K228" s="1686">
        <f t="shared" si="19"/>
        <v>0</v>
      </c>
      <c r="L228" s="466">
        <v>0</v>
      </c>
    </row>
    <row r="229" spans="1:12" ht="12.75" customHeight="1" thickBot="1" x14ac:dyDescent="0.25">
      <c r="A229" s="1683" t="s">
        <v>738</v>
      </c>
      <c r="B229" s="1690" t="s">
        <v>590</v>
      </c>
      <c r="C229" s="617"/>
      <c r="D229" s="1685">
        <f>SUM(D215:D228)</f>
        <v>170620</v>
      </c>
      <c r="E229" s="617"/>
      <c r="F229" s="617"/>
      <c r="G229" s="617"/>
      <c r="H229" s="617"/>
      <c r="I229" s="617"/>
      <c r="J229" s="617"/>
      <c r="K229" s="1685">
        <f>SUM(K215:K228)</f>
        <v>170620</v>
      </c>
      <c r="L229" s="1685">
        <f>SUM(L215:L228)</f>
        <v>167320</v>
      </c>
    </row>
    <row r="230" spans="1:12" ht="15.75" customHeight="1" thickTop="1" x14ac:dyDescent="0.2">
      <c r="A230" s="1631" t="s">
        <v>928</v>
      </c>
      <c r="B230" s="1632" t="s">
        <v>589</v>
      </c>
      <c r="C230" s="617"/>
      <c r="D230" s="617"/>
      <c r="E230" s="617"/>
      <c r="F230" s="617"/>
      <c r="G230" s="617"/>
      <c r="H230" s="617"/>
      <c r="I230" s="617"/>
      <c r="J230" s="617"/>
      <c r="K230" s="617"/>
      <c r="L230" s="617"/>
    </row>
    <row r="231" spans="1:12" ht="15.75" customHeight="1" x14ac:dyDescent="0.2">
      <c r="A231" s="653" t="s">
        <v>611</v>
      </c>
      <c r="B231" s="623"/>
      <c r="C231" s="617"/>
      <c r="D231" s="617"/>
      <c r="E231" s="617"/>
      <c r="F231" s="617"/>
      <c r="G231" s="617"/>
      <c r="H231" s="617"/>
      <c r="I231" s="617"/>
      <c r="J231" s="617"/>
      <c r="K231" s="617"/>
      <c r="L231" s="617"/>
    </row>
    <row r="232" spans="1:12" x14ac:dyDescent="0.2">
      <c r="A232" s="1523" t="s">
        <v>1149</v>
      </c>
      <c r="B232" s="615">
        <v>2110</v>
      </c>
      <c r="C232" s="617"/>
      <c r="D232" s="466">
        <v>549</v>
      </c>
      <c r="E232" s="617"/>
      <c r="F232" s="617"/>
      <c r="G232" s="617"/>
      <c r="H232" s="617"/>
      <c r="I232" s="617"/>
      <c r="J232" s="617"/>
      <c r="K232" s="1686">
        <f t="shared" ref="K232:K237" si="20">D232</f>
        <v>549</v>
      </c>
      <c r="L232" s="466">
        <v>565</v>
      </c>
    </row>
    <row r="233" spans="1:12" x14ac:dyDescent="0.2">
      <c r="A233" s="1523" t="s">
        <v>1150</v>
      </c>
      <c r="B233" s="615">
        <v>2120</v>
      </c>
      <c r="C233" s="617"/>
      <c r="D233" s="466">
        <v>2247</v>
      </c>
      <c r="E233" s="617"/>
      <c r="F233" s="617"/>
      <c r="G233" s="617"/>
      <c r="H233" s="617"/>
      <c r="I233" s="617"/>
      <c r="J233" s="617"/>
      <c r="K233" s="1686">
        <f t="shared" si="20"/>
        <v>2247</v>
      </c>
      <c r="L233" s="466">
        <v>2275</v>
      </c>
    </row>
    <row r="234" spans="1:12" x14ac:dyDescent="0.2">
      <c r="A234" s="1523" t="s">
        <v>207</v>
      </c>
      <c r="B234" s="615">
        <v>2130</v>
      </c>
      <c r="C234" s="617"/>
      <c r="D234" s="466">
        <v>14146</v>
      </c>
      <c r="E234" s="617"/>
      <c r="F234" s="617"/>
      <c r="G234" s="617"/>
      <c r="H234" s="617"/>
      <c r="I234" s="617"/>
      <c r="J234" s="617"/>
      <c r="K234" s="1686">
        <f t="shared" si="20"/>
        <v>14146</v>
      </c>
      <c r="L234" s="466">
        <v>12637</v>
      </c>
    </row>
    <row r="235" spans="1:12" x14ac:dyDescent="0.2">
      <c r="A235" s="1523" t="s">
        <v>208</v>
      </c>
      <c r="B235" s="615">
        <v>2140</v>
      </c>
      <c r="C235" s="617"/>
      <c r="D235" s="466">
        <v>0</v>
      </c>
      <c r="E235" s="617"/>
      <c r="F235" s="617"/>
      <c r="G235" s="617"/>
      <c r="H235" s="617"/>
      <c r="I235" s="617"/>
      <c r="J235" s="617"/>
      <c r="K235" s="1686">
        <f t="shared" si="20"/>
        <v>0</v>
      </c>
      <c r="L235" s="466">
        <v>0</v>
      </c>
    </row>
    <row r="236" spans="1:12" x14ac:dyDescent="0.2">
      <c r="A236" s="1523" t="s">
        <v>209</v>
      </c>
      <c r="B236" s="615">
        <v>2150</v>
      </c>
      <c r="C236" s="617"/>
      <c r="D236" s="466">
        <v>2346</v>
      </c>
      <c r="E236" s="617"/>
      <c r="F236" s="617"/>
      <c r="G236" s="617"/>
      <c r="H236" s="617"/>
      <c r="I236" s="617"/>
      <c r="J236" s="617"/>
      <c r="K236" s="1686">
        <f t="shared" si="20"/>
        <v>2346</v>
      </c>
      <c r="L236" s="466">
        <v>2507</v>
      </c>
    </row>
    <row r="237" spans="1:12" x14ac:dyDescent="0.2">
      <c r="A237" s="1523" t="s">
        <v>167</v>
      </c>
      <c r="B237" s="615">
        <v>2190</v>
      </c>
      <c r="C237" s="617"/>
      <c r="D237" s="466">
        <v>0</v>
      </c>
      <c r="E237" s="617"/>
      <c r="F237" s="617"/>
      <c r="G237" s="617"/>
      <c r="H237" s="617"/>
      <c r="I237" s="617"/>
      <c r="J237" s="617"/>
      <c r="K237" s="1686">
        <f t="shared" si="20"/>
        <v>0</v>
      </c>
      <c r="L237" s="466">
        <v>0</v>
      </c>
    </row>
    <row r="238" spans="1:12" ht="12.75" customHeight="1" thickBot="1" x14ac:dyDescent="0.25">
      <c r="A238" s="1683" t="s">
        <v>580</v>
      </c>
      <c r="B238" s="1690" t="s">
        <v>739</v>
      </c>
      <c r="C238" s="617"/>
      <c r="D238" s="1685">
        <f>SUM(D232:D237)</f>
        <v>19288</v>
      </c>
      <c r="E238" s="617"/>
      <c r="F238" s="617"/>
      <c r="G238" s="617"/>
      <c r="H238" s="617"/>
      <c r="I238" s="617"/>
      <c r="J238" s="617"/>
      <c r="K238" s="1685">
        <f>SUM(K232:K237)</f>
        <v>19288</v>
      </c>
      <c r="L238" s="1685">
        <f>SUM(L232:L237)</f>
        <v>17984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3" t="s">
        <v>867</v>
      </c>
      <c r="B240" s="615">
        <v>2210</v>
      </c>
      <c r="C240" s="617"/>
      <c r="D240" s="481">
        <v>0</v>
      </c>
      <c r="E240" s="617"/>
      <c r="F240" s="617"/>
      <c r="G240" s="617"/>
      <c r="H240" s="617"/>
      <c r="I240" s="617"/>
      <c r="J240" s="617"/>
      <c r="K240" s="1687">
        <f>D240</f>
        <v>0</v>
      </c>
      <c r="L240" s="481">
        <v>0</v>
      </c>
    </row>
    <row r="241" spans="1:12" x14ac:dyDescent="0.2">
      <c r="A241" s="1523" t="s">
        <v>868</v>
      </c>
      <c r="B241" s="615">
        <v>2220</v>
      </c>
      <c r="C241" s="617"/>
      <c r="D241" s="466">
        <v>17724</v>
      </c>
      <c r="E241" s="617"/>
      <c r="F241" s="617"/>
      <c r="G241" s="617"/>
      <c r="H241" s="617"/>
      <c r="I241" s="617"/>
      <c r="J241" s="617"/>
      <c r="K241" s="1687">
        <f>D241</f>
        <v>17724</v>
      </c>
      <c r="L241" s="466">
        <v>28916</v>
      </c>
    </row>
    <row r="242" spans="1:12" x14ac:dyDescent="0.2">
      <c r="A242" s="1523" t="s">
        <v>869</v>
      </c>
      <c r="B242" s="615">
        <v>2230</v>
      </c>
      <c r="C242" s="617"/>
      <c r="D242" s="466">
        <v>0</v>
      </c>
      <c r="E242" s="617"/>
      <c r="F242" s="617"/>
      <c r="G242" s="617"/>
      <c r="H242" s="617"/>
      <c r="I242" s="617"/>
      <c r="J242" s="617"/>
      <c r="K242" s="1687">
        <f>D242</f>
        <v>0</v>
      </c>
      <c r="L242" s="466">
        <v>0</v>
      </c>
    </row>
    <row r="243" spans="1:12" ht="12.75" customHeight="1" thickBot="1" x14ac:dyDescent="0.25">
      <c r="A243" s="1709" t="s">
        <v>581</v>
      </c>
      <c r="B243" s="1710">
        <v>2200</v>
      </c>
      <c r="C243" s="617"/>
      <c r="D243" s="1685">
        <f>SUM(D240:D242)</f>
        <v>17724</v>
      </c>
      <c r="E243" s="617"/>
      <c r="F243" s="617"/>
      <c r="G243" s="617"/>
      <c r="H243" s="617"/>
      <c r="I243" s="617"/>
      <c r="J243" s="617"/>
      <c r="K243" s="1685">
        <f>SUM(K240:K242)</f>
        <v>17724</v>
      </c>
      <c r="L243" s="1685">
        <f>SUM(L240:L242)</f>
        <v>28916</v>
      </c>
    </row>
    <row r="244" spans="1:12" ht="15.75" customHeight="1" thickTop="1" x14ac:dyDescent="0.2">
      <c r="A244" s="625" t="s">
        <v>630</v>
      </c>
      <c r="B244" s="682"/>
      <c r="C244" s="617"/>
      <c r="D244" s="627"/>
      <c r="E244" s="617"/>
      <c r="F244" s="617"/>
      <c r="G244" s="617"/>
      <c r="H244" s="617"/>
      <c r="I244" s="617"/>
      <c r="J244" s="617"/>
      <c r="K244" s="627"/>
      <c r="L244" s="627"/>
    </row>
    <row r="245" spans="1:12" x14ac:dyDescent="0.2">
      <c r="A245" s="1523" t="s">
        <v>870</v>
      </c>
      <c r="B245" s="615">
        <v>2310</v>
      </c>
      <c r="C245" s="617"/>
      <c r="D245" s="481">
        <v>0</v>
      </c>
      <c r="E245" s="617"/>
      <c r="F245" s="617"/>
      <c r="G245" s="617"/>
      <c r="H245" s="617"/>
      <c r="I245" s="617"/>
      <c r="J245" s="617"/>
      <c r="K245" s="1687">
        <f>D245</f>
        <v>0</v>
      </c>
      <c r="L245" s="481">
        <v>0</v>
      </c>
    </row>
    <row r="246" spans="1:12" x14ac:dyDescent="0.2">
      <c r="A246" s="1523" t="s">
        <v>871</v>
      </c>
      <c r="B246" s="615">
        <v>2320</v>
      </c>
      <c r="C246" s="617"/>
      <c r="D246" s="466">
        <v>10573</v>
      </c>
      <c r="E246" s="617"/>
      <c r="F246" s="617"/>
      <c r="G246" s="617"/>
      <c r="H246" s="617"/>
      <c r="I246" s="617"/>
      <c r="J246" s="617"/>
      <c r="K246" s="1687">
        <f t="shared" ref="K246:K256" si="21">D246</f>
        <v>10573</v>
      </c>
      <c r="L246" s="466">
        <v>11556</v>
      </c>
    </row>
    <row r="247" spans="1:12" x14ac:dyDescent="0.2">
      <c r="A247" s="1523" t="s">
        <v>872</v>
      </c>
      <c r="B247" s="615">
        <v>2330</v>
      </c>
      <c r="C247" s="617"/>
      <c r="D247" s="466">
        <v>1271</v>
      </c>
      <c r="E247" s="617"/>
      <c r="F247" s="617"/>
      <c r="G247" s="617"/>
      <c r="H247" s="617"/>
      <c r="I247" s="617"/>
      <c r="J247" s="617"/>
      <c r="K247" s="1687">
        <f t="shared" si="21"/>
        <v>1271</v>
      </c>
      <c r="L247" s="466">
        <v>1262</v>
      </c>
    </row>
    <row r="248" spans="1:12" x14ac:dyDescent="0.2">
      <c r="A248" s="1524" t="s">
        <v>316</v>
      </c>
      <c r="B248" s="603" t="s">
        <v>298</v>
      </c>
      <c r="C248" s="617"/>
      <c r="D248" s="474">
        <v>0</v>
      </c>
      <c r="E248" s="617"/>
      <c r="F248" s="617"/>
      <c r="G248" s="617"/>
      <c r="H248" s="617"/>
      <c r="I248" s="617"/>
      <c r="J248" s="617"/>
      <c r="K248" s="1687">
        <f t="shared" si="21"/>
        <v>0</v>
      </c>
      <c r="L248" s="466">
        <v>0</v>
      </c>
    </row>
    <row r="249" spans="1:12" x14ac:dyDescent="0.2">
      <c r="A249" s="1525" t="s">
        <v>1904</v>
      </c>
      <c r="B249" s="683" t="s">
        <v>299</v>
      </c>
      <c r="C249" s="617"/>
      <c r="D249" s="474">
        <v>0</v>
      </c>
      <c r="E249" s="617"/>
      <c r="F249" s="617"/>
      <c r="G249" s="617"/>
      <c r="H249" s="617"/>
      <c r="I249" s="617"/>
      <c r="J249" s="617"/>
      <c r="K249" s="1687">
        <f t="shared" si="21"/>
        <v>0</v>
      </c>
      <c r="L249" s="466">
        <v>0</v>
      </c>
    </row>
    <row r="250" spans="1:12" x14ac:dyDescent="0.2">
      <c r="A250" s="1524" t="s">
        <v>1905</v>
      </c>
      <c r="B250" s="603" t="s">
        <v>300</v>
      </c>
      <c r="C250" s="617"/>
      <c r="D250" s="474">
        <v>0</v>
      </c>
      <c r="E250" s="617"/>
      <c r="F250" s="617"/>
      <c r="G250" s="617"/>
      <c r="H250" s="617"/>
      <c r="I250" s="617"/>
      <c r="J250" s="617"/>
      <c r="K250" s="1687">
        <f t="shared" si="21"/>
        <v>0</v>
      </c>
      <c r="L250" s="466">
        <v>0</v>
      </c>
    </row>
    <row r="251" spans="1:12" x14ac:dyDescent="0.2">
      <c r="A251" s="1524" t="s">
        <v>256</v>
      </c>
      <c r="B251" s="603" t="s">
        <v>301</v>
      </c>
      <c r="C251" s="617"/>
      <c r="D251" s="474">
        <v>0</v>
      </c>
      <c r="E251" s="617"/>
      <c r="F251" s="617"/>
      <c r="G251" s="617"/>
      <c r="H251" s="617"/>
      <c r="I251" s="617"/>
      <c r="J251" s="617"/>
      <c r="K251" s="1687">
        <f t="shared" si="21"/>
        <v>0</v>
      </c>
      <c r="L251" s="466">
        <v>0</v>
      </c>
    </row>
    <row r="252" spans="1:12" x14ac:dyDescent="0.2">
      <c r="A252" s="1524" t="s">
        <v>725</v>
      </c>
      <c r="B252" s="603" t="s">
        <v>302</v>
      </c>
      <c r="C252" s="617"/>
      <c r="D252" s="474">
        <v>0</v>
      </c>
      <c r="E252" s="617"/>
      <c r="F252" s="617"/>
      <c r="G252" s="617"/>
      <c r="H252" s="617"/>
      <c r="I252" s="617"/>
      <c r="J252" s="617"/>
      <c r="K252" s="1687">
        <f t="shared" si="21"/>
        <v>0</v>
      </c>
      <c r="L252" s="466">
        <v>0</v>
      </c>
    </row>
    <row r="253" spans="1:12" x14ac:dyDescent="0.2">
      <c r="A253" s="1524" t="s">
        <v>257</v>
      </c>
      <c r="B253" s="603" t="s">
        <v>303</v>
      </c>
      <c r="C253" s="617"/>
      <c r="D253" s="474">
        <v>0</v>
      </c>
      <c r="E253" s="617"/>
      <c r="F253" s="617"/>
      <c r="G253" s="617"/>
      <c r="H253" s="617"/>
      <c r="I253" s="617"/>
      <c r="J253" s="617"/>
      <c r="K253" s="1687">
        <f t="shared" si="21"/>
        <v>0</v>
      </c>
      <c r="L253" s="466">
        <v>0</v>
      </c>
    </row>
    <row r="254" spans="1:12" ht="22.5" x14ac:dyDescent="0.2">
      <c r="A254" s="1524" t="s">
        <v>1086</v>
      </c>
      <c r="B254" s="683" t="s">
        <v>304</v>
      </c>
      <c r="C254" s="617"/>
      <c r="D254" s="474">
        <v>0</v>
      </c>
      <c r="E254" s="617"/>
      <c r="F254" s="617"/>
      <c r="G254" s="617"/>
      <c r="H254" s="617"/>
      <c r="I254" s="617"/>
      <c r="J254" s="617"/>
      <c r="K254" s="1687">
        <f t="shared" si="21"/>
        <v>0</v>
      </c>
      <c r="L254" s="466">
        <v>0</v>
      </c>
    </row>
    <row r="255" spans="1:12" x14ac:dyDescent="0.2">
      <c r="A255" s="1524" t="s">
        <v>1087</v>
      </c>
      <c r="B255" s="603" t="s">
        <v>305</v>
      </c>
      <c r="C255" s="617"/>
      <c r="D255" s="474">
        <v>0</v>
      </c>
      <c r="E255" s="617"/>
      <c r="F255" s="617"/>
      <c r="G255" s="617"/>
      <c r="H255" s="617"/>
      <c r="I255" s="617"/>
      <c r="J255" s="617"/>
      <c r="K255" s="1687">
        <f t="shared" si="21"/>
        <v>0</v>
      </c>
      <c r="L255" s="466">
        <v>0</v>
      </c>
    </row>
    <row r="256" spans="1:12" x14ac:dyDescent="0.2">
      <c r="A256" s="1524" t="s">
        <v>1027</v>
      </c>
      <c r="B256" s="615" t="s">
        <v>306</v>
      </c>
      <c r="C256" s="617"/>
      <c r="D256" s="474">
        <v>0</v>
      </c>
      <c r="E256" s="617"/>
      <c r="F256" s="617"/>
      <c r="G256" s="617"/>
      <c r="H256" s="617"/>
      <c r="I256" s="617"/>
      <c r="J256" s="617"/>
      <c r="K256" s="1687">
        <f t="shared" si="21"/>
        <v>0</v>
      </c>
      <c r="L256" s="466">
        <v>0</v>
      </c>
    </row>
    <row r="257" spans="1:14" ht="12.75" customHeight="1" thickBot="1" x14ac:dyDescent="0.25">
      <c r="A257" s="1683" t="s">
        <v>740</v>
      </c>
      <c r="B257" s="1711">
        <v>2300</v>
      </c>
      <c r="C257" s="617"/>
      <c r="D257" s="1685">
        <f>SUM(D245:D256)</f>
        <v>11844</v>
      </c>
      <c r="E257" s="617"/>
      <c r="F257" s="617"/>
      <c r="G257" s="617"/>
      <c r="H257" s="617"/>
      <c r="I257" s="617"/>
      <c r="J257" s="617"/>
      <c r="K257" s="1685">
        <f>SUM(K245:K256)</f>
        <v>11844</v>
      </c>
      <c r="L257" s="1685">
        <f>SUM(L245:L256)</f>
        <v>12818</v>
      </c>
    </row>
    <row r="258" spans="1:14" ht="15.75" customHeight="1" thickTop="1" x14ac:dyDescent="0.2">
      <c r="A258" s="625" t="s">
        <v>631</v>
      </c>
      <c r="B258" s="684"/>
      <c r="C258" s="617"/>
      <c r="D258" s="627"/>
      <c r="E258" s="617"/>
      <c r="F258" s="617"/>
      <c r="G258" s="617"/>
      <c r="H258" s="617"/>
      <c r="I258" s="617"/>
      <c r="J258" s="617"/>
      <c r="K258" s="627"/>
      <c r="L258" s="627"/>
    </row>
    <row r="259" spans="1:14" x14ac:dyDescent="0.2">
      <c r="A259" s="1523" t="s">
        <v>1126</v>
      </c>
      <c r="B259" s="685">
        <v>2410</v>
      </c>
      <c r="C259" s="617"/>
      <c r="D259" s="481">
        <v>41026</v>
      </c>
      <c r="E259" s="617"/>
      <c r="F259" s="617"/>
      <c r="G259" s="617"/>
      <c r="H259" s="617"/>
      <c r="I259" s="617"/>
      <c r="J259" s="617"/>
      <c r="K259" s="1687">
        <f>D259</f>
        <v>41026</v>
      </c>
      <c r="L259" s="481">
        <v>44462</v>
      </c>
    </row>
    <row r="260" spans="1:14" s="598" customFormat="1" x14ac:dyDescent="0.2">
      <c r="A260" s="1541" t="s">
        <v>1903</v>
      </c>
      <c r="B260" s="629">
        <v>2490</v>
      </c>
      <c r="C260" s="617"/>
      <c r="D260" s="466">
        <v>0</v>
      </c>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41026</v>
      </c>
      <c r="E261" s="617"/>
      <c r="F261" s="617"/>
      <c r="G261" s="617"/>
      <c r="H261" s="617"/>
      <c r="I261" s="617"/>
      <c r="J261" s="617"/>
      <c r="K261" s="1685">
        <f>SUM(K259:K260)</f>
        <v>41026</v>
      </c>
      <c r="L261" s="1685">
        <f>SUM(L259:L260)</f>
        <v>44462</v>
      </c>
    </row>
    <row r="262" spans="1:14" ht="15.75" customHeight="1" thickTop="1" x14ac:dyDescent="0.2">
      <c r="A262" s="625" t="s">
        <v>632</v>
      </c>
      <c r="B262" s="684"/>
      <c r="C262" s="617"/>
      <c r="D262" s="617"/>
      <c r="E262" s="617"/>
      <c r="F262" s="617"/>
      <c r="G262" s="617"/>
      <c r="H262" s="617"/>
      <c r="I262" s="617"/>
      <c r="J262" s="617"/>
      <c r="K262" s="627"/>
      <c r="L262" s="627"/>
    </row>
    <row r="263" spans="1:14" x14ac:dyDescent="0.2">
      <c r="A263" s="1523" t="s">
        <v>1127</v>
      </c>
      <c r="B263" s="685">
        <v>2510</v>
      </c>
      <c r="C263" s="617"/>
      <c r="D263" s="466">
        <v>0</v>
      </c>
      <c r="E263" s="617"/>
      <c r="F263" s="617"/>
      <c r="G263" s="617"/>
      <c r="H263" s="617"/>
      <c r="I263" s="617"/>
      <c r="J263" s="617"/>
      <c r="K263" s="1687">
        <f>D263</f>
        <v>0</v>
      </c>
      <c r="L263" s="481">
        <v>0</v>
      </c>
    </row>
    <row r="264" spans="1:14" x14ac:dyDescent="0.2">
      <c r="A264" s="1523" t="s">
        <v>482</v>
      </c>
      <c r="B264" s="685">
        <v>2520</v>
      </c>
      <c r="C264" s="617"/>
      <c r="D264" s="466">
        <v>11351</v>
      </c>
      <c r="E264" s="617"/>
      <c r="F264" s="617"/>
      <c r="G264" s="617"/>
      <c r="H264" s="617"/>
      <c r="I264" s="617"/>
      <c r="J264" s="617"/>
      <c r="K264" s="1687">
        <f t="shared" ref="K264:K269" si="22">D264</f>
        <v>11351</v>
      </c>
      <c r="L264" s="466">
        <v>11768</v>
      </c>
    </row>
    <row r="265" spans="1:14" x14ac:dyDescent="0.2">
      <c r="A265" s="1523" t="s">
        <v>4</v>
      </c>
      <c r="B265" s="615">
        <v>2530</v>
      </c>
      <c r="C265" s="617"/>
      <c r="D265" s="466">
        <v>151</v>
      </c>
      <c r="E265" s="617"/>
      <c r="F265" s="617"/>
      <c r="G265" s="617"/>
      <c r="H265" s="617"/>
      <c r="I265" s="617"/>
      <c r="J265" s="617"/>
      <c r="K265" s="1687">
        <f t="shared" si="22"/>
        <v>151</v>
      </c>
      <c r="L265" s="466">
        <v>196</v>
      </c>
    </row>
    <row r="266" spans="1:14" x14ac:dyDescent="0.2">
      <c r="A266" s="1523" t="s">
        <v>206</v>
      </c>
      <c r="B266" s="615">
        <v>2540</v>
      </c>
      <c r="C266" s="617"/>
      <c r="D266" s="466">
        <v>130602</v>
      </c>
      <c r="E266" s="617"/>
      <c r="F266" s="617"/>
      <c r="G266" s="617"/>
      <c r="H266" s="617"/>
      <c r="I266" s="617"/>
      <c r="J266" s="617"/>
      <c r="K266" s="1687">
        <f t="shared" si="22"/>
        <v>130602</v>
      </c>
      <c r="L266" s="466">
        <v>133782</v>
      </c>
    </row>
    <row r="267" spans="1:14" x14ac:dyDescent="0.2">
      <c r="A267" s="1523" t="s">
        <v>1009</v>
      </c>
      <c r="B267" s="615">
        <v>2550</v>
      </c>
      <c r="C267" s="617"/>
      <c r="D267" s="466">
        <v>70195</v>
      </c>
      <c r="E267" s="617"/>
      <c r="F267" s="617"/>
      <c r="G267" s="617"/>
      <c r="H267" s="617"/>
      <c r="I267" s="617"/>
      <c r="J267" s="617"/>
      <c r="K267" s="1687">
        <f t="shared" si="22"/>
        <v>70195</v>
      </c>
      <c r="L267" s="466">
        <v>74370</v>
      </c>
    </row>
    <row r="268" spans="1:14" x14ac:dyDescent="0.2">
      <c r="A268" s="1523" t="s">
        <v>102</v>
      </c>
      <c r="B268" s="615">
        <v>2560</v>
      </c>
      <c r="C268" s="617"/>
      <c r="D268" s="466">
        <v>53960</v>
      </c>
      <c r="E268" s="617"/>
      <c r="F268" s="617"/>
      <c r="G268" s="617"/>
      <c r="H268" s="617"/>
      <c r="I268" s="617"/>
      <c r="J268" s="617"/>
      <c r="K268" s="1687">
        <f t="shared" si="22"/>
        <v>53960</v>
      </c>
      <c r="L268" s="466">
        <v>54388</v>
      </c>
    </row>
    <row r="269" spans="1:14" x14ac:dyDescent="0.2">
      <c r="A269" s="1523" t="s">
        <v>103</v>
      </c>
      <c r="B269" s="615">
        <v>2570</v>
      </c>
      <c r="C269" s="617"/>
      <c r="D269" s="466">
        <v>0</v>
      </c>
      <c r="E269" s="617"/>
      <c r="F269" s="617"/>
      <c r="G269" s="617"/>
      <c r="H269" s="617"/>
      <c r="I269" s="617"/>
      <c r="J269" s="617"/>
      <c r="K269" s="1687">
        <f t="shared" si="22"/>
        <v>0</v>
      </c>
      <c r="L269" s="466">
        <v>0</v>
      </c>
    </row>
    <row r="270" spans="1:14" ht="12.75" customHeight="1" thickBot="1" x14ac:dyDescent="0.25">
      <c r="A270" s="1683" t="s">
        <v>742</v>
      </c>
      <c r="B270" s="1690" t="s">
        <v>35</v>
      </c>
      <c r="C270" s="617"/>
      <c r="D270" s="1685">
        <f>SUM(D263:D269)</f>
        <v>266259</v>
      </c>
      <c r="E270" s="617"/>
      <c r="F270" s="617"/>
      <c r="G270" s="617"/>
      <c r="H270" s="617"/>
      <c r="I270" s="617"/>
      <c r="J270" s="617"/>
      <c r="K270" s="1685">
        <f>SUM(K263:K269)</f>
        <v>266259</v>
      </c>
      <c r="L270" s="1685">
        <f>SUM(L263:L269)</f>
        <v>274504</v>
      </c>
    </row>
    <row r="271" spans="1:14" ht="15.75" customHeight="1" thickTop="1" x14ac:dyDescent="0.2">
      <c r="A271" s="669" t="s">
        <v>633</v>
      </c>
      <c r="B271" s="626"/>
      <c r="C271" s="617"/>
      <c r="D271" s="627"/>
      <c r="E271" s="617"/>
      <c r="F271" s="617"/>
      <c r="G271" s="617"/>
      <c r="H271" s="617"/>
      <c r="I271" s="617"/>
      <c r="J271" s="617"/>
      <c r="K271" s="627"/>
      <c r="L271" s="627"/>
    </row>
    <row r="272" spans="1:14" x14ac:dyDescent="0.2">
      <c r="A272" s="1523" t="s">
        <v>1119</v>
      </c>
      <c r="B272" s="615">
        <v>2610</v>
      </c>
      <c r="C272" s="617"/>
      <c r="D272" s="481">
        <v>0</v>
      </c>
      <c r="E272" s="617"/>
      <c r="F272" s="617"/>
      <c r="G272" s="617"/>
      <c r="H272" s="617"/>
      <c r="I272" s="617"/>
      <c r="J272" s="617"/>
      <c r="K272" s="1687">
        <f>D272</f>
        <v>0</v>
      </c>
      <c r="L272" s="481">
        <v>0</v>
      </c>
    </row>
    <row r="273" spans="1:12" x14ac:dyDescent="0.2">
      <c r="A273" s="1523" t="s">
        <v>627</v>
      </c>
      <c r="B273" s="629">
        <v>2620</v>
      </c>
      <c r="C273" s="617"/>
      <c r="D273" s="466">
        <v>0</v>
      </c>
      <c r="E273" s="617"/>
      <c r="F273" s="617"/>
      <c r="G273" s="617"/>
      <c r="H273" s="617"/>
      <c r="I273" s="617"/>
      <c r="J273" s="617"/>
      <c r="K273" s="1687">
        <f>D273</f>
        <v>0</v>
      </c>
      <c r="L273" s="466">
        <v>0</v>
      </c>
    </row>
    <row r="274" spans="1:12" ht="12" customHeight="1" x14ac:dyDescent="0.2">
      <c r="A274" s="1523" t="s">
        <v>1120</v>
      </c>
      <c r="B274" s="615">
        <v>2630</v>
      </c>
      <c r="C274" s="617"/>
      <c r="D274" s="466">
        <v>0</v>
      </c>
      <c r="E274" s="617"/>
      <c r="F274" s="617"/>
      <c r="G274" s="617"/>
      <c r="H274" s="617"/>
      <c r="I274" s="617"/>
      <c r="J274" s="617"/>
      <c r="K274" s="1687">
        <f>D274</f>
        <v>0</v>
      </c>
      <c r="L274" s="466">
        <v>0</v>
      </c>
    </row>
    <row r="275" spans="1:12" x14ac:dyDescent="0.2">
      <c r="A275" s="1523" t="s">
        <v>422</v>
      </c>
      <c r="B275" s="615">
        <v>2640</v>
      </c>
      <c r="C275" s="617"/>
      <c r="D275" s="466">
        <v>0</v>
      </c>
      <c r="E275" s="617"/>
      <c r="F275" s="617"/>
      <c r="G275" s="617"/>
      <c r="H275" s="617"/>
      <c r="I275" s="617"/>
      <c r="J275" s="617"/>
      <c r="K275" s="1687">
        <f>D275</f>
        <v>0</v>
      </c>
      <c r="L275" s="466">
        <v>0</v>
      </c>
    </row>
    <row r="276" spans="1:12" x14ac:dyDescent="0.2">
      <c r="A276" s="1523" t="s">
        <v>423</v>
      </c>
      <c r="B276" s="615">
        <v>2660</v>
      </c>
      <c r="C276" s="617"/>
      <c r="D276" s="466">
        <v>0</v>
      </c>
      <c r="E276" s="617"/>
      <c r="F276" s="617"/>
      <c r="G276" s="617"/>
      <c r="H276" s="617"/>
      <c r="I276" s="617"/>
      <c r="J276" s="617"/>
      <c r="K276" s="1687">
        <f>D276</f>
        <v>0</v>
      </c>
      <c r="L276" s="466">
        <v>0</v>
      </c>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29" t="s">
        <v>1036</v>
      </c>
      <c r="B278" s="655" t="s">
        <v>594</v>
      </c>
      <c r="C278" s="617"/>
      <c r="D278" s="656">
        <v>0</v>
      </c>
      <c r="E278" s="617"/>
      <c r="F278" s="617"/>
      <c r="G278" s="617"/>
      <c r="H278" s="617"/>
      <c r="I278" s="617"/>
      <c r="J278" s="617"/>
      <c r="K278" s="1700">
        <f>D278</f>
        <v>0</v>
      </c>
      <c r="L278" s="656">
        <v>0</v>
      </c>
    </row>
    <row r="279" spans="1:12" ht="12.75" customHeight="1" thickBot="1" x14ac:dyDescent="0.25">
      <c r="A279" s="1713" t="s">
        <v>864</v>
      </c>
      <c r="B279" s="1696">
        <v>2000</v>
      </c>
      <c r="C279" s="617"/>
      <c r="D279" s="1692">
        <f>SUM(D238,D243,D257,D261,D270,D277,D278)</f>
        <v>356141</v>
      </c>
      <c r="E279" s="617"/>
      <c r="F279" s="617"/>
      <c r="G279" s="617"/>
      <c r="H279" s="617"/>
      <c r="I279" s="617"/>
      <c r="J279" s="617"/>
      <c r="K279" s="1692">
        <f>SUM(K238,K243,K257,K261,K270,K277,K278)</f>
        <v>356141</v>
      </c>
      <c r="L279" s="1692">
        <f>SUM(L238,L243,L257,L261,L270,L277,L278)</f>
        <v>378684</v>
      </c>
    </row>
    <row r="280" spans="1:12" ht="15.75" customHeight="1" thickTop="1" thickBot="1" x14ac:dyDescent="0.25">
      <c r="A280" s="1643" t="s">
        <v>929</v>
      </c>
      <c r="B280" s="1632">
        <v>3000</v>
      </c>
      <c r="C280" s="617"/>
      <c r="D280" s="576">
        <v>162</v>
      </c>
      <c r="E280" s="617"/>
      <c r="F280" s="617"/>
      <c r="G280" s="617"/>
      <c r="H280" s="617"/>
      <c r="I280" s="617"/>
      <c r="J280" s="617"/>
      <c r="K280" s="1694">
        <f>D280</f>
        <v>162</v>
      </c>
      <c r="L280" s="576">
        <v>4000</v>
      </c>
    </row>
    <row r="281" spans="1:12" ht="15.75" customHeight="1" thickTop="1" x14ac:dyDescent="0.2">
      <c r="A281" s="1633" t="s">
        <v>144</v>
      </c>
      <c r="B281" s="1634" t="s">
        <v>914</v>
      </c>
      <c r="C281" s="617"/>
      <c r="D281" s="566"/>
      <c r="E281" s="617"/>
      <c r="F281" s="617"/>
      <c r="G281" s="617"/>
      <c r="H281" s="617"/>
      <c r="I281" s="617"/>
      <c r="J281" s="617"/>
      <c r="K281" s="617"/>
      <c r="L281" s="617"/>
    </row>
    <row r="282" spans="1:12" ht="15.75" customHeight="1" x14ac:dyDescent="0.2">
      <c r="A282" s="1846" t="s">
        <v>516</v>
      </c>
      <c r="B282" s="690" t="s">
        <v>1953</v>
      </c>
      <c r="C282" s="617"/>
      <c r="D282" s="467" t="s">
        <v>1230</v>
      </c>
      <c r="E282" s="617"/>
      <c r="F282" s="617"/>
      <c r="G282" s="617"/>
      <c r="H282" s="617"/>
      <c r="I282" s="617"/>
      <c r="J282" s="617"/>
      <c r="K282" s="1686" t="str">
        <f>D282</f>
        <v xml:space="preserve"> </v>
      </c>
      <c r="L282" s="467">
        <v>0</v>
      </c>
    </row>
    <row r="283" spans="1:12" x14ac:dyDescent="0.2">
      <c r="A283" s="1523" t="s">
        <v>321</v>
      </c>
      <c r="B283" s="615">
        <v>4120</v>
      </c>
      <c r="C283" s="617"/>
      <c r="D283" s="466">
        <v>0</v>
      </c>
      <c r="E283" s="617"/>
      <c r="F283" s="617"/>
      <c r="G283" s="617"/>
      <c r="H283" s="617"/>
      <c r="I283" s="617"/>
      <c r="J283" s="617"/>
      <c r="K283" s="1686">
        <f>D283</f>
        <v>0</v>
      </c>
      <c r="L283" s="466">
        <v>0</v>
      </c>
    </row>
    <row r="284" spans="1:12" x14ac:dyDescent="0.2">
      <c r="A284" s="1523" t="s">
        <v>720</v>
      </c>
      <c r="B284" s="615">
        <v>4140</v>
      </c>
      <c r="C284" s="617"/>
      <c r="D284" s="467">
        <v>0</v>
      </c>
      <c r="E284" s="617"/>
      <c r="F284" s="617"/>
      <c r="G284" s="617"/>
      <c r="H284" s="617"/>
      <c r="I284" s="617"/>
      <c r="J284" s="617"/>
      <c r="K284" s="1686">
        <f>D284</f>
        <v>0</v>
      </c>
      <c r="L284" s="466">
        <v>0</v>
      </c>
    </row>
    <row r="285" spans="1:12" ht="12.75" customHeight="1" thickBot="1" x14ac:dyDescent="0.25">
      <c r="A285" s="1683" t="s">
        <v>1566</v>
      </c>
      <c r="B285" s="1684" t="s">
        <v>914</v>
      </c>
      <c r="C285" s="617"/>
      <c r="D285" s="1685">
        <f>SUM(D282:D284)</f>
        <v>0</v>
      </c>
      <c r="E285" s="617"/>
      <c r="F285" s="617"/>
      <c r="G285" s="617"/>
      <c r="H285" s="617"/>
      <c r="I285" s="617"/>
      <c r="J285" s="617"/>
      <c r="K285" s="1685">
        <f>SUM(K282:K284)</f>
        <v>0</v>
      </c>
      <c r="L285" s="1685">
        <f>SUM(L282:L284)</f>
        <v>0</v>
      </c>
    </row>
    <row r="286" spans="1:12" ht="15.75" customHeight="1" thickTop="1" x14ac:dyDescent="0.2">
      <c r="A286" s="1631" t="s">
        <v>930</v>
      </c>
      <c r="B286" s="1628" t="s">
        <v>512</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v>0</v>
      </c>
      <c r="I288" s="617"/>
      <c r="J288" s="617"/>
      <c r="K288" s="1686">
        <f>H288</f>
        <v>0</v>
      </c>
      <c r="L288" s="466">
        <v>0</v>
      </c>
    </row>
    <row r="289" spans="1:14" x14ac:dyDescent="0.2">
      <c r="A289" s="1523" t="s">
        <v>90</v>
      </c>
      <c r="B289" s="615">
        <v>5120</v>
      </c>
      <c r="C289" s="617"/>
      <c r="D289" s="617"/>
      <c r="E289" s="617"/>
      <c r="F289" s="617"/>
      <c r="G289" s="617"/>
      <c r="H289" s="466">
        <v>0</v>
      </c>
      <c r="I289" s="617"/>
      <c r="J289" s="617"/>
      <c r="K289" s="1686">
        <f>H289</f>
        <v>0</v>
      </c>
      <c r="L289" s="466">
        <v>0</v>
      </c>
    </row>
    <row r="290" spans="1:14" ht="12.75" customHeight="1" x14ac:dyDescent="0.2">
      <c r="A290" s="1523" t="s">
        <v>1231</v>
      </c>
      <c r="B290" s="629" t="s">
        <v>637</v>
      </c>
      <c r="C290" s="617"/>
      <c r="D290" s="617"/>
      <c r="E290" s="617"/>
      <c r="F290" s="617"/>
      <c r="G290" s="617"/>
      <c r="H290" s="466">
        <v>0</v>
      </c>
      <c r="I290" s="617"/>
      <c r="J290" s="617"/>
      <c r="K290" s="1686">
        <f>H290</f>
        <v>0</v>
      </c>
      <c r="L290" s="466">
        <v>0</v>
      </c>
    </row>
    <row r="291" spans="1:14" x14ac:dyDescent="0.2">
      <c r="A291" s="1523" t="s">
        <v>91</v>
      </c>
      <c r="B291" s="615" t="s">
        <v>609</v>
      </c>
      <c r="C291" s="617"/>
      <c r="D291" s="617"/>
      <c r="E291" s="617"/>
      <c r="F291" s="617"/>
      <c r="G291" s="617"/>
      <c r="H291" s="466">
        <v>0</v>
      </c>
      <c r="I291" s="617"/>
      <c r="J291" s="617"/>
      <c r="K291" s="1686">
        <f>H291</f>
        <v>0</v>
      </c>
      <c r="L291" s="466">
        <v>0</v>
      </c>
    </row>
    <row r="292" spans="1:14" x14ac:dyDescent="0.2">
      <c r="A292" s="1523" t="s">
        <v>785</v>
      </c>
      <c r="B292" s="615" t="s">
        <v>638</v>
      </c>
      <c r="C292" s="617"/>
      <c r="D292" s="617"/>
      <c r="E292" s="617"/>
      <c r="F292" s="617"/>
      <c r="G292" s="617"/>
      <c r="H292" s="466">
        <v>0</v>
      </c>
      <c r="I292" s="617"/>
      <c r="J292" s="617"/>
      <c r="K292" s="1686">
        <f>H292</f>
        <v>0</v>
      </c>
      <c r="L292" s="466">
        <v>0</v>
      </c>
    </row>
    <row r="293" spans="1:14" ht="12.75" customHeight="1" thickBot="1" x14ac:dyDescent="0.25">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4" t="s">
        <v>931</v>
      </c>
      <c r="B294" s="1632" t="s">
        <v>915</v>
      </c>
      <c r="C294" s="617"/>
      <c r="D294" s="624"/>
      <c r="E294" s="617"/>
      <c r="F294" s="617"/>
      <c r="G294" s="617"/>
      <c r="H294" s="686"/>
      <c r="I294" s="617"/>
      <c r="J294" s="617"/>
      <c r="K294" s="686"/>
      <c r="L294" s="578">
        <v>0</v>
      </c>
    </row>
    <row r="295" spans="1:14" ht="12.75" customHeight="1" thickTop="1" thickBot="1" x14ac:dyDescent="0.25">
      <c r="A295" s="2195" t="s">
        <v>525</v>
      </c>
      <c r="B295" s="2196"/>
      <c r="C295" s="617"/>
      <c r="D295" s="1685">
        <f>SUM(D229,D279,D280,D285)</f>
        <v>526923</v>
      </c>
      <c r="E295" s="617"/>
      <c r="F295" s="617"/>
      <c r="G295" s="617"/>
      <c r="H295" s="1685">
        <f>H293</f>
        <v>0</v>
      </c>
      <c r="I295" s="617"/>
      <c r="J295" s="617"/>
      <c r="K295" s="1685">
        <f>SUM(K229,K279,K280,K285,K293,K294)</f>
        <v>526923</v>
      </c>
      <c r="L295" s="1685">
        <f>SUM(L229,L279,L280,L285,L293,L294)</f>
        <v>550004</v>
      </c>
    </row>
    <row r="296" spans="1:14" ht="13.5" thickTop="1" x14ac:dyDescent="0.2">
      <c r="A296" s="2177" t="s">
        <v>1052</v>
      </c>
      <c r="B296" s="2178"/>
      <c r="C296" s="617"/>
      <c r="D296" s="619"/>
      <c r="E296" s="617"/>
      <c r="F296" s="617"/>
      <c r="G296" s="617"/>
      <c r="H296" s="687"/>
      <c r="I296" s="617"/>
      <c r="J296" s="617"/>
      <c r="K296" s="1699">
        <f>'Revenues 9-14'!G275-'Expenditures 15-22'!K295</f>
        <v>-76741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7" t="s">
        <v>145</v>
      </c>
      <c r="B298" s="2181"/>
      <c r="C298" s="1570"/>
      <c r="D298" s="1571"/>
      <c r="E298" s="1571"/>
      <c r="F298" s="1571"/>
      <c r="G298" s="1571"/>
      <c r="H298" s="1571"/>
      <c r="I298" s="1571"/>
      <c r="J298" s="1571"/>
      <c r="K298" s="1571"/>
      <c r="L298" s="1572"/>
    </row>
    <row r="299" spans="1:14" ht="15.75" customHeight="1" x14ac:dyDescent="0.2">
      <c r="A299" s="1631" t="s">
        <v>146</v>
      </c>
      <c r="B299" s="1634" t="s">
        <v>589</v>
      </c>
      <c r="C299" s="617"/>
      <c r="D299" s="617"/>
      <c r="E299" s="617"/>
      <c r="F299" s="617"/>
      <c r="G299" s="617"/>
      <c r="H299" s="617"/>
      <c r="I299" s="617"/>
      <c r="J299" s="617"/>
      <c r="K299" s="617"/>
      <c r="L299" s="617"/>
    </row>
    <row r="300" spans="1:14" ht="15.75" customHeight="1" x14ac:dyDescent="0.2">
      <c r="A300" s="688" t="s">
        <v>632</v>
      </c>
      <c r="B300" s="632"/>
      <c r="C300" s="624"/>
      <c r="D300" s="624"/>
      <c r="E300" s="624"/>
      <c r="F300" s="624"/>
      <c r="G300" s="624"/>
      <c r="H300" s="624"/>
      <c r="I300" s="617"/>
      <c r="J300" s="617"/>
      <c r="K300" s="624"/>
      <c r="L300" s="624"/>
    </row>
    <row r="301" spans="1:14" x14ac:dyDescent="0.2">
      <c r="A301" s="1536" t="s">
        <v>628</v>
      </c>
      <c r="B301" s="689">
        <v>2530</v>
      </c>
      <c r="C301" s="466">
        <v>0</v>
      </c>
      <c r="D301" s="466">
        <v>0</v>
      </c>
      <c r="E301" s="466">
        <v>0</v>
      </c>
      <c r="F301" s="466">
        <v>0</v>
      </c>
      <c r="G301" s="466">
        <v>0</v>
      </c>
      <c r="H301" s="466">
        <v>0</v>
      </c>
      <c r="I301" s="466">
        <v>0</v>
      </c>
      <c r="J301" s="466">
        <v>0</v>
      </c>
      <c r="K301" s="1686">
        <f>SUM(C301:J301)</f>
        <v>0</v>
      </c>
      <c r="L301" s="467">
        <v>0</v>
      </c>
    </row>
    <row r="302" spans="1:14" ht="13.5" customHeight="1" x14ac:dyDescent="0.2">
      <c r="A302" s="1536" t="s">
        <v>1036</v>
      </c>
      <c r="B302" s="615" t="s">
        <v>594</v>
      </c>
      <c r="C302" s="466">
        <v>0</v>
      </c>
      <c r="D302" s="466">
        <v>0</v>
      </c>
      <c r="E302" s="466">
        <v>0</v>
      </c>
      <c r="F302" s="466">
        <v>0</v>
      </c>
      <c r="G302" s="466">
        <v>0</v>
      </c>
      <c r="H302" s="466">
        <v>0</v>
      </c>
      <c r="I302" s="466">
        <v>0</v>
      </c>
      <c r="J302" s="466">
        <v>0</v>
      </c>
      <c r="K302" s="1686">
        <f>SUM(C302:J302)</f>
        <v>0</v>
      </c>
      <c r="L302" s="466">
        <v>0</v>
      </c>
    </row>
    <row r="303" spans="1:14" ht="12.75" customHeight="1" thickBot="1" x14ac:dyDescent="0.25">
      <c r="A303" s="1683" t="s">
        <v>864</v>
      </c>
      <c r="B303" s="1684" t="s">
        <v>589</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631" t="s">
        <v>147</v>
      </c>
      <c r="B304" s="1632" t="s">
        <v>914</v>
      </c>
      <c r="C304" s="617"/>
      <c r="D304" s="617"/>
      <c r="E304" s="617"/>
      <c r="F304" s="617"/>
      <c r="G304" s="617"/>
      <c r="H304" s="617"/>
      <c r="I304" s="617"/>
      <c r="J304" s="617"/>
      <c r="K304" s="617"/>
      <c r="L304" s="617"/>
    </row>
    <row r="305" spans="1:14" ht="15.75" customHeight="1" x14ac:dyDescent="0.2">
      <c r="A305" s="653" t="s">
        <v>952</v>
      </c>
      <c r="B305" s="623"/>
      <c r="C305" s="617"/>
      <c r="D305" s="617"/>
      <c r="E305" s="617"/>
      <c r="F305" s="617"/>
      <c r="G305" s="617"/>
      <c r="H305" s="617"/>
      <c r="I305" s="617"/>
      <c r="J305" s="617"/>
      <c r="K305" s="617"/>
      <c r="L305" s="617"/>
    </row>
    <row r="306" spans="1:14" x14ac:dyDescent="0.2">
      <c r="A306" s="1537" t="s">
        <v>1958</v>
      </c>
      <c r="B306" s="690" t="s">
        <v>1953</v>
      </c>
      <c r="C306" s="617"/>
      <c r="D306" s="617"/>
      <c r="E306" s="467" t="s">
        <v>1230</v>
      </c>
      <c r="F306" s="617"/>
      <c r="G306" s="617"/>
      <c r="H306" s="467" t="s">
        <v>1230</v>
      </c>
      <c r="I306" s="617"/>
      <c r="J306" s="617"/>
      <c r="K306" s="1686">
        <f>SUM(E306,H306)</f>
        <v>0</v>
      </c>
      <c r="L306" s="467">
        <v>0</v>
      </c>
    </row>
    <row r="307" spans="1:14" x14ac:dyDescent="0.2">
      <c r="A307" s="1523" t="s">
        <v>321</v>
      </c>
      <c r="B307" s="615">
        <v>4120</v>
      </c>
      <c r="C307" s="617"/>
      <c r="D307" s="617"/>
      <c r="E307" s="467">
        <v>0</v>
      </c>
      <c r="F307" s="617"/>
      <c r="G307" s="617"/>
      <c r="H307" s="467">
        <v>0</v>
      </c>
      <c r="I307" s="477"/>
      <c r="J307" s="617"/>
      <c r="K307" s="1686">
        <f>SUM(E307,H307)</f>
        <v>0</v>
      </c>
      <c r="L307" s="466">
        <v>0</v>
      </c>
    </row>
    <row r="308" spans="1:14" x14ac:dyDescent="0.2">
      <c r="A308" s="1523" t="s">
        <v>720</v>
      </c>
      <c r="B308" s="615">
        <v>4140</v>
      </c>
      <c r="C308" s="617"/>
      <c r="D308" s="617"/>
      <c r="E308" s="467">
        <v>0</v>
      </c>
      <c r="F308" s="617"/>
      <c r="G308" s="617"/>
      <c r="H308" s="467">
        <v>0</v>
      </c>
      <c r="I308" s="477"/>
      <c r="J308" s="617"/>
      <c r="K308" s="1686">
        <f>SUM(E308,H308)</f>
        <v>0</v>
      </c>
      <c r="L308" s="466">
        <v>0</v>
      </c>
    </row>
    <row r="309" spans="1:14" ht="12.75" customHeight="1" x14ac:dyDescent="0.2">
      <c r="A309" s="1527" t="s">
        <v>721</v>
      </c>
      <c r="B309" s="629">
        <v>4190</v>
      </c>
      <c r="C309" s="617"/>
      <c r="D309" s="617"/>
      <c r="E309" s="467">
        <v>0</v>
      </c>
      <c r="F309" s="617"/>
      <c r="G309" s="617"/>
      <c r="H309" s="467">
        <v>0</v>
      </c>
      <c r="I309" s="477"/>
      <c r="J309" s="617"/>
      <c r="K309" s="1686">
        <f>SUM(E309,H309)</f>
        <v>0</v>
      </c>
      <c r="L309" s="466">
        <v>0</v>
      </c>
    </row>
    <row r="310" spans="1:14" ht="12.75" customHeight="1" thickBot="1" x14ac:dyDescent="0.25">
      <c r="A310" s="1683" t="s">
        <v>1566</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8" t="s">
        <v>950</v>
      </c>
      <c r="B311" s="1630" t="s">
        <v>915</v>
      </c>
      <c r="C311" s="624"/>
      <c r="D311" s="624"/>
      <c r="E311" s="624"/>
      <c r="F311" s="624"/>
      <c r="G311" s="624"/>
      <c r="H311" s="624"/>
      <c r="I311" s="624"/>
      <c r="J311" s="617"/>
      <c r="K311" s="624"/>
      <c r="L311" s="576"/>
    </row>
    <row r="312" spans="1:14" s="674" customFormat="1" ht="12.75" customHeight="1" thickTop="1" thickBot="1" x14ac:dyDescent="0.25">
      <c r="A312" s="2192" t="s">
        <v>294</v>
      </c>
      <c r="B312" s="2193"/>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5"/>
      <c r="N312" s="665"/>
    </row>
    <row r="313" spans="1:14" ht="13.5" thickTop="1" x14ac:dyDescent="0.2">
      <c r="A313" s="2188" t="s">
        <v>1052</v>
      </c>
      <c r="B313" s="2189"/>
      <c r="C313" s="627"/>
      <c r="D313" s="627"/>
      <c r="E313" s="627"/>
      <c r="F313" s="627"/>
      <c r="G313" s="627"/>
      <c r="H313" s="627"/>
      <c r="I313" s="627"/>
      <c r="J313" s="627"/>
      <c r="K313" s="1700">
        <f>'Revenues 9-14'!H275-'Expenditures 15-22'!K312</f>
        <v>6180</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1" t="s">
        <v>151</v>
      </c>
      <c r="B315" s="2202"/>
      <c r="C315" s="1575"/>
      <c r="D315" s="1576"/>
      <c r="E315" s="1576"/>
      <c r="F315" s="1576"/>
      <c r="G315" s="1576"/>
      <c r="H315" s="1576"/>
      <c r="I315" s="1576"/>
      <c r="J315" s="1576"/>
      <c r="K315" s="1576"/>
      <c r="L315" s="157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3" t="s">
        <v>953</v>
      </c>
      <c r="B317" s="2202"/>
      <c r="C317" s="1575"/>
      <c r="D317" s="1576"/>
      <c r="E317" s="1576"/>
      <c r="F317" s="1576"/>
      <c r="G317" s="1576"/>
      <c r="H317" s="1576"/>
      <c r="I317" s="1576"/>
      <c r="J317" s="1576"/>
      <c r="K317" s="1576"/>
      <c r="L317" s="1577"/>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38" t="s">
        <v>316</v>
      </c>
      <c r="B319" s="697" t="s">
        <v>298</v>
      </c>
      <c r="C319" s="467">
        <v>0</v>
      </c>
      <c r="D319" s="467">
        <v>0</v>
      </c>
      <c r="E319" s="467">
        <v>0</v>
      </c>
      <c r="F319" s="467">
        <v>0</v>
      </c>
      <c r="G319" s="467">
        <v>0</v>
      </c>
      <c r="H319" s="467">
        <v>0</v>
      </c>
      <c r="I319" s="467">
        <v>0</v>
      </c>
      <c r="J319" s="467">
        <v>0</v>
      </c>
      <c r="K319" s="1686">
        <f>SUM(C319:J319)</f>
        <v>0</v>
      </c>
      <c r="L319" s="467">
        <v>0</v>
      </c>
      <c r="M319" s="665"/>
      <c r="N319" s="665"/>
    </row>
    <row r="320" spans="1:14" s="674" customFormat="1" x14ac:dyDescent="0.2">
      <c r="A320" s="1542" t="s">
        <v>1904</v>
      </c>
      <c r="B320" s="698" t="s">
        <v>299</v>
      </c>
      <c r="C320" s="467">
        <v>0</v>
      </c>
      <c r="D320" s="467">
        <v>0</v>
      </c>
      <c r="E320" s="467">
        <v>102680</v>
      </c>
      <c r="F320" s="467">
        <v>0</v>
      </c>
      <c r="G320" s="467">
        <v>0</v>
      </c>
      <c r="H320" s="467">
        <v>0</v>
      </c>
      <c r="I320" s="467">
        <v>0</v>
      </c>
      <c r="J320" s="467">
        <v>0</v>
      </c>
      <c r="K320" s="1686">
        <f t="shared" ref="K320:K327" si="24">SUM(C320:J320)</f>
        <v>102680</v>
      </c>
      <c r="L320" s="467">
        <v>125000</v>
      </c>
      <c r="M320" s="665"/>
      <c r="N320" s="665"/>
    </row>
    <row r="321" spans="1:14" s="674" customFormat="1" x14ac:dyDescent="0.2">
      <c r="A321" s="1538" t="s">
        <v>317</v>
      </c>
      <c r="B321" s="697" t="s">
        <v>300</v>
      </c>
      <c r="C321" s="467">
        <v>0</v>
      </c>
      <c r="D321" s="467">
        <v>0</v>
      </c>
      <c r="E321" s="467">
        <v>8910</v>
      </c>
      <c r="F321" s="467">
        <v>0</v>
      </c>
      <c r="G321" s="467">
        <v>0</v>
      </c>
      <c r="H321" s="467">
        <v>0</v>
      </c>
      <c r="I321" s="467">
        <v>0</v>
      </c>
      <c r="J321" s="467">
        <v>0</v>
      </c>
      <c r="K321" s="1686">
        <f t="shared" si="24"/>
        <v>8910</v>
      </c>
      <c r="L321" s="467">
        <v>1000</v>
      </c>
      <c r="M321" s="665"/>
      <c r="N321" s="665"/>
    </row>
    <row r="322" spans="1:14" s="674" customFormat="1" x14ac:dyDescent="0.2">
      <c r="A322" s="1538" t="s">
        <v>256</v>
      </c>
      <c r="B322" s="697" t="s">
        <v>301</v>
      </c>
      <c r="C322" s="467">
        <v>0</v>
      </c>
      <c r="D322" s="467">
        <v>0</v>
      </c>
      <c r="E322" s="467">
        <v>182019</v>
      </c>
      <c r="F322" s="467">
        <v>0</v>
      </c>
      <c r="G322" s="467">
        <v>0</v>
      </c>
      <c r="H322" s="467">
        <v>0</v>
      </c>
      <c r="I322" s="467">
        <v>0</v>
      </c>
      <c r="J322" s="467">
        <v>0</v>
      </c>
      <c r="K322" s="1686">
        <f t="shared" si="24"/>
        <v>182019</v>
      </c>
      <c r="L322" s="467">
        <v>180000</v>
      </c>
      <c r="M322" s="665"/>
      <c r="N322" s="665"/>
    </row>
    <row r="323" spans="1:14" s="674" customFormat="1" x14ac:dyDescent="0.2">
      <c r="A323" s="1538" t="s">
        <v>725</v>
      </c>
      <c r="B323" s="697" t="s">
        <v>302</v>
      </c>
      <c r="C323" s="467">
        <v>0</v>
      </c>
      <c r="D323" s="467">
        <v>0</v>
      </c>
      <c r="E323" s="467">
        <v>0</v>
      </c>
      <c r="F323" s="467">
        <v>0</v>
      </c>
      <c r="G323" s="467">
        <v>0</v>
      </c>
      <c r="H323" s="467">
        <v>0</v>
      </c>
      <c r="I323" s="467">
        <v>0</v>
      </c>
      <c r="J323" s="467">
        <v>0</v>
      </c>
      <c r="K323" s="1686">
        <f t="shared" si="24"/>
        <v>0</v>
      </c>
      <c r="L323" s="467">
        <v>0</v>
      </c>
      <c r="M323" s="665"/>
      <c r="N323" s="665"/>
    </row>
    <row r="324" spans="1:14" s="674" customFormat="1" x14ac:dyDescent="0.2">
      <c r="A324" s="1538" t="s">
        <v>257</v>
      </c>
      <c r="B324" s="697" t="s">
        <v>303</v>
      </c>
      <c r="C324" s="467">
        <v>0</v>
      </c>
      <c r="D324" s="467">
        <v>0</v>
      </c>
      <c r="E324" s="467">
        <v>0</v>
      </c>
      <c r="F324" s="467">
        <v>0</v>
      </c>
      <c r="G324" s="467">
        <v>0</v>
      </c>
      <c r="H324" s="467">
        <v>0</v>
      </c>
      <c r="I324" s="467">
        <v>0</v>
      </c>
      <c r="J324" s="467">
        <v>0</v>
      </c>
      <c r="K324" s="1686">
        <f t="shared" si="24"/>
        <v>0</v>
      </c>
      <c r="L324" s="467">
        <v>0</v>
      </c>
      <c r="M324" s="665"/>
      <c r="N324" s="665"/>
    </row>
    <row r="325" spans="1:14" s="674" customFormat="1" ht="22.5" x14ac:dyDescent="0.2">
      <c r="A325" s="1538" t="s">
        <v>1086</v>
      </c>
      <c r="B325" s="698" t="s">
        <v>304</v>
      </c>
      <c r="C325" s="467">
        <v>399679</v>
      </c>
      <c r="D325" s="467">
        <v>0</v>
      </c>
      <c r="E325" s="467">
        <v>5623</v>
      </c>
      <c r="F325" s="467">
        <v>8169</v>
      </c>
      <c r="G325" s="467">
        <v>171199</v>
      </c>
      <c r="H325" s="467">
        <v>0</v>
      </c>
      <c r="I325" s="467">
        <v>0</v>
      </c>
      <c r="J325" s="467">
        <v>0</v>
      </c>
      <c r="K325" s="1686">
        <f t="shared" si="24"/>
        <v>584670</v>
      </c>
      <c r="L325" s="467">
        <v>668500</v>
      </c>
      <c r="M325" s="665"/>
      <c r="N325" s="665"/>
    </row>
    <row r="326" spans="1:14" s="674" customFormat="1" x14ac:dyDescent="0.2">
      <c r="A326" s="1538" t="s">
        <v>1087</v>
      </c>
      <c r="B326" s="697" t="s">
        <v>305</v>
      </c>
      <c r="C326" s="467">
        <v>0</v>
      </c>
      <c r="D326" s="467">
        <v>0</v>
      </c>
      <c r="E326" s="467">
        <v>0</v>
      </c>
      <c r="F326" s="467">
        <v>0</v>
      </c>
      <c r="G326" s="467">
        <v>0</v>
      </c>
      <c r="H326" s="467">
        <v>0</v>
      </c>
      <c r="I326" s="467">
        <v>0</v>
      </c>
      <c r="J326" s="467">
        <v>0</v>
      </c>
      <c r="K326" s="1686">
        <f t="shared" si="24"/>
        <v>0</v>
      </c>
      <c r="L326" s="467">
        <v>0</v>
      </c>
      <c r="M326" s="665"/>
      <c r="N326" s="665"/>
    </row>
    <row r="327" spans="1:14" s="674" customFormat="1" x14ac:dyDescent="0.2">
      <c r="A327" s="1538" t="s">
        <v>1027</v>
      </c>
      <c r="B327" s="697" t="s">
        <v>306</v>
      </c>
      <c r="C327" s="467">
        <v>0</v>
      </c>
      <c r="D327" s="467">
        <v>0</v>
      </c>
      <c r="E327" s="467">
        <v>26547</v>
      </c>
      <c r="F327" s="467">
        <v>0</v>
      </c>
      <c r="G327" s="467">
        <v>0</v>
      </c>
      <c r="H327" s="467">
        <v>0</v>
      </c>
      <c r="I327" s="467">
        <v>0</v>
      </c>
      <c r="J327" s="467">
        <v>0</v>
      </c>
      <c r="K327" s="1686">
        <f t="shared" si="24"/>
        <v>26547</v>
      </c>
      <c r="L327" s="467">
        <v>185000</v>
      </c>
      <c r="M327" s="665"/>
      <c r="N327" s="665"/>
    </row>
    <row r="328" spans="1:14" s="674" customFormat="1" x14ac:dyDescent="0.2">
      <c r="A328" s="1539" t="s">
        <v>491</v>
      </c>
      <c r="B328" s="690" t="s">
        <v>1193</v>
      </c>
      <c r="C328" s="467">
        <v>0</v>
      </c>
      <c r="D328" s="467">
        <v>0</v>
      </c>
      <c r="E328" s="467">
        <v>0</v>
      </c>
      <c r="F328" s="467">
        <v>0</v>
      </c>
      <c r="G328" s="467">
        <v>0</v>
      </c>
      <c r="H328" s="467">
        <v>0</v>
      </c>
      <c r="I328" s="467">
        <v>0</v>
      </c>
      <c r="J328" s="467">
        <v>0</v>
      </c>
      <c r="K328" s="1714">
        <f>SUM(C328:J328)</f>
        <v>0</v>
      </c>
      <c r="L328" s="474">
        <v>0</v>
      </c>
      <c r="M328" s="665"/>
      <c r="N328" s="665"/>
    </row>
    <row r="329" spans="1:14" s="674" customFormat="1" x14ac:dyDescent="0.2">
      <c r="A329" s="1539" t="s">
        <v>1194</v>
      </c>
      <c r="B329" s="690" t="s">
        <v>1195</v>
      </c>
      <c r="C329" s="467">
        <v>0</v>
      </c>
      <c r="D329" s="467">
        <v>0</v>
      </c>
      <c r="E329" s="467">
        <v>0</v>
      </c>
      <c r="F329" s="467">
        <v>0</v>
      </c>
      <c r="G329" s="467">
        <v>0</v>
      </c>
      <c r="H329" s="467">
        <v>0</v>
      </c>
      <c r="I329" s="467">
        <v>0</v>
      </c>
      <c r="J329" s="467">
        <v>0</v>
      </c>
      <c r="K329" s="1714">
        <f>SUM(C329:J329)</f>
        <v>0</v>
      </c>
      <c r="L329" s="474">
        <v>0</v>
      </c>
      <c r="M329" s="665"/>
      <c r="N329" s="665"/>
    </row>
    <row r="330" spans="1:14" s="674" customFormat="1" ht="12.75" customHeight="1" thickBot="1" x14ac:dyDescent="0.25">
      <c r="A330" s="1715" t="s">
        <v>740</v>
      </c>
      <c r="B330" s="1684" t="s">
        <v>589</v>
      </c>
      <c r="C330" s="1685">
        <f>SUM(C319:C329)</f>
        <v>399679</v>
      </c>
      <c r="D330" s="1685">
        <f t="shared" ref="D330:J330" si="25">SUM(D319:D329)</f>
        <v>0</v>
      </c>
      <c r="E330" s="1685">
        <f t="shared" si="25"/>
        <v>325779</v>
      </c>
      <c r="F330" s="1685">
        <f t="shared" si="25"/>
        <v>8169</v>
      </c>
      <c r="G330" s="1685">
        <f t="shared" si="25"/>
        <v>171199</v>
      </c>
      <c r="H330" s="1685">
        <f t="shared" si="25"/>
        <v>0</v>
      </c>
      <c r="I330" s="1685">
        <f t="shared" si="25"/>
        <v>0</v>
      </c>
      <c r="J330" s="1685">
        <f t="shared" si="25"/>
        <v>0</v>
      </c>
      <c r="K330" s="1685">
        <f>SUM(K319:K329)</f>
        <v>904826</v>
      </c>
      <c r="L330" s="1685">
        <f>SUM(L319:L329)</f>
        <v>1159500</v>
      </c>
      <c r="M330" s="665"/>
      <c r="N330" s="665"/>
    </row>
    <row r="331" spans="1:14" s="674" customFormat="1" ht="12.75" customHeight="1" thickTop="1" x14ac:dyDescent="0.2">
      <c r="A331" s="1847" t="s">
        <v>1959</v>
      </c>
      <c r="B331" s="647" t="s">
        <v>914</v>
      </c>
      <c r="C331" s="1849"/>
      <c r="D331" s="1849"/>
      <c r="E331" s="1849"/>
      <c r="F331" s="1849"/>
      <c r="G331" s="1849"/>
      <c r="H331" s="1849"/>
      <c r="I331" s="1849"/>
      <c r="J331" s="1849"/>
      <c r="K331" s="1849"/>
      <c r="L331" s="1849"/>
      <c r="M331" s="665"/>
      <c r="N331" s="665"/>
    </row>
    <row r="332" spans="1:14" s="674" customFormat="1" ht="12.75" customHeight="1" x14ac:dyDescent="0.2">
      <c r="A332" s="1848" t="s">
        <v>516</v>
      </c>
      <c r="B332" s="1843" t="s">
        <v>1953</v>
      </c>
      <c r="C332" s="1849"/>
      <c r="D332" s="1849"/>
      <c r="E332" s="1849"/>
      <c r="F332" s="1849"/>
      <c r="G332" s="1849"/>
      <c r="H332" s="467" t="s">
        <v>1230</v>
      </c>
      <c r="I332" s="1849"/>
      <c r="J332" s="1849"/>
      <c r="K332" s="1686" t="str">
        <f>H332</f>
        <v xml:space="preserve"> </v>
      </c>
      <c r="L332" s="467">
        <v>0</v>
      </c>
      <c r="M332" s="665"/>
      <c r="N332" s="665"/>
    </row>
    <row r="333" spans="1:14" s="674" customFormat="1" ht="12.75" customHeight="1" x14ac:dyDescent="0.2">
      <c r="A333" s="1848" t="s">
        <v>321</v>
      </c>
      <c r="B333" s="1843" t="s">
        <v>1955</v>
      </c>
      <c r="C333" s="1849"/>
      <c r="D333" s="1849"/>
      <c r="E333" s="1849"/>
      <c r="F333" s="1849"/>
      <c r="G333" s="1849"/>
      <c r="H333" s="467" t="s">
        <v>1230</v>
      </c>
      <c r="I333" s="1849"/>
      <c r="J333" s="1849"/>
      <c r="K333" s="1686" t="str">
        <f>H333</f>
        <v xml:space="preserve"> </v>
      </c>
      <c r="L333" s="467">
        <v>0</v>
      </c>
      <c r="M333" s="665"/>
      <c r="N333" s="665"/>
    </row>
    <row r="334" spans="1:14" s="674" customFormat="1" ht="12.75" customHeight="1" thickBot="1" x14ac:dyDescent="0.25">
      <c r="A334" s="1848" t="s">
        <v>1960</v>
      </c>
      <c r="B334" s="1843" t="s">
        <v>914</v>
      </c>
      <c r="C334" s="1849"/>
      <c r="D334" s="1849"/>
      <c r="E334" s="1849"/>
      <c r="F334" s="1849"/>
      <c r="G334" s="1849"/>
      <c r="H334" s="1685">
        <f>SUM(H332:H333)</f>
        <v>0</v>
      </c>
      <c r="I334" s="1849"/>
      <c r="J334" s="1849"/>
      <c r="K334" s="1685">
        <f>SUM(K332:K333)</f>
        <v>0</v>
      </c>
      <c r="L334" s="1685">
        <f>SUM(L332:L333)</f>
        <v>0</v>
      </c>
      <c r="M334" s="665"/>
      <c r="N334" s="665"/>
    </row>
    <row r="335" spans="1:14" ht="15.75" customHeight="1" thickTop="1" x14ac:dyDescent="0.2">
      <c r="A335" s="1635" t="s">
        <v>954</v>
      </c>
      <c r="B335" s="1626" t="s">
        <v>512</v>
      </c>
      <c r="C335" s="617"/>
      <c r="D335" s="617"/>
      <c r="E335" s="617"/>
      <c r="F335" s="617"/>
      <c r="G335" s="617"/>
      <c r="H335" s="617"/>
      <c r="I335" s="617"/>
      <c r="J335" s="617"/>
      <c r="K335" s="617"/>
      <c r="L335" s="617"/>
    </row>
    <row r="336" spans="1:14" ht="15.75" customHeight="1" x14ac:dyDescent="0.2">
      <c r="A336" s="653" t="s">
        <v>635</v>
      </c>
      <c r="B336" s="623"/>
      <c r="C336" s="617"/>
      <c r="D336" s="617"/>
      <c r="E336" s="617"/>
      <c r="F336" s="617"/>
      <c r="G336" s="617"/>
      <c r="H336" s="624"/>
      <c r="I336" s="617"/>
      <c r="J336" s="617"/>
      <c r="K336" s="624"/>
      <c r="L336" s="624"/>
    </row>
    <row r="337" spans="1:14" x14ac:dyDescent="0.2">
      <c r="A337" s="1537" t="s">
        <v>89</v>
      </c>
      <c r="B337" s="690" t="s">
        <v>955</v>
      </c>
      <c r="C337" s="638"/>
      <c r="D337" s="638"/>
      <c r="E337" s="638"/>
      <c r="F337" s="638"/>
      <c r="G337" s="638"/>
      <c r="H337" s="478">
        <v>0</v>
      </c>
      <c r="I337" s="638"/>
      <c r="J337" s="638"/>
      <c r="K337" s="1686">
        <f>H337</f>
        <v>0</v>
      </c>
      <c r="L337" s="478">
        <v>0</v>
      </c>
    </row>
    <row r="338" spans="1:14" ht="12.75" customHeight="1" x14ac:dyDescent="0.2">
      <c r="A338" s="1537" t="s">
        <v>1231</v>
      </c>
      <c r="B338" s="690" t="s">
        <v>637</v>
      </c>
      <c r="C338" s="638"/>
      <c r="D338" s="638"/>
      <c r="E338" s="638"/>
      <c r="F338" s="638"/>
      <c r="G338" s="638"/>
      <c r="H338" s="478">
        <v>0</v>
      </c>
      <c r="I338" s="638"/>
      <c r="J338" s="638"/>
      <c r="K338" s="1686">
        <f>H338</f>
        <v>0</v>
      </c>
      <c r="L338" s="478">
        <v>0</v>
      </c>
    </row>
    <row r="339" spans="1:14" x14ac:dyDescent="0.2">
      <c r="A339" s="1523" t="s">
        <v>956</v>
      </c>
      <c r="B339" s="629">
        <v>5150</v>
      </c>
      <c r="C339" s="638"/>
      <c r="D339" s="638"/>
      <c r="E339" s="638"/>
      <c r="F339" s="638"/>
      <c r="G339" s="638"/>
      <c r="H339" s="467">
        <v>0</v>
      </c>
      <c r="I339" s="638"/>
      <c r="J339" s="638"/>
      <c r="K339" s="1686">
        <f>H339</f>
        <v>0</v>
      </c>
      <c r="L339" s="467">
        <v>0</v>
      </c>
    </row>
    <row r="340" spans="1:14" ht="13.5" thickBot="1" x14ac:dyDescent="0.25">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8" t="s">
        <v>958</v>
      </c>
      <c r="B341" s="1630" t="s">
        <v>915</v>
      </c>
      <c r="C341" s="617"/>
      <c r="D341" s="617"/>
      <c r="E341" s="477"/>
      <c r="F341" s="468"/>
      <c r="G341" s="468"/>
      <c r="H341" s="477"/>
      <c r="I341" s="477"/>
      <c r="J341" s="468"/>
      <c r="K341" s="477"/>
      <c r="L341" s="576">
        <v>0</v>
      </c>
    </row>
    <row r="342" spans="1:14" ht="12.75" customHeight="1" thickTop="1" thickBot="1" x14ac:dyDescent="0.25">
      <c r="A342" s="1701" t="s">
        <v>525</v>
      </c>
      <c r="B342" s="1716"/>
      <c r="C342" s="1685">
        <f>SUM(C330)</f>
        <v>399679</v>
      </c>
      <c r="D342" s="1685">
        <f>SUM(D330)</f>
        <v>0</v>
      </c>
      <c r="E342" s="1685">
        <f>SUM(E330)</f>
        <v>325779</v>
      </c>
      <c r="F342" s="1685">
        <f>SUM(F330)</f>
        <v>8169</v>
      </c>
      <c r="G342" s="1685">
        <f>SUM(G330)</f>
        <v>171199</v>
      </c>
      <c r="H342" s="1685">
        <f>SUM(H330,H334,H340)</f>
        <v>0</v>
      </c>
      <c r="I342" s="1685">
        <f>SUM(I330)</f>
        <v>0</v>
      </c>
      <c r="J342" s="1685">
        <f>SUM(J330)</f>
        <v>0</v>
      </c>
      <c r="K342" s="1685">
        <f>SUM(K330,K334,K340)</f>
        <v>904826</v>
      </c>
      <c r="L342" s="1692">
        <f>SUM(L330,L340,L341)</f>
        <v>1159500</v>
      </c>
    </row>
    <row r="343" spans="1:14" ht="12.75" customHeight="1" thickTop="1" x14ac:dyDescent="0.2">
      <c r="A343" s="2190" t="s">
        <v>1052</v>
      </c>
      <c r="B343" s="2191"/>
      <c r="C343" s="617"/>
      <c r="D343" s="617"/>
      <c r="E343" s="617"/>
      <c r="F343" s="617"/>
      <c r="G343" s="617"/>
      <c r="H343" s="617"/>
      <c r="I343" s="617"/>
      <c r="J343" s="617"/>
      <c r="K343" s="1699">
        <f>'Revenues 9-14'!J275-'Expenditures 15-22'!K342</f>
        <v>18889</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0" t="s">
        <v>1022</v>
      </c>
      <c r="B345" s="2181"/>
      <c r="C345" s="1570"/>
      <c r="D345" s="1571"/>
      <c r="E345" s="1571"/>
      <c r="F345" s="1571"/>
      <c r="G345" s="1571"/>
      <c r="H345" s="1571"/>
      <c r="I345" s="1571"/>
      <c r="J345" s="1571"/>
      <c r="K345" s="1571"/>
      <c r="L345" s="1572"/>
      <c r="M345" s="667"/>
      <c r="N345" s="667"/>
    </row>
    <row r="346" spans="1:14" s="343" customFormat="1" ht="15.75" customHeight="1" x14ac:dyDescent="0.2">
      <c r="A346" s="1642" t="s">
        <v>898</v>
      </c>
      <c r="B346" s="1634" t="s">
        <v>589</v>
      </c>
      <c r="C346" s="617"/>
      <c r="D346" s="617"/>
      <c r="E346" s="617"/>
      <c r="F346" s="617"/>
      <c r="G346" s="617"/>
      <c r="H346" s="617"/>
      <c r="I346" s="617"/>
      <c r="J346" s="617"/>
      <c r="K346" s="617"/>
      <c r="L346" s="617"/>
      <c r="M346" s="610"/>
      <c r="N346" s="610"/>
    </row>
    <row r="347" spans="1:14" ht="15.75" customHeight="1" x14ac:dyDescent="0.2">
      <c r="A347" s="699" t="s">
        <v>632</v>
      </c>
      <c r="B347" s="700"/>
      <c r="C347" s="624"/>
      <c r="D347" s="624"/>
      <c r="E347" s="624"/>
      <c r="F347" s="624"/>
      <c r="G347" s="624"/>
      <c r="H347" s="624"/>
      <c r="I347" s="617"/>
      <c r="J347" s="617"/>
      <c r="K347" s="624"/>
      <c r="L347" s="624"/>
    </row>
    <row r="348" spans="1:14" x14ac:dyDescent="0.2">
      <c r="A348" s="1523" t="s">
        <v>4</v>
      </c>
      <c r="B348" s="615">
        <v>2530</v>
      </c>
      <c r="C348" s="466">
        <v>758</v>
      </c>
      <c r="D348" s="466">
        <v>28</v>
      </c>
      <c r="E348" s="466">
        <v>37536</v>
      </c>
      <c r="F348" s="466">
        <v>4012</v>
      </c>
      <c r="G348" s="466">
        <v>339983</v>
      </c>
      <c r="H348" s="466">
        <v>0</v>
      </c>
      <c r="I348" s="466">
        <v>0</v>
      </c>
      <c r="J348" s="466">
        <v>0</v>
      </c>
      <c r="K348" s="1686">
        <f>SUM(C348:J348)</f>
        <v>382317</v>
      </c>
      <c r="L348" s="466">
        <v>400000</v>
      </c>
    </row>
    <row r="349" spans="1:14" x14ac:dyDescent="0.2">
      <c r="A349" s="1523" t="s">
        <v>206</v>
      </c>
      <c r="B349" s="615">
        <v>2540</v>
      </c>
      <c r="C349" s="466">
        <v>0</v>
      </c>
      <c r="D349" s="466">
        <v>0</v>
      </c>
      <c r="E349" s="466">
        <v>0</v>
      </c>
      <c r="F349" s="466">
        <v>0</v>
      </c>
      <c r="G349" s="466">
        <v>0</v>
      </c>
      <c r="H349" s="466">
        <v>0</v>
      </c>
      <c r="I349" s="466">
        <v>0</v>
      </c>
      <c r="J349" s="466">
        <v>0</v>
      </c>
      <c r="K349" s="1686">
        <f>SUM(C349:J349)</f>
        <v>0</v>
      </c>
      <c r="L349" s="466">
        <v>0</v>
      </c>
    </row>
    <row r="350" spans="1:14" ht="12.75" customHeight="1" thickBot="1" x14ac:dyDescent="0.25">
      <c r="A350" s="1683" t="s">
        <v>742</v>
      </c>
      <c r="B350" s="1684" t="s">
        <v>35</v>
      </c>
      <c r="C350" s="1685">
        <f>SUM(C348:C349)</f>
        <v>758</v>
      </c>
      <c r="D350" s="1685">
        <f t="shared" ref="D350:L350" si="26">SUM(D348:D349)</f>
        <v>28</v>
      </c>
      <c r="E350" s="1685">
        <f t="shared" si="26"/>
        <v>37536</v>
      </c>
      <c r="F350" s="1685">
        <f t="shared" si="26"/>
        <v>4012</v>
      </c>
      <c r="G350" s="1685">
        <f t="shared" si="26"/>
        <v>339983</v>
      </c>
      <c r="H350" s="1685">
        <f t="shared" si="26"/>
        <v>0</v>
      </c>
      <c r="I350" s="1685">
        <f t="shared" si="26"/>
        <v>0</v>
      </c>
      <c r="J350" s="1685">
        <f t="shared" si="26"/>
        <v>0</v>
      </c>
      <c r="K350" s="1685">
        <f t="shared" si="26"/>
        <v>382317</v>
      </c>
      <c r="L350" s="1685">
        <f t="shared" si="26"/>
        <v>400000</v>
      </c>
    </row>
    <row r="351" spans="1:14" ht="12.75" customHeight="1" thickTop="1" x14ac:dyDescent="0.2">
      <c r="A351" s="1529" t="s">
        <v>1036</v>
      </c>
      <c r="B351" s="643" t="s">
        <v>594</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3" t="s">
        <v>644</v>
      </c>
      <c r="B352" s="1690" t="s">
        <v>589</v>
      </c>
      <c r="C352" s="1685">
        <f>SUM(C350:C351)</f>
        <v>758</v>
      </c>
      <c r="D352" s="1685">
        <f t="shared" ref="D352:L352" si="27">SUM(D350:D351)</f>
        <v>28</v>
      </c>
      <c r="E352" s="1685">
        <f t="shared" si="27"/>
        <v>37536</v>
      </c>
      <c r="F352" s="1685">
        <f t="shared" si="27"/>
        <v>4012</v>
      </c>
      <c r="G352" s="1685">
        <f t="shared" si="27"/>
        <v>339983</v>
      </c>
      <c r="H352" s="1685">
        <f t="shared" si="27"/>
        <v>0</v>
      </c>
      <c r="I352" s="1685">
        <f t="shared" si="27"/>
        <v>0</v>
      </c>
      <c r="J352" s="1685">
        <f t="shared" si="27"/>
        <v>0</v>
      </c>
      <c r="K352" s="1685">
        <f t="shared" si="27"/>
        <v>382317</v>
      </c>
      <c r="L352" s="1685">
        <f t="shared" si="27"/>
        <v>400000</v>
      </c>
    </row>
    <row r="353" spans="1:14" s="343" customFormat="1" ht="15.75" customHeight="1" thickTop="1" x14ac:dyDescent="0.2">
      <c r="A353" s="1631" t="s">
        <v>645</v>
      </c>
      <c r="B353" s="1628" t="s">
        <v>914</v>
      </c>
      <c r="C353" s="617"/>
      <c r="D353" s="617"/>
      <c r="E353" s="617"/>
      <c r="F353" s="617"/>
      <c r="G353" s="617"/>
      <c r="H353" s="617"/>
      <c r="I353" s="617"/>
      <c r="J353" s="617"/>
      <c r="K353" s="617"/>
      <c r="L353" s="617"/>
      <c r="M353" s="610"/>
      <c r="N353" s="610"/>
    </row>
    <row r="354" spans="1:14" x14ac:dyDescent="0.2">
      <c r="A354" s="1850" t="s">
        <v>1961</v>
      </c>
      <c r="B354" s="683" t="s">
        <v>1953</v>
      </c>
      <c r="C354" s="617"/>
      <c r="D354" s="617"/>
      <c r="E354" s="617"/>
      <c r="F354" s="617"/>
      <c r="G354" s="617"/>
      <c r="H354" s="474" t="s">
        <v>1230</v>
      </c>
      <c r="I354" s="701"/>
      <c r="J354" s="617"/>
      <c r="K354" s="1714" t="str">
        <f>H354</f>
        <v xml:space="preserve"> </v>
      </c>
      <c r="L354" s="471">
        <v>0</v>
      </c>
    </row>
    <row r="355" spans="1:14" ht="12.75" customHeight="1" x14ac:dyDescent="0.2">
      <c r="A355" s="1532" t="s">
        <v>1962</v>
      </c>
      <c r="B355" s="690" t="s">
        <v>1955</v>
      </c>
      <c r="C355" s="617"/>
      <c r="D355" s="617"/>
      <c r="E355" s="617"/>
      <c r="F355" s="617"/>
      <c r="G355" s="617"/>
      <c r="H355" s="467" t="s">
        <v>1230</v>
      </c>
      <c r="I355" s="701"/>
      <c r="J355" s="617"/>
      <c r="K355" s="1758" t="str">
        <f>H355</f>
        <v xml:space="preserve"> </v>
      </c>
      <c r="L355" s="467">
        <v>0</v>
      </c>
    </row>
    <row r="356" spans="1:14" ht="12.75" customHeight="1" x14ac:dyDescent="0.2">
      <c r="A356" s="1850" t="s">
        <v>721</v>
      </c>
      <c r="B356" s="683" t="s">
        <v>578</v>
      </c>
      <c r="C356" s="617"/>
      <c r="D356" s="617"/>
      <c r="E356" s="617"/>
      <c r="F356" s="617"/>
      <c r="G356" s="617"/>
      <c r="H356" s="479">
        <v>0</v>
      </c>
      <c r="I356" s="701"/>
      <c r="J356" s="617"/>
      <c r="K356" s="1755">
        <f>H356</f>
        <v>0</v>
      </c>
      <c r="L356" s="479">
        <v>0</v>
      </c>
    </row>
    <row r="357" spans="1:14" ht="12.75" customHeight="1" thickBot="1" x14ac:dyDescent="0.25">
      <c r="A357" s="1683" t="s">
        <v>1566</v>
      </c>
      <c r="B357" s="1684" t="s">
        <v>914</v>
      </c>
      <c r="C357" s="617"/>
      <c r="D357" s="617"/>
      <c r="E357" s="617"/>
      <c r="F357" s="617"/>
      <c r="G357" s="617"/>
      <c r="H357" s="1703">
        <f>SUM(H354:H356)</f>
        <v>0</v>
      </c>
      <c r="I357" s="701"/>
      <c r="J357" s="617"/>
      <c r="K357" s="1703">
        <f>SUM(K354:K356)</f>
        <v>0</v>
      </c>
      <c r="L357" s="1703">
        <f>SUM(L354:L356)</f>
        <v>0</v>
      </c>
    </row>
    <row r="358" spans="1:14" s="343" customFormat="1" ht="15.75" customHeight="1" thickTop="1" x14ac:dyDescent="0.2">
      <c r="A358" s="1631" t="s">
        <v>1004</v>
      </c>
      <c r="B358" s="1628" t="s">
        <v>512</v>
      </c>
      <c r="C358" s="617"/>
      <c r="D358" s="617"/>
      <c r="E358" s="617"/>
      <c r="F358" s="617"/>
      <c r="G358" s="617"/>
      <c r="H358" s="617"/>
      <c r="I358" s="617"/>
      <c r="J358" s="617"/>
      <c r="K358" s="617"/>
      <c r="L358" s="617"/>
      <c r="M358" s="610"/>
      <c r="N358" s="610"/>
    </row>
    <row r="359" spans="1:14" s="343" customFormat="1" ht="15.75" customHeight="1" x14ac:dyDescent="0.2">
      <c r="A359" s="653" t="s">
        <v>647</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v>0</v>
      </c>
      <c r="I360" s="617"/>
      <c r="J360" s="617"/>
      <c r="K360" s="1686">
        <f>SUM(C360:J360)</f>
        <v>0</v>
      </c>
      <c r="L360" s="466">
        <v>0</v>
      </c>
    </row>
    <row r="361" spans="1:14" ht="12.75" customHeight="1" x14ac:dyDescent="0.2">
      <c r="A361" s="1524" t="s">
        <v>639</v>
      </c>
      <c r="B361" s="603" t="s">
        <v>638</v>
      </c>
      <c r="C361" s="617"/>
      <c r="D361" s="617"/>
      <c r="E361" s="617"/>
      <c r="F361" s="617"/>
      <c r="G361" s="617"/>
      <c r="H361" s="467">
        <v>0</v>
      </c>
      <c r="I361" s="617"/>
      <c r="J361" s="617"/>
      <c r="K361" s="1686">
        <f>SUM(C361:J361)</f>
        <v>0</v>
      </c>
      <c r="L361" s="466">
        <v>0</v>
      </c>
    </row>
    <row r="362" spans="1:14" ht="12.75" customHeight="1" thickBot="1" x14ac:dyDescent="0.25">
      <c r="A362" s="1683" t="s">
        <v>646</v>
      </c>
      <c r="B362" s="1684" t="s">
        <v>741</v>
      </c>
      <c r="C362" s="617"/>
      <c r="D362" s="617"/>
      <c r="E362" s="617"/>
      <c r="F362" s="617"/>
      <c r="G362" s="617"/>
      <c r="H362" s="1718">
        <f>SUM(H360:H361)</f>
        <v>0</v>
      </c>
      <c r="I362" s="617"/>
      <c r="J362" s="617"/>
      <c r="K362" s="1718">
        <f>SUM(K360:K361)</f>
        <v>0</v>
      </c>
      <c r="L362" s="1718">
        <f>SUM(L360:L361)</f>
        <v>0</v>
      </c>
    </row>
    <row r="363" spans="1:14" s="674" customFormat="1" ht="15.75" customHeight="1" thickTop="1" x14ac:dyDescent="0.2">
      <c r="A363" s="660" t="s">
        <v>85</v>
      </c>
      <c r="B363" s="661" t="s">
        <v>38</v>
      </c>
      <c r="C363" s="638"/>
      <c r="D363" s="638"/>
      <c r="E363" s="638"/>
      <c r="F363" s="638"/>
      <c r="G363" s="638"/>
      <c r="H363" s="479">
        <v>0</v>
      </c>
      <c r="I363" s="638"/>
      <c r="J363" s="638"/>
      <c r="K363" s="1714">
        <f>SUM(C363:J363)</f>
        <v>0</v>
      </c>
      <c r="L363" s="479">
        <v>0</v>
      </c>
      <c r="M363" s="665"/>
      <c r="N363" s="665"/>
    </row>
    <row r="364" spans="1:14" s="708" customFormat="1" ht="29.25" customHeight="1" x14ac:dyDescent="0.2">
      <c r="A364" s="702" t="s">
        <v>1770</v>
      </c>
      <c r="B364" s="703">
        <v>5300</v>
      </c>
      <c r="C364" s="704"/>
      <c r="D364" s="705"/>
      <c r="E364" s="705"/>
      <c r="F364" s="704"/>
      <c r="G364" s="705"/>
      <c r="H364" s="706">
        <v>0</v>
      </c>
      <c r="I364" s="705"/>
      <c r="J364" s="705"/>
      <c r="K364" s="1686">
        <f>SUM(C364:J364)</f>
        <v>0</v>
      </c>
      <c r="L364" s="707">
        <v>0</v>
      </c>
    </row>
    <row r="365" spans="1:14" s="674" customFormat="1" ht="12.75" customHeight="1" thickBot="1" x14ac:dyDescent="0.25">
      <c r="A365" s="1540" t="s">
        <v>610</v>
      </c>
      <c r="B365" s="659" t="s">
        <v>512</v>
      </c>
      <c r="C365" s="638"/>
      <c r="D365" s="638"/>
      <c r="E365" s="638"/>
      <c r="F365" s="638"/>
      <c r="G365" s="638"/>
      <c r="H365" s="1718">
        <f>SUM(H362,H363,H364)</f>
        <v>0</v>
      </c>
      <c r="I365" s="638"/>
      <c r="J365" s="638"/>
      <c r="K365" s="1718">
        <f>SUM(K362,K363,K364)</f>
        <v>0</v>
      </c>
      <c r="L365" s="1718">
        <f>SUM(L362,L363,L364)</f>
        <v>0</v>
      </c>
      <c r="M365" s="665"/>
      <c r="N365" s="665"/>
    </row>
    <row r="366" spans="1:14" s="343" customFormat="1" ht="15.75" customHeight="1" thickTop="1" thickBot="1" x14ac:dyDescent="0.25">
      <c r="A366" s="1625" t="s">
        <v>1005</v>
      </c>
      <c r="B366" s="1632" t="s">
        <v>915</v>
      </c>
      <c r="C366" s="624"/>
      <c r="D366" s="624"/>
      <c r="E366" s="624"/>
      <c r="F366" s="624"/>
      <c r="G366" s="624"/>
      <c r="H366" s="624"/>
      <c r="I366" s="624"/>
      <c r="J366" s="617"/>
      <c r="K366" s="624"/>
      <c r="L366" s="573">
        <v>0</v>
      </c>
      <c r="M366" s="610"/>
      <c r="N366" s="610"/>
    </row>
    <row r="367" spans="1:14" ht="12.75" customHeight="1" thickTop="1" thickBot="1" x14ac:dyDescent="0.25">
      <c r="A367" s="1707" t="s">
        <v>525</v>
      </c>
      <c r="B367" s="1719"/>
      <c r="C367" s="1685">
        <f t="shared" ref="C367:L367" si="28">SUM(C352,C357,C365,C366)</f>
        <v>758</v>
      </c>
      <c r="D367" s="1685">
        <f t="shared" si="28"/>
        <v>28</v>
      </c>
      <c r="E367" s="1685">
        <f t="shared" si="28"/>
        <v>37536</v>
      </c>
      <c r="F367" s="1685">
        <f t="shared" si="28"/>
        <v>4012</v>
      </c>
      <c r="G367" s="1685">
        <f t="shared" si="28"/>
        <v>339983</v>
      </c>
      <c r="H367" s="1685">
        <f t="shared" si="28"/>
        <v>0</v>
      </c>
      <c r="I367" s="1685">
        <f t="shared" si="28"/>
        <v>0</v>
      </c>
      <c r="J367" s="1685">
        <f t="shared" si="28"/>
        <v>0</v>
      </c>
      <c r="K367" s="1685">
        <f t="shared" si="28"/>
        <v>382317</v>
      </c>
      <c r="L367" s="1685">
        <f t="shared" si="28"/>
        <v>400000</v>
      </c>
    </row>
    <row r="368" spans="1:14" ht="13.5" thickTop="1" x14ac:dyDescent="0.2">
      <c r="A368" s="2177" t="s">
        <v>1052</v>
      </c>
      <c r="B368" s="2178"/>
      <c r="C368" s="654"/>
      <c r="D368" s="654"/>
      <c r="E368" s="627"/>
      <c r="F368" s="627"/>
      <c r="G368" s="627"/>
      <c r="H368" s="627"/>
      <c r="I368" s="627"/>
      <c r="J368" s="624"/>
      <c r="K368" s="1686">
        <f>'Revenues 9-14'!K275-'Expenditures 15-22'!K367</f>
        <v>-243868</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25"/>
  <pageSetup scale="70"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4d435f69-8686-490b-bd6d-b153bf22ab50"/>
    <ds:schemaRef ds:uri="http://purl.org/dc/terms/"/>
    <ds:schemaRef ds:uri="http://purl.org/dc/elements/1.1/"/>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d21dc803-237d-4c68-8692-8d731fd29118"/>
    <ds:schemaRef ds:uri="http://schemas.microsoft.com/office/2006/metadata/properties"/>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2018-10-18T16:02:42Z</cp:lastPrinted>
  <dcterms:created xsi:type="dcterms:W3CDTF">2003-10-29T19:06:34Z</dcterms:created>
  <dcterms:modified xsi:type="dcterms:W3CDTF">2018-10-29T16:16:32Z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