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4"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E23" i="181"/>
  <c r="F23" i="181" s="1"/>
  <c r="G23" i="181" s="1"/>
  <c r="E22" i="181"/>
  <c r="F22" i="181" s="1"/>
  <c r="G22" i="181" s="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c r="B2" i="179" l="1"/>
  <c r="B2" i="184"/>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0" i="127"/>
  <c r="B71"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33" i="118"/>
  <c r="D22" i="37"/>
  <c r="H22" i="37"/>
  <c r="J22" i="37"/>
  <c r="L22" i="37"/>
  <c r="D24" i="37"/>
  <c r="B4270" i="106" s="1"/>
  <c r="D4270" i="106" s="1"/>
  <c r="L5" i="11"/>
  <c r="B2056" i="106" s="1"/>
  <c r="D2056" i="106" s="1"/>
  <c r="L15" i="11" l="1"/>
  <c r="B3459" i="106" s="1"/>
  <c r="D3459" i="106" s="1"/>
  <c r="K28" i="118"/>
  <c r="O27" i="118" s="1"/>
  <c r="O29" i="118" s="1"/>
  <c r="D11" i="37"/>
  <c r="B4268" i="106"/>
  <c r="D4268" i="106" s="1"/>
  <c r="D31" i="36"/>
  <c r="F19" i="7"/>
  <c r="B1807" i="106" s="1"/>
  <c r="D1807" i="106" s="1"/>
  <c r="K24" i="12"/>
  <c r="N22" i="3"/>
  <c r="B283" i="106" s="1"/>
  <c r="D283" i="106" s="1"/>
  <c r="D54" i="36"/>
  <c r="D69" i="36"/>
  <c r="D68" i="36"/>
  <c r="L13" i="11"/>
  <c r="B2060" i="106" s="1"/>
  <c r="D2060" i="106" s="1"/>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B7733" i="106" l="1"/>
  <c r="D7733" i="106" s="1"/>
  <c r="K26" i="12"/>
  <c r="B7743" i="106" s="1"/>
  <c r="D7743" i="106" s="1"/>
  <c r="L16" i="11"/>
  <c r="B2061" i="106" s="1"/>
  <c r="D2061" i="106" s="1"/>
  <c r="B2031" i="106"/>
  <c r="D203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l="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<sst xmlns="http://schemas.openxmlformats.org/spreadsheetml/2006/main" count="5150" uniqueCount="2152">
  <si>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</si>
  <si>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</si>
  <si>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</si>
  <si>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</si>
  <si>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</si>
  <si>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</si>
  <si>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</si>
  <si>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</si>
  <si>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</si>
  <si>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</si>
  <si>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</si>
  <si>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</si>
  <si>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</si>
  <si>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</si>
  <si>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</si>
  <si>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</si>
  <si>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</si>
  <si>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</si>
  <si>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</si>
  <si>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</si>
  <si>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</si>
  <si>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</si>
  <si>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</si>
  <si>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</si>
  <si>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</si>
  <si>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</si>
  <si>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</si>
  <si>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</si>
  <si>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</si>
  <si>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</si>
  <si>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</si>
  <si>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</si>
  <si>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</si>
  <si>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</si>
  <si>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</si>
  <si>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</si>
  <si>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</si>
  <si>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</si>
  <si>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</si>
  <si>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</si>
  <si>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</si>
  <si>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</si>
  <si>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</si>
  <si>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</si>
  <si>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</si>
  <si>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</si>
  <si>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</si>
  <si>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</si>
  <si>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</si>
  <si>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</si>
  <si>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</si>
  <si>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</si>
  <si>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</si>
  <si>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</si>
  <si>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</si>
  <si>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</si>
  <si>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</si>
  <si>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</si>
  <si>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</si>
  <si>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</si>
  <si>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</si>
  <si>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</si>
  <si>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</si>
  <si>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</si>
  <si>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</si>
  <si>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</si>
  <si>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</si>
  <si>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</si>
  <si>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</si>
  <si>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</si>
  <si>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</si>
  <si>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</si>
  <si>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</si>
  <si>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</si>
  <si>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</si>
  <si>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</si>
  <si>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</si>
  <si>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</si>
  <si>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</si>
  <si>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</si>
  <si>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</si>
  <si>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</si>
  <si>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</si>
  <si>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</si>
  <si>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</si>
  <si>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</si>
  <si>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</si>
  <si>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</si>
  <si>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</si>
  <si>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</si>
  <si>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</si>
  <si>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</si>
  <si>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</si>
  <si>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</si>
  <si>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</si>
  <si>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</si>
  <si>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</si>
  <si>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</si>
  <si>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</si>
  <si>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</si>
  <si>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</si>
  <si>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</si>
  <si>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</si>
  <si>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</si>
  <si>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</si>
  <si>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</si>
  <si>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</si>
  <si>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</si>
  <si>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</si>
  <si>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</si>
  <si>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</si>
  <si>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</si>
  <si>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</si>
  <si>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</si>
  <si>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</si>
  <si>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</si>
  <si>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</si>
  <si>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</si>
  <si>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</si>
  <si>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</si>
  <si>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</si>
  <si>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</si>
  <si>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</si>
  <si>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</si>
  <si>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</si>
  <si>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</si>
  <si>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</si>
  <si>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</si>
  <si>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</si>
  <si>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</si>
  <si>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</si>
  <si>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</si>
  <si>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</si>
  <si>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</si>
  <si>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</si>
  <si>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</si>
  <si>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</si>
  <si>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</si>
  <si>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</si>
  <si>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</si>
  <si>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</si>
  <si>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</si>
  <si>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</si>
  <si>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</si>
  <si>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</si>
  <si>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</si>
  <si>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</si>
  <si>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</si>
  <si>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</si>
  <si>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</si>
  <si>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</si>
  <si>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</si>
  <si>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</si>
  <si>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</si>
  <si>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</si>
  <si>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</si>
  <si>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</si>
  <si>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</si>
  <si>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</si>
  <si>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</si>
  <si>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</si>
  <si>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</si>
  <si>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</si>
  <si>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</si>
  <si>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</si>
  <si>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</si>
  <si>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</si>
  <si>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</si>
  <si>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</si>
  <si>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</si>
  <si>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</si>
  <si>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</si>
  <si>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</si>
  <si>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</si>
  <si>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</si>
  <si>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</si>
  <si>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</si>
  <si>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</si>
  <si>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</si>
  <si>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</si>
  <si>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</si>
  <si>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</si>
  <si>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</si>
  <si>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</si>
  <si>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</si>
  <si>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</si>
  <si>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</si>
  <si>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</si>
  <si>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</si>
  <si>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</si>
  <si>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</si>
  <si>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</si>
  <si>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</si>
  <si>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</si>
  <si>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</si>
  <si>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</si>
  <si>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</si>
  <si>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</si>
  <si>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</si>
  <si>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</si>
  <si>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</si>
  <si>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</si>
  <si>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</si>
  <si>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</si>
  <si>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</si>
  <si>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</si>
  <si>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</si>
  <si>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</si>
  <si>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</si>
  <si>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</si>
  <si>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</si>
  <si>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</si>
  <si>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</si>
  <si>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</si>
  <si>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</si>
  <si>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</si>
  <si>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</si>
  <si>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</si>
  <si>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</si>
  <si>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</si>
  <si>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</si>
  <si>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</si>
  <si>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</si>
  <si>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</si>
  <si>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</si>
  <si>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</si>
  <si>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</si>
  <si>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</si>
  <si>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</si>
  <si>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</si>
  <si>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</si>
  <si>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</si>
  <si>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</si>
  <si>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</si>
  <si>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</si>
  <si>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</si>
  <si>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</si>
  <si>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</si>
  <si>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</si>
  <si>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</si>
  <si>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</si>
  <si>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</si>
  <si>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</si>
  <si>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</si>
  <si>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</si>
  <si>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</si>
  <si>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</si>
  <si>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</si>
  <si>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</si>
  <si>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</si>
  <si>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</si>
  <si>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</si>
  <si>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</si>
  <si>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</si>
  <si>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</si>
  <si>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</si>
  <si>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</si>
  <si>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</si>
  <si>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</si>
  <si>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</si>
  <si>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</si>
  <si>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</si>
  <si>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</si>
  <si>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</si>
  <si>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</si>
  <si>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</si>
  <si>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</si>
  <si>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</si>
  <si>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</si>
  <si>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</si>
  <si>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</si>
  <si>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</si>
  <si>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</si>
  <si>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</si>
  <si>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</si>
  <si>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</si>
  <si>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</si>
  <si>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</si>
  <si>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</si>
  <si>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</si>
  <si>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</si>
  <si>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</si>
  <si>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</si>
  <si>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</si>
  <si>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</si>
  <si>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</si>
  <si>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</si>
  <si>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</si>
  <si>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</si>
  <si>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</si>
  <si>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</si>
  <si>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</si>
  <si>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</si>
  <si>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</si>
  <si>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</si>
  <si>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</si>
  <si>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</si>
  <si>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</si>
  <si>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</si>
  <si>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</si>
  <si>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</si>
  <si>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</si>
  <si>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</si>
  <si>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</si>
  <si>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</si>
  <si>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</si>
  <si>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</si>
  <si>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</si>
  <si>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</si>
  <si>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</si>
  <si>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</si>
  <si>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</si>
  <si>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</si>
  <si>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</si>
  <si>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</si>
  <si>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</si>
  <si>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</si>
  <si>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</si>
  <si>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</si>
  <si>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</si>
  <si>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</si>
  <si>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</si>
  <si>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</si>
  <si>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</si>
  <si>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</si>
  <si>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</si>
  <si>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</si>
  <si>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</si>
  <si>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</si>
  <si>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</si>
  <si>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</si>
  <si>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</si>
  <si>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</si>
  <si>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</si>
  <si>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</si>
  <si>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</si>
  <si>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</si>
  <si>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</si>
  <si>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</si>
  <si>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</si>
  <si>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</si>
  <si>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</si>
  <si>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</si>
  <si>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</si>
  <si>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</si>
  <si>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</si>
  <si>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</si>
  <si>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</si>
  <si>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</si>
  <si>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</si>
  <si>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</si>
  <si>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</si>
  <si>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</si>
  <si>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</si>
  <si>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</si>
  <si>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</si>
  <si>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</si>
  <si>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</si>
  <si>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</si>
  <si>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</si>
  <si>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</si>
  <si>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</si>
  <si>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</si>
  <si>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</si>
  <si>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</si>
  <si>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</si>
  <si>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</si>
  <si>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</si>
  <si>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</si>
  <si>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</si>
  <si>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</si>
  <si>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</si>
  <si>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</si>
  <si>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</si>
  <si>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</si>
  <si>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</si>
  <si>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</si>
  <si>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</si>
  <si>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</si>
  <si>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</si>
  <si>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</si>
  <si>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</si>
  <si>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</si>
  <si>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</si>
  <si>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</si>
  <si>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</si>
  <si>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</si>
  <si>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</si>
  <si>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</si>
  <si>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</si>
  <si>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</si>
  <si>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</si>
  <si>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</si>
  <si>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</si>
  <si>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</si>
  <si>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</si>
  <si>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</si>
  <si>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</si>
  <si>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</si>
  <si>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</si>
  <si>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</si>
  <si>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</si>
  <si>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</si>
  <si>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</si>
  <si>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</si>
  <si>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</si>
  <si>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</si>
  <si>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</si>
  <si>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</si>
  <si>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</si>
  <si>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</si>
  <si>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</si>
  <si>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</si>
  <si>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</si>
  <si>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</si>
  <si>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</si>
  <si>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</si>
  <si>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</si>
  <si>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</si>
  <si>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</si>
  <si>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</si>
  <si>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</si>
  <si>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</si>
  <si>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</si>
  <si>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</si>
  <si>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</si>
  <si>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</si>
  <si>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</si>
  <si>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</si>
  <si>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</si>
  <si>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</si>
  <si>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</si>
  <si>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</si>
  <si>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</si>
  <si>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</si>
  <si>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</si>
  <si>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</si>
  <si>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</si>
  <si>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</si>
  <si>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</si>
  <si>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</si>
  <si>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</si>
  <si>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</si>
  <si>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</si>
  <si>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</si>
  <si>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</si>
  <si>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</si>
  <si>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</si>
  <si>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</si>
  <si>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</si>
  <si>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</si>
  <si>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</si>
  <si>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</si>
  <si>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</si>
  <si>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</si>
  <si>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</si>
  <si>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</si>
  <si>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</si>
  <si>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</si>
  <si>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</si>
  <si>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</si>
  <si>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</si>
  <si>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</si>
  <si>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</si>
  <si>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</si>
  <si>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</si>
  <si>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</si>
  <si>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</si>
  <si>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</si>
  <si>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</si>
  <si>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</si>
  <si>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</si>
  <si>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</si>
  <si>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</si>
  <si>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</si>
  <si>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</si>
  <si>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</si>
  <si>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</si>
  <si>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</si>
  <si>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</si>
  <si>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</si>
  <si>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</si>
  <si>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</si>
  <si>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</si>
  <si>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</si>
  <si>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</si>
  <si>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</si>
  <si>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</si>
  <si>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</si>
  <si>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</si>
  <si>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</si>
  <si>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</si>
  <si>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</si>
  <si>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</si>
  <si>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</si>
  <si>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</si>
  <si>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</si>
  <si>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</si>
  <si>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</si>
  <si>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</si>
  <si>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</si>
  <si>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</si>
  <si>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</si>
  <si>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</si>
  <si>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</si>
  <si>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</si>
  <si>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</si>
  <si>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</si>
  <si>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</si>
  <si>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</si>
  <si>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</si>
  <si>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</si>
  <si>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</si>
  <si>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</si>
  <si>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</si>
  <si>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</si>
  <si>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</si>
  <si>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</si>
  <si>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</si>
  <si>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</si>
  <si>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</si>
  <si>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</si>
  <si>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</si>
  <si>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</si>
  <si>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</si>
  <si>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</si>
  <si>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</si>
  <si>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</si>
  <si>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</si>
  <si>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</si>
  <si>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</si>
  <si>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</si>
  <si>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</si>
  <si>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</si>
  <si>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</si>
  <si>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</si>
  <si>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</si>
  <si>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</si>
  <si>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</si>
  <si>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</si>
  <si>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</si>
  <si>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</si>
  <si>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</si>
  <si>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</si>
  <si>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</si>
  <si>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</si>
  <si>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</si>
  <si>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</si>
  <si>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</si>
  <si>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</si>
  <si>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</si>
  <si>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</si>
  <si>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</si>
  <si>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</si>
  <si>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</si>
  <si>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</si>
  <si>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</si>
  <si>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</si>
  <si>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</si>
  <si>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</si>
  <si>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</si>
  <si>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</si>
  <si>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</si>
  <si>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</si>
  <si>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</si>
  <si>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</si>
  <si>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</si>
  <si>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</si>
  <si>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</si>
  <si>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</si>
  <si>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</si>
  <si>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</si>
  <si>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</si>
  <si>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</si>
  <si>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</si>
  <si>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</si>
  <si>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</si>
  <si>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</si>
  <si>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</si>
  <si>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</si>
  <si>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</si>
  <si>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</si>
  <si>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</si>
  <si>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</si>
  <si>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</si>
  <si>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</si>
  <si>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</si>
  <si>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</si>
  <si>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</si>
  <si>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</si>
  <si>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</si>
  <si>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</si>
  <si>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</si>
  <si>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</si>
  <si>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</si>
  <si>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</si>
  <si>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</si>
  <si>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</si>
  <si>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</si>
  <si>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</si>
  <si>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</si>
  <si>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</si>
  <si>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</si>
  <si>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</si>
  <si>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</si>
  <si>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</si>
  <si>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</si>
  <si>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</si>
  <si>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</si>
  <si>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</si>
  <si>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</si>
  <si>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</si>
  <si>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</si>
  <si>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</si>
  <si>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</si>
  <si>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</si>
  <si>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</si>
  <si>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</si>
  <si>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</si>
  <si>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</si>
  <si>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</si>
  <si>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</si>
  <si>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</si>
  <si>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</si>
  <si>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</si>
  <si>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</si>
  <si>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</si>
  <si>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</si>
  <si>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</si>
  <si>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</si>
  <si>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</si>
  <si>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</si>
  <si>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</si>
  <si>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</si>
  <si>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</si>
  <si>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</si>
  <si>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</si>
  <si>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</si>
  <si>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</si>
  <si>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</si>
  <si>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</si>
  <si>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</si>
  <si>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</si>
  <si>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</si>
  <si>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</si>
  <si>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</si>
  <si>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</si>
  <si>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</si>
  <si>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</si>
  <si>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</si>
  <si>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</si>
  <si>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</si>
  <si>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</si>
  <si>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</si>
  <si>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</si>
  <si>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</si>
  <si>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</si>
  <si>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</si>
  <si>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</si>
  <si>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</si>
  <si>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</si>
  <si>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</si>
  <si>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</si>
  <si>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</si>
  <si>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</si>
  <si>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</si>
  <si>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</si>
  <si>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</si>
  <si>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</si>
  <si>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</si>
  <si>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</si>
  <si>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</si>
  <si>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</si>
  <si>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</si>
  <si>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</si>
  <si>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</si>
  <si>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</si>
  <si>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</si>
  <si>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</si>
  <si>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</si>
  <si>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</si>
  <si>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</si>
  <si>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</si>
  <si>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</si>
  <si>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</si>
  <si>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</si>
  <si>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</si>
  <si>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</si>
  <si>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</si>
  <si>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</si>
  <si>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</si>
  <si>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</si>
  <si>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</si>
  <si>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</si>
  <si>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</si>
  <si>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</si>
  <si>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</si>
  <si>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</si>
  <si>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</si>
  <si>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</si>
  <si>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</si>
  <si>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</si>
  <si>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</si>
  <si>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</si>
  <si>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</si>
  <si>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</si>
  <si>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</si>
  <si>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</si>
  <si>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</si>
  <si>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</si>
  <si>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</si>
  <si>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</si>
  <si>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</si>
  <si>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</si>
  <si>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</si>
  <si>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</si>
  <si>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</si>
  <si>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</si>
  <si>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</si>
  <si>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</si>
  <si>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</si>
  <si>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</si>
  <si>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</si>
  <si>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</si>
  <si>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</si>
  <si>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</si>
  <si>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</si>
  <si>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</si>
  <si>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</si>
  <si>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</si>
  <si>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</si>
  <si>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</si>
  <si>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</si>
  <si>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</si>
  <si>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</si>
  <si>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</si>
  <si>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</si>
  <si>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</si>
  <si>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</si>
  <si>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</si>
  <si>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</si>
  <si>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</si>
  <si>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</si>
  <si>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</si>
  <si>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</si>
  <si>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</si>
  <si>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</si>
  <si>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</si>
  <si>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</si>
  <si>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</si>
  <si>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</si>
  <si>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</si>
  <si>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</si>
  <si>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</si>
  <si>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</si>
  <si>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</si>
  <si>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</si>
  <si>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</si>
  <si>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</si>
  <si>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</si>
  <si>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</si>
  <si>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</si>
  <si>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</si>
  <si>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</si>
  <si>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</si>
  <si>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</si>
  <si>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</si>
  <si>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</si>
  <si>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</si>
  <si>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</si>
  <si>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</si>
  <si>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</si>
  <si>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</si>
  <si>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</si>
  <si>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</si>
  <si>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</si>
  <si>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</si>
  <si>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</si>
  <si>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</si>
  <si>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</si>
  <si>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</si>
  <si>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</si>
  <si>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</si>
  <si>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</si>
  <si>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</si>
  <si>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</si>
  <si>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</si>
  <si>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</si>
  <si>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</si>
  <si>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</si>
  <si>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</si>
  <si>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</si>
  <si>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</si>
  <si>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</si>
  <si>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</si>
  <si>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</si>
  <si>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</si>
  <si>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</si>
  <si>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</si>
  <si>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</si>
  <si>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</si>
  <si>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</si>
  <si>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</si>
  <si>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</si>
  <si>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</si>
  <si>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</si>
  <si>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</si>
  <si>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</si>
  <si>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</si>
  <si>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</si>
  <si>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</si>
  <si>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</si>
  <si>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</si>
  <si>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</si>
  <si>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</si>
  <si>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</si>
  <si>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</si>
  <si>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</si>
  <si>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</si>
  <si>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</si>
  <si>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</si>
  <si>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</si>
  <si>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</si>
  <si>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</si>
  <si>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</si>
  <si>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</si>
  <si>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</si>
  <si>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</si>
  <si>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</si>
  <si>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</si>
  <si>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</si>
  <si>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</si>
  <si>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</si>
  <si>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</si>
  <si>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</si>
  <si>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</si>
  <si>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</si>
  <si>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</si>
  <si>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</si>
  <si>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</si>
  <si>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</si>
  <si>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</si>
  <si>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</si>
  <si>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</si>
  <si>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</si>
  <si>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</si>
  <si>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</si>
  <si>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</si>
  <si>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</si>
  <si>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</si>
  <si>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</si>
  <si>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</si>
  <si>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</si>
  <si>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</si>
  <si>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</si>
  <si>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</si>
  <si>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</si>
  <si>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</si>
  <si>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</si>
  <si>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</si>
  <si>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</si>
  <si>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</si>
  <si>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</si>
  <si>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</si>
  <si>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</si>
  <si>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</si>
  <si>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</si>
  <si>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</si>
  <si>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</si>
  <si>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</si>
  <si>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</si>
  <si>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</si>
  <si>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</si>
  <si>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</si>
  <si>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</si>
  <si>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</si>
  <si>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</si>
  <si>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</si>
  <si>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</si>
  <si>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</si>
  <si>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</si>
  <si>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</si>
  <si>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</si>
  <si>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</si>
  <si>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</si>
  <si>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</si>
  <si>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</si>
  <si>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</si>
  <si>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</si>
  <si>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</si>
  <si>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</si>
  <si>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</si>
  <si>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</si>
  <si>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</si>
  <si>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</si>
  <si>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</si>
  <si>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</si>
  <si>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</si>
  <si>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</si>
  <si>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</si>
  <si>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</si>
  <si>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</si>
  <si>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</si>
  <si>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</si>
  <si>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</si>
  <si>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</si>
  <si>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</si>
  <si>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</si>
  <si>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</si>
  <si>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</si>
  <si>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</si>
  <si>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</si>
  <si>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</si>
  <si>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</si>
  <si>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</si>
  <si>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</si>
  <si>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</si>
  <si>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</si>
  <si>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</si>
  <si>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</si>
  <si>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</si>
  <si>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</si>
  <si>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</si>
  <si>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</si>
  <si>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</si>
  <si>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</si>
  <si>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</si>
  <si>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</si>
  <si>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</si>
  <si>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</si>
  <si>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</si>
  <si>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</si>
  <si>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</si>
  <si>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</si>
  <si>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</si>
  <si>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</si>
  <si>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</si>
  <si>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</si>
  <si>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</si>
  <si>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</si>
  <si>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</si>
  <si>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</si>
  <si>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</si>
  <si>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</si>
  <si>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</si>
  <si>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</si>
  <si>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</si>
  <si>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</si>
  <si>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</si>
  <si>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</si>
  <si>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</si>
  <si>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</si>
  <si>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</si>
  <si>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</si>
  <si>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</si>
  <si>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</si>
  <si>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</si>
  <si>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</si>
  <si>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</si>
  <si>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</si>
  <si>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</si>
  <si>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</si>
  <si>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</si>
  <si>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</si>
  <si>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</si>
  <si>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</si>
  <si>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</si>
  <si>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</si>
  <si>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</si>
  <si>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</si>
  <si>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</si>
  <si>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</si>
  <si>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</si>
  <si>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</si>
  <si>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</si>
  <si>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</si>
  <si>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</si>
  <si>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</si>
  <si>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</si>
  <si>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</si>
  <si>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</si>
  <si>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</si>
  <si>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</si>
  <si>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</si>
  <si>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</si>
  <si>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</si>
  <si>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</si>
  <si>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</si>
  <si>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</si>
  <si>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</si>
  <si>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</si>
  <si>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</si>
  <si>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</si>
  <si>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</si>
  <si>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</si>
  <si>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</si>
  <si>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</si>
  <si>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</si>
  <si>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</si>
  <si>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</si>
  <si>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</si>
  <si>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</si>
  <si>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</si>
  <si>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</si>
  <si>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</si>
  <si>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</si>
  <si>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</si>
  <si>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</si>
  <si>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</si>
  <si>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</si>
  <si>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</si>
  <si>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</si>
  <si>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</si>
  <si>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</si>
  <si>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</si>
  <si>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</si>
  <si>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</si>
  <si>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</si>
  <si>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</si>
  <si>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</si>
  <si>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</si>
  <si>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</si>
  <si>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</si>
  <si>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</si>
  <si>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</si>
  <si>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</si>
  <si>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</si>
  <si>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</si>
  <si>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</si>
  <si>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</si>
  <si>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</si>
  <si>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</si>
  <si>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</si>
  <si>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</si>
  <si>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</si>
  <si>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</si>
  <si>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</si>
  <si>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</si>
  <si>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</si>
  <si>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</si>
  <si>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</si>
  <si>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</si>
  <si>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</si>
  <si>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</si>
  <si>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</si>
  <si>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</si>
  <si>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</si>
  <si>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</si>
  <si>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</si>
  <si>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</si>
  <si>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</si>
  <si>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</si>
  <si>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</si>
  <si>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</si>
  <si>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</si>
  <si>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</si>
  <si>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</si>
  <si>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</si>
  <si>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</si>
  <si>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</si>
  <si>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</si>
  <si>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</si>
  <si>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</si>
  <si>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</si>
  <si>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</si>
  <si>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</si>
  <si>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</si>
  <si>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</si>
  <si>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</si>
  <si>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</si>
  <si>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</si>
  <si>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</si>
  <si>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</si>
  <si>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</si>
  <si>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</si>
  <si>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</si>
  <si>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</si>
  <si>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</si>
  <si>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</si>
  <si>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</si>
  <si>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</si>
  <si>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</si>
  <si>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</si>
  <si>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</si>
  <si>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</si>
  <si>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</si>
  <si>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</si>
  <si>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</si>
  <si>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</si>
  <si>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</si>
  <si>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</si>
  <si>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</si>
  <si>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</si>
  <si>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</si>
  <si>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</si>
  <si>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</si>
  <si>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</si>
  <si>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</si>
  <si>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</si>
  <si>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</si>
  <si>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</si>
  <si>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</si>
  <si>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</si>
  <si>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</si>
  <si>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</si>
  <si>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</si>
  <si>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</si>
  <si>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</si>
  <si>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</si>
  <si>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</si>
  <si>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</si>
  <si>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</si>
  <si>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</si>
  <si>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</si>
  <si>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</si>
  <si>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</si>
  <si>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</si>
  <si>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</si>
  <si>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</si>
  <si>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</si>
  <si>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</si>
  <si>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</si>
  <si>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</si>
  <si>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</si>
  <si>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</si>
  <si>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</si>
  <si>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</si>
  <si>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</si>
  <si>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</si>
  <si>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</si>
  <si>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</si>
  <si>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</si>
  <si>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</si>
  <si>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</si>
  <si>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</si>
  <si>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</si>
  <si>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</si>
  <si>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</si>
  <si>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</si>
  <si>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</si>
  <si>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</si>
  <si>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</si>
  <si>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</si>
  <si>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</si>
  <si>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</si>
  <si>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</si>
  <si>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</si>
  <si>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</si>
  <si>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</si>
  <si>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</si>
  <si>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</si>
  <si>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</si>
  <si>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</si>
  <si>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</si>
  <si>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</si>
  <si>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</si>
  <si>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</si>
  <si>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</si>
  <si>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</si>
  <si>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</si>
  <si>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</si>
  <si>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</si>
  <si>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</si>
  <si>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</si>
  <si>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</si>
  <si>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</si>
  <si>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</si>
  <si>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</si>
  <si>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</si>
  <si>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</si>
  <si>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</si>
  <si>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</si>
  <si>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</si>
  <si>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</si>
  <si>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</si>
  <si>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</si>
  <si>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</si>
  <si>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</si>
  <si>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</si>
  <si>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</si>
  <si>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</si>
  <si>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</si>
  <si>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</si>
  <si>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</si>
  <si>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</si>
  <si>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</si>
  <si>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</si>
  <si>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</si>
  <si>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</si>
  <si>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</si>
  <si>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</si>
  <si>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</si>
  <si>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</si>
  <si>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</si>
  <si>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</si>
  <si>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</si>
  <si>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</si>
  <si>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</si>
  <si>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</si>
  <si>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</si>
  <si>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</si>
  <si>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</si>
  <si>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</si>
  <si>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</si>
  <si>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</si>
  <si>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</si>
  <si>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</si>
  <si>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</si>
  <si>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</si>
  <si>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</si>
  <si>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</si>
  <si>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</si>
  <si>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</si>
  <si>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</si>
  <si>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</si>
  <si>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</si>
  <si>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</si>
  <si>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</si>
  <si>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</si>
  <si>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</si>
  <si>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</si>
  <si>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</si>
  <si>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</si>
  <si>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</si>
  <si>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</si>
  <si>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</si>
  <si>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</si>
  <si>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</si>
  <si>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</si>
  <si>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</si>
  <si>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</si>
  <si>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</si>
  <si>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</si>
  <si>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</si>
  <si>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</si>
  <si>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</si>
  <si>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</si>
  <si>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</si>
  <si>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</si>
  <si>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</si>
  <si>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</si>
  <si>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</si>
  <si>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</si>
  <si>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</si>
  <si>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</si>
  <si>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</si>
  <si>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</si>
  <si>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</si>
  <si>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</si>
  <si>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</si>
  <si>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</si>
  <si>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</si>
  <si>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</si>
  <si>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</si>
  <si>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</si>
  <si>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</si>
  <si>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</si>
  <si>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</si>
  <si>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</si>
  <si>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</si>
  <si>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</si>
  <si>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</si>
  <si>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</si>
  <si>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</si>
  <si>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</si>
  <si>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</si>
  <si>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</si>
  <si>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</si>
  <si>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</si>
  <si>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</si>
  <si>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</si>
  <si>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</si>
  <si>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</si>
  <si>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</si>
  <si>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</si>
  <si>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</si>
  <si>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</si>
  <si>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</si>
  <si>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</si>
  <si>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</si>
  <si>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</si>
  <si>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</si>
  <si>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</si>
  <si>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</si>
  <si>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</si>
  <si>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</si>
  <si>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</si>
  <si>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</si>
  <si>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</si>
  <si>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</si>
  <si>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</si>
  <si>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</si>
  <si>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</si>
  <si>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</si>
  <si>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</si>
  <si>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</si>
  <si>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</si>
  <si>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</si>
  <si>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</si>
  <si>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</si>
  <si>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</si>
  <si>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</si>
  <si>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</si>
  <si>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</si>
  <si>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</si>
  <si>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</si>
  <si>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</si>
  <si>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</si>
  <si>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</si>
  <si>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</si>
  <si>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</si>
  <si>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</si>
  <si>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</si>
  <si>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</si>
  <si>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</si>
  <si>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</si>
  <si>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</si>
  <si>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</si>
  <si>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</si>
  <si>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</si>
  <si>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</si>
  <si>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</si>
  <si>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</si>
  <si>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</si>
  <si>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</si>
  <si>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</si>
  <si>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</si>
  <si>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</si>
  <si>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</si>
  <si>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</si>
  <si>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</si>
  <si>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</si>
  <si>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</si>
  <si>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</si>
  <si>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</si>
  <si>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</si>
  <si>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</si>
  <si>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</si>
  <si>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</si>
  <si>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</si>
  <si>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</si>
  <si>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</si>
  <si>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</si>
  <si>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</si>
  <si>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</si>
  <si>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</si>
  <si>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</si>
  <si>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</si>
  <si>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</si>
  <si>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</si>
  <si>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</si>
  <si>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</si>
  <si>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</si>
  <si>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</si>
  <si>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</si>
  <si>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</si>
  <si>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</si>
  <si>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</si>
  <si>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</si>
  <si>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</si>
  <si>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</si>
  <si>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</si>
  <si>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</si>
  <si>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</si>
  <si>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</si>
  <si>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</si>
  <si>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</si>
  <si>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</si>
  <si>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</si>
  <si>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</si>
  <si>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</si>
  <si>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</si>
  <si>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</si>
  <si>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</si>
  <si>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</si>
  <si>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</si>
  <si>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</si>
  <si>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</si>
  <si>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</si>
  <si>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</si>
  <si>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</si>
  <si>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</si>
  <si>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</si>
  <si>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</si>
  <si>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</si>
  <si>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</si>
  <si>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</si>
  <si>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</si>
  <si>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</si>
  <si>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</si>
  <si>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</si>
  <si>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</si>
  <si>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</si>
  <si>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</si>
  <si>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</si>
  <si>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</si>
  <si>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</si>
  <si>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</si>
  <si>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</si>
  <si>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</si>
  <si>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</si>
  <si>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</si>
  <si>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</si>
  <si>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</si>
  <si>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</si>
  <si>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</si>
  <si>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</si>
  <si>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</si>
  <si>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</si>
  <si>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</si>
  <si>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</si>
  <si>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</si>
  <si>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</si>
  <si>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</si>
  <si>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</si>
  <si>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</si>
  <si>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</si>
  <si>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</si>
  <si>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</si>
  <si>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</si>
  <si>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</si>
  <si>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</si>
  <si>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</si>
  <si>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</si>
  <si>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</si>
  <si>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</si>
  <si>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</si>
  <si>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</si>
  <si>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</si>
  <si>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</si>
  <si>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</si>
  <si>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</si>
  <si>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</si>
  <si>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</si>
  <si>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</si>
  <si>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</si>
  <si>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</si>
  <si>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</si>
  <si>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</si>
  <si>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</si>
  <si>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</si>
  <si>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</si>
  <si>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</si>
  <si>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</si>
  <si>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</si>
  <si>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</si>
  <si>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</si>
  <si>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</si>
  <si>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</si>
  <si>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</si>
  <si>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</si>
  <si>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</si>
  <si>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</si>
  <si>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</si>
  <si>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</si>
  <si>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</si>
  <si>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</si>
  <si>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</si>
  <si>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</si>
  <si>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</si>
  <si>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</si>
  <si>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</si>
  <si>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</si>
  <si>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</si>
  <si>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</si>
  <si>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</si>
  <si>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</si>
  <si>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</si>
  <si>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</si>
  <si>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</si>
  <si>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</si>
  <si>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</si>
  <si>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</si>
  <si>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</si>
  <si>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</si>
  <si>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</si>
  <si>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</si>
  <si>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</si>
  <si>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</si>
  <si>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</si>
  <si>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</si>
  <si>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</si>
  <si>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</si>
  <si>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</si>
  <si>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</si>
  <si>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</si>
  <si>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</si>
  <si>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</si>
  <si>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</si>
  <si>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</si>
  <si>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</si>
  <si>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</si>
  <si>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</si>
  <si>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</si>
  <si>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</si>
  <si>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</si>
  <si>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</si>
  <si>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</si>
  <si>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</si>
  <si>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</si>
  <si>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</si>
  <si>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</si>
  <si>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</si>
  <si>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</si>
  <si>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</si>
  <si>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</si>
  <si>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</si>
  <si>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</si>
  <si>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</si>
  <si>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</si>
  <si>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</si>
  <si>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</si>
  <si>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</si>
  <si>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</si>
  <si>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</si>
  <si>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</si>
  <si>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</si>
  <si>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</si>
  <si>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</si>
  <si>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</si>
  <si>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</si>
  <si>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</si>
  <si>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</si>
  <si>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</si>
  <si>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</si>
  <si>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</si>
  <si>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</si>
  <si>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</si>
  <si>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</si>
  <si>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</si>
  <si>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</si>
  <si>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</si>
  <si>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</si>
  <si>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</si>
  <si>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</si>
  <si>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</si>
  <si>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</si>
  <si>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</si>
  <si>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</si>
  <si>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</si>
  <si>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</si>
  <si>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</si>
  <si>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</si>
  <si>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</si>
  <si>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</si>
  <si>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</si>
  <si>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</si>
  <si>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</si>
  <si>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</si>
  <si>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</si>
  <si>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</si>
  <si>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</si>
  <si>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</si>
  <si>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</si>
  <si>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</si>
  <si>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</si>
  <si>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</si>
  <si>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</si>
  <si>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</si>
  <si>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</si>
  <si>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</si>
  <si>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</si>
  <si>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</si>
  <si>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</si>
  <si>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</si>
  <si>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</si>
  <si>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</si>
  <si>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</si>
  <si>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</si>
  <si>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</si>
  <si>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</si>
  <si>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</si>
  <si>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</si>
  <si>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</si>
  <si>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</si>
  <si>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</si>
  <si>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</si>
  <si>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</si>
  <si>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</si>
  <si>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</si>
  <si>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</si>
  <si>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</si>
  <si>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</si>
  <si>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</si>
  <si>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</si>
  <si>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</si>
  <si>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</si>
  <si>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</si>
  <si>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</si>
  <si>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</si>
  <si>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</si>
  <si>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</si>
  <si>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</si>
  <si>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</si>
  <si>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</si>
  <si>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</si>
  <si>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</si>
  <si>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</si>
  <si>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</si>
  <si>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</si>
  <si>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</si>
  <si>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</si>
  <si>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</si>
  <si>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</si>
  <si>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</si>
  <si>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</si>
  <si>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</si>
  <si>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</si>
  <si>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</si>
  <si>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</si>
  <si>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</si>
  <si>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</si>
  <si>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</si>
  <si>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</si>
  <si>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</si>
  <si>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</si>
  <si>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</si>
  <si>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</si>
  <si>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</si>
  <si>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</si>
  <si>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</si>
  <si>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</si>
  <si>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</si>
  <si>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</si>
  <si>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</si>
  <si>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</si>
  <si>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</si>
  <si>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</si>
  <si>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</si>
  <si>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</si>
  <si>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</si>
  <si>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</si>
  <si>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</si>
  <si>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</si>
  <si>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</si>
  <si>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</si>
  <si>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</si>
  <si>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</si>
  <si>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</si>
  <si>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</si>
  <si>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</si>
  <si>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</si>
  <si>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</si>
  <si>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</si>
  <si>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</si>
  <si>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</si>
  <si>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</si>
  <si>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</si>
  <si>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</si>
  <si>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</si>
  <si>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</si>
  <si>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</si>
  <si>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</si>
  <si>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</si>
  <si>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</si>
  <si>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</si>
  <si>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</si>
  <si>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</si>
  <si>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</si>
  <si>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</si>
  <si>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</si>
  <si>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</si>
  <si>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</si>
  <si>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</si>
  <si>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</si>
  <si>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</si>
  <si>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</si>
  <si>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</si>
  <si>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</si>
  <si>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</si>
  <si>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</si>
  <si>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</si>
  <si>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</si>
  <si>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</si>
  <si>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</si>
  <si>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</si>
  <si>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</si>
  <si>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</si>
  <si>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</si>
  <si>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</si>
  <si>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</si>
  <si>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</si>
  <si>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</si>
  <si>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</si>
  <si>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</si>
  <si>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</si>
  <si>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</si>
  <si>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</si>
  <si>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</si>
  <si>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</si>
  <si>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</si>
  <si>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</si>
  <si>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</si>
  <si>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</si>
  <si>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</si>
  <si>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</si>
  <si>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</si>
  <si>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</si>
  <si>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</si>
  <si>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</si>
  <si>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</si>
  <si>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</si>
  <si>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</si>
  <si>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</si>
  <si>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</si>
  <si>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</si>
  <si>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</si>
  <si>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</si>
  <si>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</si>
  <si>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</si>
  <si>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</si>
  <si>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</si>
  <si>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</si>
  <si>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</si>
  <si>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</si>
  <si>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</si>
  <si>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</si>
  <si>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</si>
  <si>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</si>
  <si>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</si>
  <si>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</si>
  <si>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</si>
  <si>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</si>
  <si>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</si>
  <si>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</si>
  <si>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</si>
  <si>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</si>
  <si>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</si>
  <si>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</si>
  <si>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</si>
  <si>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</si>
  <si>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</si>
  <si>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</si>
  <si>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</si>
  <si>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</si>
  <si>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</si>
  <si>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</si>
  <si>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</si>
  <si>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</si>
  <si>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</si>
  <si>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</si>
  <si>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</si>
  <si>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</si>
  <si>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</si>
  <si>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</si>
  <si>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</si>
  <si>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</si>
  <si>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</si>
  <si>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</si>
  <si>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</si>
  <si>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</si>
  <si>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</si>
  <si>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</si>
  <si>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</si>
  <si>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</si>
  <si>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</si>
  <si>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</si>
  <si>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</si>
  <si>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</si>
  <si>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</si>
  <si>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</si>
  <si>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</si>
  <si>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</si>
  <si>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</si>
  <si>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</si>
  <si>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</si>
  <si>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</si>
  <si>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</si>
  <si>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</si>
  <si>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</si>
  <si>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</si>
  <si>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</si>
  <si>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</si>
  <si>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</si>
  <si>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</si>
  <si>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</si>
  <si>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</si>
  <si>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</si>
  <si>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</si>
  <si>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</si>
  <si>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</si>
  <si>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</si>
  <si>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</si>
  <si>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</si>
  <si>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</si>
  <si>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</si>
  <si>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</si>
  <si>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</si>
  <si>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</si>
  <si>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</si>
  <si>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</si>
  <si>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</si>
  <si>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</si>
  <si>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</si>
  <si>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</si>
  <si>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</si>
  <si>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</si>
  <si>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</si>
  <si>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</si>
  <si>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</si>
  <si>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</si>
  <si>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</si>
  <si>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</si>
  <si>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</si>
  <si>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</si>
  <si>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</si>
  <si>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</si>
  <si>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</si>
  <si>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</si>
  <si>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</si>
  <si>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</si>
  <si>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</si>
  <si>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</si>
  <si>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</si>
  <si>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</si>
  <si>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</si>
  <si>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</si>
  <si>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</si>
  <si>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</si>
  <si>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</si>
  <si>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</si>
  <si>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</si>
  <si>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</si>
  <si>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</si>
  <si>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</si>
  <si>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</si>
  <si>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</si>
  <si>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</si>
  <si>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</si>
  <si>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</si>
  <si>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</si>
  <si>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</si>
  <si>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</si>
  <si>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</si>
  <si>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</si>
  <si>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</si>
  <si>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</si>
  <si>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</si>
  <si>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</si>
  <si>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</si>
  <si>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</si>
  <si>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</si>
  <si>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</si>
  <si>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</si>
  <si>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</si>
  <si>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</si>
  <si>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</si>
  <si>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</si>
  <si>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</si>
  <si>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</si>
  <si>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</si>
  <si>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</si>
  <si>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</si>
  <si>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</si>
  <si>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</si>
  <si>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</si>
  <si>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</si>
  <si>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</si>
  <si>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</si>
  <si>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</si>
  <si>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</si>
  <si>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</si>
  <si>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</si>
  <si>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</si>
  <si>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</si>
  <si>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</si>
  <si>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</si>
  <si>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</si>
  <si>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</si>
  <si>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</si>
  <si>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</si>
  <si>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</si>
  <si>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</si>
  <si>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</si>
  <si>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</si>
  <si>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</si>
  <si>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</si>
  <si>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</si>
  <si>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</si>
  <si>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</si>
  <si>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</si>
  <si>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</si>
  <si>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</si>
  <si>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</si>
  <si>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</si>
  <si>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</si>
  <si>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</si>
  <si>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</si>
  <si>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</si>
  <si>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</si>
  <si>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</si>
  <si>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</si>
  <si>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</si>
  <si>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</si>
  <si>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</si>
  <si>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</si>
  <si>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</si>
  <si>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</si>
  <si>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</si>
  <si>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</si>
  <si>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</si>
  <si>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</si>
  <si>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</si>
  <si>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</si>
  <si>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</si>
  <si>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</si>
  <si>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</si>
  <si>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</si>
  <si>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</si>
  <si>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</si>
  <si>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</si>
  <si>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</si>
  <si>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</si>
  <si>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</si>
  <si>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</si>
  <si>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</si>
  <si>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</si>
  <si>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</si>
  <si>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</si>
  <si>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</si>
  <si>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</si>
  <si>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</si>
  <si>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</si>
  <si>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</si>
  <si>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</si>
  <si>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</si>
  <si>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</si>
  <si>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</si>
  <si>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</si>
  <si>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</si>
  <si>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</si>
  <si>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</si>
  <si>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</si>
  <si>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</si>
  <si>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</si>
  <si>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</si>
  <si>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</si>
  <si>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</si>
  <si>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</si>
  <si>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</si>
  <si>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</si>
  <si>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</si>
  <si>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</si>
  <si>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</si>
  <si>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</si>
  <si>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</si>
  <si>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</si>
  <si>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</si>
  <si>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</si>
  <si>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</si>
  <si>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</si>
  <si>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</si>
  <si>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</si>
  <si>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</si>
  <si>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</si>
  <si>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</si>
  <si>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</si>
  <si>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</si>
  <si>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</si>
  <si>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</si>
  <si>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</si>
  <si>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</si>
  <si>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</si>
  <si>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</si>
  <si>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</si>
  <si>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</si>
  <si>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</si>
  <si>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</si>
  <si>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</si>
  <si>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</si>
  <si>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</si>
  <si>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</si>
  <si>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</si>
  <si>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</si>
  <si>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</si>
  <si>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</si>
  <si>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</si>
  <si>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</si>
  <si>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</si>
  <si>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</si>
  <si>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</si>
  <si>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</si>
  <si>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</si>
  <si>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</si>
  <si>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</si>
  <si>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</si>
  <si>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</si>
  <si>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</si>
  <si>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</si>
  <si>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</si>
  <si>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</si>
  <si>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</si>
  <si>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</si>
  <si>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</si>
  <si>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</si>
  <si>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</si>
  <si>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</si>
  <si>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</si>
  <si>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</si>
  <si>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</si>
  <si>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</si>
  <si>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</si>
  <si>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</si>
  <si>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</si>
  <si>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</si>
  <si>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</si>
  <si>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</si>
  <si>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</si>
  <si>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</si>
  <si>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</si>
  <si>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</si>
  <si>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</si>
  <si>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</si>
  <si>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</si>
  <si>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</si>
  <si>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</si>
  <si>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</si>
  <si>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</si>
  <si>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</si>
  <si>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</si>
  <si>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</si>
  <si>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</si>
  <si>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</si>
  <si>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</si>
  <si>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</si>
  <si>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</si>
  <si>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</si>
  <si>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</si>
  <si>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</si>
  <si>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</si>
  <si>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</si>
  <si>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</si>
  <si>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</si>
  <si>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</si>
  <si>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</si>
  <si>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</si>
  <si>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</si>
  <si>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</si>
  <si>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</si>
  <si>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</si>
  <si>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</si>
  <si>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</si>
  <si>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</si>
  <si>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</si>
  <si>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</si>
  <si>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</si>
  <si>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</si>
  <si>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</si>
  <si>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</si>
  <si>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</si>
  <si>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</si>
  <si>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</si>
  <si>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</si>
  <si>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</si>
  <si>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</si>
  <si>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</si>
  <si>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</si>
  <si>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</si>
  <si>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</si>
  <si>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</si>
  <si>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</si>
  <si>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</si>
  <si>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</si>
  <si>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</si>
  <si>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</si>
  <si>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</si>
  <si>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</si>
  <si>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</si>
  <si>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</si>
  <si>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</si>
  <si>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</si>
  <si>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</si>
  <si>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</si>
  <si>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</si>
  <si>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</si>
  <si>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</si>
  <si>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</si>
  <si>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</si>
  <si>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</si>
  <si>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</si>
  <si>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</si>
  <si>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</si>
  <si>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</si>
  <si>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</si>
  <si>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</si>
  <si>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217-774-9589</t>
  </si>
  <si>
    <t>FAYETTE</t>
  </si>
  <si>
    <t>200 NORTH WALNUT</t>
  </si>
  <si>
    <t>ST ELMO</t>
  </si>
  <si>
    <t>jhealy@stelmo.org</t>
  </si>
  <si>
    <t>JULIE HEALY</t>
  </si>
  <si>
    <t>618-829-3264</t>
  </si>
  <si>
    <t>618-829-5161</t>
  </si>
  <si>
    <t>JULIE WOLLERMAN</t>
  </si>
  <si>
    <t>618-283-5011</t>
  </si>
  <si>
    <t>618-283-5013</t>
  </si>
  <si>
    <t>KENT D. KULL</t>
  </si>
  <si>
    <t>Qualified Zone Academy Bonds Debt Certificates 2006</t>
  </si>
  <si>
    <t>Taxable G.O. Bonds, Series 2010 A (QZAB)</t>
  </si>
  <si>
    <t>Taxable G.O. Bonds, Series 2010 B (QZAB)</t>
  </si>
  <si>
    <t>Copier Lease Purchase Agreement</t>
  </si>
  <si>
    <t>Copier Lease Agreement</t>
  </si>
  <si>
    <t>QZAB</t>
  </si>
  <si>
    <t>Mid-State</t>
  </si>
  <si>
    <t>TAP</t>
  </si>
  <si>
    <t>South Central FS</t>
  </si>
  <si>
    <t>BROWNSTOWN SCHOOL DISTRICT #201</t>
  </si>
  <si>
    <t>OKAW AREA VOCATIONAL CENTER</t>
  </si>
  <si>
    <t>BROWNSTOWN SCHOOL DISTRICT #201 EXTRA CURRICULAR</t>
  </si>
  <si>
    <t>BOND-FAYETTE-EFFINGHAMM CURRICULUM LOOP</t>
  </si>
  <si>
    <t>MID-STATE SPECIAL EDUCATION COOPERATIVE</t>
  </si>
  <si>
    <t>Page 5, Line 12 "Other Current Assets"</t>
  </si>
  <si>
    <t xml:space="preserve">  Transportation Fund</t>
  </si>
  <si>
    <t xml:space="preserve">    Prepaid Payroll Withholding $143</t>
  </si>
  <si>
    <t>Page 10, Line 72 "Sales to Pupiles-Other"</t>
  </si>
  <si>
    <t xml:space="preserve">  Educational Fund</t>
  </si>
  <si>
    <t xml:space="preserve">    Milk Sales &amp; Collection of Debt $4,869</t>
  </si>
  <si>
    <t>Page 10, Line 74 "Other Food Services"</t>
  </si>
  <si>
    <t xml:space="preserve">    Vending Machine $544</t>
  </si>
  <si>
    <t>Page 10, Line 107 "Other Local Revenues"</t>
  </si>
  <si>
    <t xml:space="preserve">    Erate $16,047</t>
  </si>
  <si>
    <t xml:space="preserve">    Reimbursement $5,676</t>
  </si>
  <si>
    <t xml:space="preserve">    Foundation Grant $553</t>
  </si>
  <si>
    <t>Page 12, Line 183 "Other Restircted Grant-In-Aid Received Directly from the Federal Govt"</t>
  </si>
  <si>
    <t xml:space="preserve">    REAP $5,645</t>
  </si>
  <si>
    <t>juliewollerman@roe3.org</t>
  </si>
  <si>
    <t>40-2550-400</t>
  </si>
  <si>
    <t>Page 12, Line 171 "Other Restircted Revenue from State Sources"</t>
  </si>
  <si>
    <t xml:space="preserve">    Library Grant $1,500</t>
  </si>
  <si>
    <t>20.  Amended budget notice not adequate; 23.  Opinion is adverse due to regulatory basis presentation.</t>
  </si>
  <si>
    <t>We recommend the District publish its notice of availability for inspection and notification of the public hearing at least 30 days prior to the date of the public hearing.</t>
  </si>
  <si>
    <t>Management will implement the auditor's recommendation for budgets adopted subsequent to the issuance of this finding.</t>
  </si>
  <si>
    <t>All interfund loans are required to be made, disclosed, and repaid in accordance with the provisions of Sections 10-22.33, 20-4 and 20-5 of the School Code.</t>
  </si>
  <si>
    <t>An overdraft of cash from a commingled account constitutes and unauthorized interfund loan.</t>
  </si>
  <si>
    <t>Individual funds' cash balances were not monitored to ensure that unauthorized loans did not occur.</t>
  </si>
  <si>
    <t>The District should monitor individual funds' cash balances to ensure that unauthorized interfund loans do not continue to occur.</t>
  </si>
  <si>
    <t>The District has established monitoring procedures of commingled cash balances to ensure unauthorized loans do not occur.</t>
  </si>
  <si>
    <t>The District did not meet the notification requirements with the adoption of the amended budget.</t>
  </si>
  <si>
    <t>This finding pertains to the amended budget.</t>
  </si>
  <si>
    <t>The District did not comply with the Illinois School Code in the adoption of its amended budget.</t>
  </si>
  <si>
    <t>Notification advertising the availability for inspection and notification of the public hearing for the amended budget was published.  However, the notification for the amended budget was not published 30 days in advance of the public hearing date.</t>
  </si>
  <si>
    <t>The Tort Fund had overdrawn its share of cash from the commingled checking account, resulting in an unauthorized interfund loan.</t>
  </si>
  <si>
    <t>The unauthorized loan occurred as of June 30, 2018.</t>
  </si>
  <si>
    <t>The Illinois School Code requires the District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</si>
  <si>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ED-Instruction-Purchased Services</t>
  </si>
  <si>
    <t>80-2300-300</t>
  </si>
  <si>
    <t>10-1000-300</t>
  </si>
  <si>
    <t>Tort-Instruction-Purchased Services</t>
  </si>
  <si>
    <t>ED-General Admin.-Purchased Services</t>
  </si>
  <si>
    <t>10-2300-300</t>
  </si>
  <si>
    <t>Transportation-Business:  Pupil Transportation-Supplies</t>
  </si>
  <si>
    <t>St Elmo CUSD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</si>
</sst>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4" fillId="0" borderId="158" xfId="17" applyFont="1" applyBorder="1" applyAlignment="1" applyProtection="1">
      <alignment horizontal="left" vertical="top" wrapText="1"/>
      <protection locked="0"/>
    </xf>
    <xf numFmtId="49" fontId="4" fillId="0" borderId="158" xfId="17" applyNumberFormat="1" applyFont="1" applyBorder="1" applyAlignment="1" applyProtection="1">
      <alignment horizontal="center" vertical="top"/>
      <protection locked="0"/>
    </xf>
    <xf numFmtId="0" fontId="4" fillId="0" borderId="158" xfId="17" applyFont="1" applyBorder="1" applyAlignment="1" applyProtection="1">
      <alignment vertical="top"/>
      <protection locked="0"/>
    </xf>
    <xf numFmtId="6" fontId="58" fillId="0" borderId="0" xfId="0" applyNumberFormat="1" applyFont="1"/>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55"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readingOrder="1"/>
      <protection locked="0"/>
    </xf>
    <xf numFmtId="0" fontId="14" fillId="0" borderId="129" xfId="0" applyNumberFormat="1" applyFont="1" applyBorder="1" applyAlignment="1" applyProtection="1">
      <alignment horizontal="left" vertical="center" readingOrder="1"/>
      <protection locked="0"/>
    </xf>
    <xf numFmtId="0" fontId="11" fillId="0" borderId="129" xfId="0" applyFont="1" applyBorder="1" applyAlignment="1" applyProtection="1">
      <alignment vertical="center" readingOrder="1"/>
      <protection locked="0"/>
    </xf>
    <xf numFmtId="0" fontId="11" fillId="0" borderId="127"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57150</xdr:rowOff>
        </xdr:from>
        <xdr:to>
          <xdr:col>1</xdr:col>
          <xdr:colOff>885825</xdr:colOff>
          <xdr:row>4</xdr:row>
          <xdr:rowOff>85725</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66675</xdr:rowOff>
        </xdr:from>
        <xdr:to>
          <xdr:col>1</xdr:col>
          <xdr:colOff>1895475</xdr:colOff>
          <xdr:row>4</xdr:row>
          <xdr:rowOff>104775</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76200</xdr:rowOff>
        </xdr:from>
        <xdr:to>
          <xdr:col>1</xdr:col>
          <xdr:colOff>2876550</xdr:colOff>
          <xdr:row>4</xdr:row>
          <xdr:rowOff>114300</xdr:rowOff>
        </xdr:to>
        <xdr:sp macro="" textlink="">
          <xdr:nvSpPr>
            <xdr:cNvPr id="36870" name="Object 6" hidden="1">
              <a:extLst>
                <a:ext uri="{63B3BB69-23CF-44E3-9099-C40C66FF867C}">
                  <a14:compatExt spid="_x0000_s368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xdr:row>
          <xdr:rowOff>152400</xdr:rowOff>
        </xdr:from>
        <xdr:to>
          <xdr:col>1</xdr:col>
          <xdr:colOff>876300</xdr:colOff>
          <xdr:row>9</xdr:row>
          <xdr:rowOff>28575</xdr:rowOff>
        </xdr:to>
        <xdr:sp macro="" textlink="">
          <xdr:nvSpPr>
            <xdr:cNvPr id="36871" name="Object 7" hidden="1">
              <a:extLst>
                <a:ext uri="{63B3BB69-23CF-44E3-9099-C40C66FF867C}">
                  <a14:compatExt spid="_x0000_s368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5</xdr:row>
          <xdr:rowOff>0</xdr:rowOff>
        </xdr:from>
        <xdr:to>
          <xdr:col>1</xdr:col>
          <xdr:colOff>1905000</xdr:colOff>
          <xdr:row>9</xdr:row>
          <xdr:rowOff>38100</xdr:rowOff>
        </xdr:to>
        <xdr:sp macro="" textlink="">
          <xdr:nvSpPr>
            <xdr:cNvPr id="36872" name="Object 8" hidden="1">
              <a:extLst>
                <a:ext uri="{63B3BB69-23CF-44E3-9099-C40C66FF867C}">
                  <a14:compatExt spid="_x0000_s368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5"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6"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7"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5"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6"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7"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8"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7" t="s">
        <v>425</v>
      </c>
      <c r="J1" s="2008"/>
      <c r="K1" s="2008"/>
      <c r="L1" s="2008"/>
      <c r="M1" s="2008"/>
      <c r="N1" s="2008"/>
      <c r="O1" s="2008"/>
      <c r="P1" s="2008"/>
      <c r="Q1" s="2008"/>
      <c r="R1" s="2008"/>
      <c r="S1" s="2008"/>
    </row>
    <row r="2" spans="1:28" ht="12" customHeight="1" x14ac:dyDescent="0.2">
      <c r="A2" s="47" t="s">
        <v>1684</v>
      </c>
      <c r="D2" s="48"/>
      <c r="I2" s="2009" t="s">
        <v>1036</v>
      </c>
      <c r="J2" s="2008"/>
      <c r="K2" s="2008"/>
      <c r="L2" s="2008"/>
      <c r="M2" s="2008"/>
      <c r="N2" s="2008"/>
      <c r="O2" s="2008"/>
      <c r="P2" s="2008"/>
      <c r="Q2" s="2008"/>
      <c r="R2" s="2008"/>
      <c r="S2" s="2008"/>
    </row>
    <row r="3" spans="1:28" ht="12" customHeight="1" x14ac:dyDescent="0.2">
      <c r="A3" s="155" t="s">
        <v>1685</v>
      </c>
      <c r="B3" s="156"/>
      <c r="C3" s="156"/>
      <c r="D3" s="157"/>
      <c r="I3" s="2009" t="s">
        <v>54</v>
      </c>
      <c r="J3" s="2008"/>
      <c r="K3" s="2008"/>
      <c r="L3" s="2008"/>
      <c r="M3" s="2008"/>
      <c r="N3" s="2008"/>
      <c r="O3" s="2008"/>
      <c r="P3" s="2008"/>
      <c r="Q3" s="2008"/>
      <c r="R3" s="2008"/>
      <c r="S3" s="2008"/>
    </row>
    <row r="4" spans="1:28" ht="12" customHeight="1" x14ac:dyDescent="0.2">
      <c r="A4" s="37"/>
      <c r="I4" s="2009" t="s">
        <v>545</v>
      </c>
      <c r="J4" s="2008"/>
      <c r="K4" s="2008"/>
      <c r="L4" s="2008"/>
      <c r="M4" s="2008"/>
      <c r="N4" s="2008"/>
      <c r="O4" s="2008"/>
      <c r="P4" s="2008"/>
      <c r="Q4" s="2008"/>
      <c r="R4" s="2008"/>
      <c r="S4" s="2008"/>
    </row>
    <row r="5" spans="1:28" ht="14.1" customHeight="1" x14ac:dyDescent="0.2">
      <c r="B5" s="104" t="s">
        <v>2084</v>
      </c>
      <c r="C5" s="26" t="s">
        <v>966</v>
      </c>
      <c r="D5" s="84"/>
      <c r="E5" s="84"/>
      <c r="H5" s="38"/>
      <c r="I5" s="2017" t="s">
        <v>701</v>
      </c>
      <c r="J5" s="2016"/>
      <c r="K5" s="2016"/>
      <c r="L5" s="2016"/>
      <c r="M5" s="2016"/>
      <c r="N5" s="2016"/>
      <c r="O5" s="2016"/>
      <c r="P5" s="2016"/>
      <c r="Q5" s="2016"/>
      <c r="R5" s="2016"/>
      <c r="S5" s="2016"/>
    </row>
    <row r="6" spans="1:28" ht="14.1" customHeight="1" x14ac:dyDescent="0.2">
      <c r="B6" s="104"/>
      <c r="C6" s="26" t="s">
        <v>967</v>
      </c>
      <c r="D6" s="84"/>
      <c r="E6" s="84"/>
      <c r="I6" s="2015" t="s">
        <v>938</v>
      </c>
      <c r="J6" s="2016"/>
      <c r="K6" s="2016"/>
      <c r="L6" s="2016"/>
      <c r="M6" s="2016"/>
      <c r="N6" s="2016"/>
      <c r="O6" s="2016"/>
      <c r="P6" s="2016"/>
      <c r="Q6" s="2016"/>
      <c r="R6" s="2016"/>
      <c r="S6" s="2016"/>
    </row>
    <row r="7" spans="1:28" ht="12.2" customHeight="1" x14ac:dyDescent="0.2">
      <c r="I7" s="2010">
        <v>43281</v>
      </c>
      <c r="J7" s="2011"/>
      <c r="K7" s="2011"/>
      <c r="L7" s="2011"/>
      <c r="M7" s="2011"/>
      <c r="N7" s="2011"/>
      <c r="O7" s="2011"/>
      <c r="P7" s="2011"/>
      <c r="Q7" s="2011"/>
      <c r="R7" s="2011"/>
      <c r="S7" s="201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2" t="s">
        <v>695</v>
      </c>
      <c r="J9" s="2013"/>
      <c r="K9" s="2013"/>
      <c r="L9" s="2013"/>
      <c r="M9" s="2013"/>
      <c r="N9" s="2013"/>
      <c r="O9" s="2013"/>
      <c r="P9" s="2013"/>
      <c r="Q9" s="2013"/>
      <c r="R9" s="2013"/>
      <c r="S9" s="2014"/>
      <c r="T9" s="2028" t="s">
        <v>554</v>
      </c>
      <c r="U9" s="2029"/>
      <c r="V9" s="2029"/>
      <c r="W9" s="2029"/>
      <c r="X9" s="2029"/>
      <c r="Y9" s="2029"/>
      <c r="Z9" s="2029"/>
      <c r="AA9" s="2030"/>
    </row>
    <row r="10" spans="1:28" ht="13.5" customHeight="1" x14ac:dyDescent="0.2">
      <c r="A10" s="2035" t="s">
        <v>696</v>
      </c>
      <c r="B10" s="2036"/>
      <c r="C10" s="2036"/>
      <c r="D10" s="2036"/>
      <c r="E10" s="2036"/>
      <c r="F10" s="2036"/>
      <c r="G10" s="2036"/>
      <c r="H10" s="2037"/>
      <c r="I10" s="29"/>
      <c r="J10" s="30"/>
      <c r="K10" s="28"/>
      <c r="R10" s="30"/>
      <c r="S10" s="30"/>
      <c r="T10" s="2031"/>
      <c r="U10" s="2016"/>
      <c r="V10" s="2016"/>
      <c r="W10" s="2016"/>
      <c r="X10" s="2016"/>
      <c r="Y10" s="2016"/>
      <c r="Z10" s="2016"/>
      <c r="AA10" s="2022"/>
    </row>
    <row r="11" spans="1:28" ht="14.25" customHeight="1" x14ac:dyDescent="0.2">
      <c r="A11" s="2038" t="s">
        <v>1012</v>
      </c>
      <c r="B11" s="2039"/>
      <c r="C11" s="2039"/>
      <c r="D11" s="2039"/>
      <c r="E11" s="2039"/>
      <c r="F11" s="2039"/>
      <c r="G11" s="2039"/>
      <c r="H11" s="2040"/>
      <c r="I11" s="27"/>
      <c r="J11" s="74"/>
      <c r="K11" s="27"/>
      <c r="O11" s="148" t="s">
        <v>2084</v>
      </c>
      <c r="P11" s="100" t="s">
        <v>210</v>
      </c>
      <c r="Q11" s="30"/>
      <c r="R11" s="28"/>
      <c r="S11" s="27"/>
      <c r="T11" s="2032"/>
      <c r="U11" s="2033"/>
      <c r="V11" s="2033"/>
      <c r="W11" s="2033"/>
      <c r="X11" s="2033"/>
      <c r="Y11" s="2033"/>
      <c r="Z11" s="2033"/>
      <c r="AA11" s="203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2">
        <v>3026202026</v>
      </c>
      <c r="B13" s="2043"/>
      <c r="C13" s="2043"/>
      <c r="D13" s="2043"/>
      <c r="E13" s="2043"/>
      <c r="F13" s="2043"/>
      <c r="G13" s="2043"/>
      <c r="H13" s="2044"/>
      <c r="I13" s="31"/>
      <c r="J13" s="30"/>
      <c r="K13" s="28"/>
      <c r="L13" s="30"/>
      <c r="M13" s="30"/>
      <c r="N13" s="30"/>
      <c r="O13" s="30"/>
      <c r="P13" s="30"/>
      <c r="Q13" s="30"/>
      <c r="R13" s="30"/>
      <c r="S13" s="30"/>
      <c r="T13" s="2047" t="s">
        <v>2077</v>
      </c>
      <c r="U13" s="2048"/>
      <c r="V13" s="2048"/>
      <c r="W13" s="2048"/>
      <c r="X13" s="2048"/>
      <c r="Y13" s="2049"/>
      <c r="Z13" s="2049"/>
      <c r="AA13" s="205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1" t="s">
        <v>2086</v>
      </c>
      <c r="B15" s="2045"/>
      <c r="C15" s="2045"/>
      <c r="D15" s="2045"/>
      <c r="E15" s="2045"/>
      <c r="F15" s="2045"/>
      <c r="G15" s="2045"/>
      <c r="H15" s="2046"/>
      <c r="T15" s="2051" t="s">
        <v>2096</v>
      </c>
      <c r="U15" s="1995"/>
      <c r="V15" s="1995"/>
      <c r="W15" s="1995"/>
      <c r="X15" s="1995"/>
      <c r="Y15" s="2052"/>
      <c r="Z15" s="2052"/>
      <c r="AA15" s="205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1" t="s">
        <v>2151</v>
      </c>
      <c r="B17" s="2002"/>
      <c r="C17" s="2002"/>
      <c r="D17" s="2002"/>
      <c r="E17" s="2002"/>
      <c r="F17" s="2002"/>
      <c r="G17" s="2002"/>
      <c r="H17" s="2027"/>
      <c r="T17" s="2058" t="s">
        <v>2078</v>
      </c>
      <c r="U17" s="2059"/>
      <c r="V17" s="2059"/>
      <c r="W17" s="2059"/>
      <c r="X17" s="2059"/>
      <c r="Y17" s="2059"/>
      <c r="Z17" s="2059"/>
      <c r="AA17" s="2060"/>
    </row>
    <row r="18" spans="1:27" ht="13.5" customHeight="1" x14ac:dyDescent="0.2">
      <c r="A18" s="85" t="s">
        <v>551</v>
      </c>
      <c r="B18" s="76"/>
      <c r="C18" s="72"/>
      <c r="D18" s="76"/>
      <c r="E18" s="76"/>
      <c r="F18" s="76"/>
      <c r="G18" s="76"/>
      <c r="H18" s="56"/>
      <c r="I18" s="2026" t="s">
        <v>697</v>
      </c>
      <c r="J18" s="1977"/>
      <c r="K18" s="1977"/>
      <c r="L18" s="1977"/>
      <c r="M18" s="1977"/>
      <c r="N18" s="1977"/>
      <c r="O18" s="1977"/>
      <c r="P18" s="1977"/>
      <c r="Q18" s="1977"/>
      <c r="R18" s="1977"/>
      <c r="S18" s="1978"/>
      <c r="T18" s="85" t="s">
        <v>735</v>
      </c>
      <c r="U18" s="51"/>
      <c r="V18" s="72"/>
      <c r="W18" s="50"/>
      <c r="X18" s="85" t="s">
        <v>284</v>
      </c>
      <c r="Y18" s="81"/>
      <c r="Z18" s="159" t="s">
        <v>698</v>
      </c>
      <c r="AA18" s="46"/>
    </row>
    <row r="19" spans="1:27" ht="13.5" customHeight="1" x14ac:dyDescent="0.2">
      <c r="A19" s="2041" t="s">
        <v>2087</v>
      </c>
      <c r="B19" s="1987"/>
      <c r="C19" s="1987"/>
      <c r="D19" s="1987"/>
      <c r="E19" s="1987"/>
      <c r="F19" s="1987"/>
      <c r="G19" s="1987"/>
      <c r="H19" s="1967"/>
      <c r="I19" s="30"/>
      <c r="J19" s="99"/>
      <c r="K19" s="40"/>
      <c r="L19" s="38"/>
      <c r="M19" s="112" t="s">
        <v>333</v>
      </c>
      <c r="P19" s="27"/>
      <c r="Q19" s="27"/>
      <c r="R19" s="27"/>
      <c r="S19" s="31"/>
      <c r="T19" s="2041" t="s">
        <v>2079</v>
      </c>
      <c r="U19" s="1966"/>
      <c r="V19" s="1966"/>
      <c r="W19" s="1967"/>
      <c r="X19" s="2056" t="s">
        <v>2080</v>
      </c>
      <c r="Y19" s="2057"/>
      <c r="Z19" s="2054">
        <v>62565</v>
      </c>
      <c r="AA19" s="205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5" t="s">
        <v>2088</v>
      </c>
      <c r="B21" s="1966"/>
      <c r="C21" s="1966"/>
      <c r="D21" s="1966"/>
      <c r="E21" s="1966"/>
      <c r="F21" s="1966"/>
      <c r="G21" s="1966"/>
      <c r="H21" s="1967"/>
      <c r="I21" s="2021" t="s">
        <v>699</v>
      </c>
      <c r="J21" s="2016"/>
      <c r="K21" s="2016"/>
      <c r="L21" s="2016"/>
      <c r="M21" s="2016"/>
      <c r="N21" s="2016"/>
      <c r="O21" s="2016"/>
      <c r="P21" s="2016"/>
      <c r="Q21" s="2016"/>
      <c r="R21" s="2016"/>
      <c r="S21" s="2022"/>
      <c r="T21" s="2065" t="s">
        <v>2081</v>
      </c>
      <c r="U21" s="2066"/>
      <c r="V21" s="2066"/>
      <c r="W21" s="2066"/>
      <c r="X21" s="2071" t="s">
        <v>2085</v>
      </c>
      <c r="Y21" s="2072"/>
      <c r="Z21" s="2072"/>
      <c r="AA21" s="2073"/>
    </row>
    <row r="22" spans="1:27" ht="13.5" customHeight="1" x14ac:dyDescent="0.2">
      <c r="A22" s="87" t="s">
        <v>552</v>
      </c>
      <c r="B22" s="59"/>
      <c r="C22" s="59"/>
      <c r="D22" s="59"/>
      <c r="E22" s="59"/>
      <c r="F22" s="59"/>
      <c r="G22" s="59"/>
      <c r="H22" s="60"/>
      <c r="I22" s="2023" t="s">
        <v>1504</v>
      </c>
      <c r="J22" s="2024"/>
      <c r="K22" s="2024"/>
      <c r="L22" s="2024"/>
      <c r="M22" s="2024"/>
      <c r="N22" s="2024"/>
      <c r="O22" s="2024"/>
      <c r="P22" s="2024"/>
      <c r="Q22" s="2024"/>
      <c r="R22" s="2024"/>
      <c r="S22" s="2025"/>
      <c r="T22" s="85" t="s">
        <v>1596</v>
      </c>
      <c r="U22" s="51"/>
      <c r="V22" s="72"/>
      <c r="W22" s="51"/>
      <c r="X22" s="160" t="s">
        <v>1385</v>
      </c>
      <c r="Z22" s="45"/>
      <c r="AA22" s="46"/>
    </row>
    <row r="23" spans="1:27" ht="13.5" customHeight="1" x14ac:dyDescent="0.2">
      <c r="A23" s="2018" t="s">
        <v>2089</v>
      </c>
      <c r="B23" s="2019"/>
      <c r="C23" s="2019"/>
      <c r="D23" s="2019"/>
      <c r="E23" s="2019"/>
      <c r="F23" s="2019"/>
      <c r="G23" s="2019"/>
      <c r="H23" s="2020"/>
      <c r="T23" s="2001" t="s">
        <v>2082</v>
      </c>
      <c r="U23" s="2064"/>
      <c r="V23" s="2064"/>
      <c r="W23" s="2064"/>
      <c r="X23" s="2068">
        <v>43434</v>
      </c>
      <c r="Y23" s="2069"/>
      <c r="Z23" s="2069"/>
      <c r="AA23" s="2070"/>
    </row>
    <row r="24" spans="1:27" ht="14.1" customHeight="1" x14ac:dyDescent="0.2">
      <c r="A24" s="88" t="s">
        <v>698</v>
      </c>
      <c r="B24" s="49"/>
      <c r="C24" s="49"/>
      <c r="D24" s="49"/>
      <c r="E24" s="49"/>
      <c r="F24" s="49"/>
      <c r="G24" s="49"/>
      <c r="H24" s="61"/>
      <c r="J24" s="1988">
        <f>IF(B5="x",IF(AUDITCHECK!D29="AFR form Incomplete.","",IF(AUDITCHECK!D29="Deficit reduction plan is required.","School District must complete a deficit reduction plan in the 2018-2019 Budget",)),"")</f>
        <v>0</v>
      </c>
      <c r="K24" s="1988"/>
      <c r="L24" s="1988"/>
      <c r="M24" s="1988"/>
      <c r="N24" s="1988"/>
      <c r="O24" s="1988"/>
      <c r="P24" s="1988"/>
      <c r="Q24" s="1988"/>
      <c r="R24" s="1988"/>
      <c r="S24" s="1989"/>
      <c r="T24" s="105" t="s">
        <v>552</v>
      </c>
      <c r="U24" s="106"/>
      <c r="V24" s="106"/>
      <c r="W24" s="106"/>
      <c r="X24" s="107"/>
      <c r="Y24" s="107"/>
      <c r="Z24" s="107"/>
      <c r="AA24" s="108"/>
    </row>
    <row r="25" spans="1:27" ht="14.1" customHeight="1" x14ac:dyDescent="0.2">
      <c r="A25" s="1965">
        <v>62458</v>
      </c>
      <c r="B25" s="1966"/>
      <c r="C25" s="1966"/>
      <c r="D25" s="1966"/>
      <c r="E25" s="1966"/>
      <c r="F25" s="1966"/>
      <c r="G25" s="1966"/>
      <c r="H25" s="1967"/>
      <c r="I25" s="113"/>
      <c r="J25" s="1990"/>
      <c r="K25" s="1990"/>
      <c r="L25" s="1990"/>
      <c r="M25" s="1990"/>
      <c r="N25" s="1990"/>
      <c r="O25" s="1990"/>
      <c r="P25" s="1990"/>
      <c r="Q25" s="1990"/>
      <c r="R25" s="1990"/>
      <c r="S25" s="1991"/>
      <c r="T25" s="2061" t="s">
        <v>2083</v>
      </c>
      <c r="U25" s="2062"/>
      <c r="V25" s="2062"/>
      <c r="W25" s="2062"/>
      <c r="X25" s="2062"/>
      <c r="Y25" s="2062"/>
      <c r="Z25" s="2062"/>
      <c r="AA25" s="20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6" t="s">
        <v>1591</v>
      </c>
      <c r="J27" s="1977"/>
      <c r="K27" s="1977"/>
      <c r="L27" s="1977"/>
      <c r="M27" s="1977"/>
      <c r="N27" s="1977"/>
      <c r="O27" s="1977"/>
      <c r="P27" s="1977"/>
      <c r="Q27" s="1977"/>
      <c r="R27" s="1977"/>
      <c r="S27" s="197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7"/>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1" t="s">
        <v>2090</v>
      </c>
      <c r="B38" s="2002"/>
      <c r="C38" s="2002"/>
      <c r="D38" s="2002"/>
      <c r="E38" s="2002"/>
      <c r="F38" s="1966"/>
      <c r="G38" s="1966"/>
      <c r="H38" s="1967"/>
      <c r="I38" s="1994"/>
      <c r="J38" s="1995"/>
      <c r="K38" s="1995"/>
      <c r="L38" s="1995"/>
      <c r="M38" s="1995"/>
      <c r="N38" s="1995"/>
      <c r="O38" s="1995"/>
      <c r="P38" s="1996"/>
      <c r="Q38" s="1996"/>
      <c r="R38" s="1996"/>
      <c r="S38" s="1997"/>
      <c r="T38" s="2051" t="s">
        <v>2093</v>
      </c>
      <c r="U38" s="1995"/>
      <c r="V38" s="1995"/>
      <c r="W38" s="1995"/>
      <c r="X38" s="1996"/>
      <c r="Y38" s="1996"/>
      <c r="Z38" s="1996"/>
      <c r="AA38" s="1997"/>
    </row>
    <row r="39" spans="1:27" ht="12" customHeight="1" x14ac:dyDescent="0.2">
      <c r="A39" s="1971" t="s">
        <v>552</v>
      </c>
      <c r="B39" s="1972"/>
      <c r="C39" s="72"/>
      <c r="D39" s="69"/>
      <c r="E39" s="69"/>
      <c r="F39" s="79"/>
      <c r="G39" s="69"/>
      <c r="H39" s="56"/>
      <c r="I39" s="1971" t="s">
        <v>552</v>
      </c>
      <c r="J39" s="1972"/>
      <c r="K39" s="1972"/>
      <c r="L39" s="1972"/>
      <c r="M39" s="1972"/>
      <c r="N39" s="67"/>
      <c r="O39" s="72"/>
      <c r="P39" s="72"/>
      <c r="Q39" s="78"/>
      <c r="R39" s="72"/>
      <c r="S39" s="56"/>
      <c r="T39" s="72" t="s">
        <v>552</v>
      </c>
      <c r="U39" s="51"/>
      <c r="V39" s="72"/>
      <c r="W39" s="50"/>
      <c r="X39" s="78"/>
      <c r="Y39" s="45"/>
      <c r="Z39" s="45"/>
      <c r="AA39" s="46"/>
    </row>
    <row r="40" spans="1:27" ht="13.5" customHeight="1" x14ac:dyDescent="0.2">
      <c r="A40" s="1979" t="s">
        <v>2089</v>
      </c>
      <c r="B40" s="1980"/>
      <c r="C40" s="1981"/>
      <c r="D40" s="1981"/>
      <c r="E40" s="1981"/>
      <c r="F40" s="1982"/>
      <c r="G40" s="1982"/>
      <c r="H40" s="1983"/>
      <c r="I40" s="2004"/>
      <c r="J40" s="2005"/>
      <c r="K40" s="2005"/>
      <c r="L40" s="2005"/>
      <c r="M40" s="2005"/>
      <c r="N40" s="2005"/>
      <c r="O40" s="2005"/>
      <c r="P40" s="2005"/>
      <c r="Q40" s="2005"/>
      <c r="R40" s="2005"/>
      <c r="S40" s="2006"/>
      <c r="T40" s="2004" t="s">
        <v>2125</v>
      </c>
      <c r="U40" s="2067"/>
      <c r="V40" s="2005"/>
      <c r="W40" s="2005"/>
      <c r="X40" s="2005"/>
      <c r="Y40" s="2005"/>
      <c r="Z40" s="2005"/>
      <c r="AA40" s="200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3" t="s">
        <v>2091</v>
      </c>
      <c r="B42" s="1985"/>
      <c r="C42" s="1986"/>
      <c r="D42" s="1984" t="s">
        <v>2092</v>
      </c>
      <c r="E42" s="1985"/>
      <c r="F42" s="1985"/>
      <c r="G42" s="1985"/>
      <c r="H42" s="1986"/>
      <c r="I42" s="1968"/>
      <c r="J42" s="1969"/>
      <c r="K42" s="1969"/>
      <c r="L42" s="1969"/>
      <c r="M42" s="1969"/>
      <c r="N42" s="1969"/>
      <c r="O42" s="1970"/>
      <c r="P42" s="2003"/>
      <c r="Q42" s="1969"/>
      <c r="R42" s="1969"/>
      <c r="S42" s="1970"/>
      <c r="T42" s="1968" t="s">
        <v>2094</v>
      </c>
      <c r="U42" s="1969"/>
      <c r="V42" s="1969"/>
      <c r="W42" s="1970"/>
      <c r="X42" s="2003" t="s">
        <v>2095</v>
      </c>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8"/>
      <c r="B44" s="1999"/>
      <c r="C44" s="1999"/>
      <c r="D44" s="1999"/>
      <c r="E44" s="1999"/>
      <c r="F44" s="1999"/>
      <c r="G44" s="1999"/>
      <c r="H44" s="2000"/>
      <c r="I44" s="1973"/>
      <c r="J44" s="1974"/>
      <c r="K44" s="1974"/>
      <c r="L44" s="1974"/>
      <c r="M44" s="1974"/>
      <c r="N44" s="1974"/>
      <c r="O44" s="1974"/>
      <c r="P44" s="1974"/>
      <c r="Q44" s="1974"/>
      <c r="R44" s="1974"/>
      <c r="S44" s="1975"/>
      <c r="T44" s="1973"/>
      <c r="U44" s="1992"/>
      <c r="V44" s="1992"/>
      <c r="W44" s="1992"/>
      <c r="X44" s="1992"/>
      <c r="Y44" s="1992"/>
      <c r="Z44" s="1974"/>
      <c r="AA44" s="197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7" t="s">
        <v>1125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715</v>
      </c>
      <c r="B40" s="2074"/>
      <c r="C40" s="2074"/>
      <c r="D40" s="2074"/>
      <c r="E40" s="2074"/>
    </row>
    <row r="41" spans="1:5" x14ac:dyDescent="0.2">
      <c r="A41" s="2075" t="s">
        <v>1706</v>
      </c>
      <c r="B41" s="2075"/>
      <c r="C41" s="2075"/>
      <c r="D41" s="2075"/>
      <c r="E41" s="2075"/>
    </row>
    <row r="42" spans="1:5" ht="12.75" customHeight="1" x14ac:dyDescent="0.2">
      <c r="A42" s="2076" t="s">
        <v>1080</v>
      </c>
      <c r="B42" s="2076"/>
      <c r="C42" s="2076"/>
      <c r="D42" s="2076"/>
      <c r="E42" s="207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1230</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2084</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2" t="s">
        <v>1731</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331</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t="s">
        <v>2129</v>
      </c>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1390</v>
      </c>
      <c r="B70" s="2095"/>
      <c r="C70" s="2095"/>
      <c r="D70" s="2095"/>
      <c r="E70" s="2096"/>
      <c r="F70" s="2096"/>
      <c r="G70" s="2096"/>
      <c r="H70" s="2096"/>
      <c r="I70" s="209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1387</v>
      </c>
      <c r="B83" s="2097"/>
      <c r="C83" s="2097"/>
      <c r="D83" s="209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2077</v>
      </c>
      <c r="D114" s="208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1397</v>
      </c>
      <c r="D117" s="2090"/>
      <c r="E117" s="2091"/>
      <c r="F117" s="2091"/>
      <c r="G117" s="2091"/>
      <c r="H117" s="2091"/>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404</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31973337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1.6613300000000001E-2</v>
      </c>
      <c r="E10" s="356" t="s">
        <v>1062</v>
      </c>
      <c r="F10" s="355">
        <v>4.5145000000000003E-3</v>
      </c>
      <c r="G10" s="356" t="s">
        <v>1062</v>
      </c>
      <c r="H10" s="355">
        <v>1.8056999999999999E-3</v>
      </c>
      <c r="I10" s="356" t="s">
        <v>1063</v>
      </c>
      <c r="J10" s="1753">
        <f>ROUND(D10+F10+H10,5)</f>
        <v>2.2929999999999999E-2</v>
      </c>
      <c r="K10" s="222"/>
      <c r="L10" s="355">
        <v>4.5140000000000002E-4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4169199</v>
      </c>
      <c r="E16" s="356"/>
      <c r="F16" s="1754">
        <f>SUM('Acct Summary 7-8'!C17,'Acct Summary 7-8'!D17,'Acct Summary 7-8'!F17)</f>
        <v>3835031</v>
      </c>
      <c r="G16" s="356"/>
      <c r="H16" s="1754">
        <f>SUM(D16-F16)</f>
        <v>334168</v>
      </c>
      <c r="I16" s="222"/>
      <c r="J16" s="1754">
        <f>SUM('Acct Summary 7-8'!C81,'Acct Summary 7-8'!D81,'Acct Summary 7-8'!F81,'Acct Summary 7-8'!I81)</f>
        <v>2241286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4412320.5060000001</v>
      </c>
      <c r="I31" s="368"/>
      <c r="J31" s="222"/>
      <c r="K31" s="222"/>
      <c r="L31" s="222"/>
      <c r="M31" s="222"/>
    </row>
    <row r="32" spans="1:13" ht="13.35" customHeight="1" x14ac:dyDescent="0.2">
      <c r="B32" s="369" t="s">
        <v>2084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1513280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577</v>
      </c>
      <c r="B2" s="2127"/>
      <c r="C2" s="2127"/>
      <c r="D2" s="2127"/>
      <c r="E2" s="2127"/>
      <c r="F2" s="2127"/>
      <c r="G2" s="2127"/>
      <c r="H2" s="2127"/>
      <c r="I2" s="2127"/>
      <c r="J2" s="2127"/>
      <c r="K2" s="2127"/>
      <c r="L2" s="2127"/>
      <c r="M2" s="2127"/>
      <c r="N2" s="2127"/>
      <c r="O2" s="2127"/>
      <c r="P2" s="2127"/>
      <c r="Q2" s="2127"/>
      <c r="R2" s="2127"/>
    </row>
    <row r="3" spans="1:18" ht="12.75" x14ac:dyDescent="0.2">
      <c r="A3" s="2128" t="s">
        <v>1480</v>
      </c>
      <c r="B3" s="2128"/>
      <c r="C3" s="2128"/>
      <c r="D3" s="2128"/>
      <c r="E3" s="2128"/>
      <c r="F3" s="2128"/>
      <c r="G3" s="2128"/>
      <c r="H3" s="2128"/>
      <c r="I3" s="2128"/>
      <c r="J3" s="2128"/>
      <c r="K3" s="2128"/>
      <c r="L3" s="2128"/>
      <c r="M3" s="2128"/>
      <c r="N3" s="2128"/>
      <c r="O3" s="2128"/>
      <c r="P3" s="2128"/>
      <c r="Q3" s="2128"/>
      <c r="R3" s="2128"/>
    </row>
    <row r="4" spans="1:18" x14ac:dyDescent="0.2">
      <c r="A4" s="2129" t="s">
        <v>1635</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 Elmo CUSD 202</v>
      </c>
      <c r="E7" s="391"/>
      <c r="G7" s="252"/>
      <c r="H7" s="387"/>
      <c r="I7" s="387"/>
      <c r="J7" s="387"/>
      <c r="K7" s="387"/>
      <c r="L7" s="329"/>
      <c r="M7" s="329"/>
      <c r="N7" s="329"/>
      <c r="O7" s="329"/>
      <c r="P7" s="329"/>
    </row>
    <row r="8" spans="1:18" ht="12.75" x14ac:dyDescent="0.2">
      <c r="A8" s="329"/>
      <c r="B8" s="329"/>
      <c r="C8" s="389" t="s">
        <v>1187</v>
      </c>
      <c r="D8" s="392">
        <f>COVER!A13</f>
        <v>3026202026</v>
      </c>
      <c r="E8" s="393"/>
      <c r="G8" s="329"/>
      <c r="H8" s="329"/>
      <c r="I8" s="329"/>
      <c r="J8" s="329"/>
      <c r="K8" s="329"/>
      <c r="L8" s="329"/>
      <c r="M8" s="329"/>
      <c r="N8" s="329"/>
      <c r="O8" s="329"/>
      <c r="P8" s="329"/>
    </row>
    <row r="9" spans="1:18" ht="12.75" x14ac:dyDescent="0.2">
      <c r="A9" s="329"/>
      <c r="B9" s="329"/>
      <c r="C9" s="389" t="s">
        <v>737</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2241286</v>
      </c>
      <c r="I12" s="404"/>
      <c r="J12" s="404"/>
      <c r="K12" s="405">
        <f>TRUNC((H12/H13*100000),5)/100000</f>
        <v>0.53819573510000007</v>
      </c>
      <c r="L12" s="406"/>
      <c r="M12" s="360" t="s">
        <v>1206</v>
      </c>
      <c r="N12" s="360"/>
      <c r="O12" s="407">
        <v>0.35</v>
      </c>
      <c r="P12" s="218"/>
      <c r="Q12" s="218"/>
    </row>
    <row r="13" spans="1:18" s="408" customFormat="1" ht="12.75" x14ac:dyDescent="0.2">
      <c r="A13" s="218"/>
      <c r="B13" s="401"/>
      <c r="C13" s="2125" t="s">
        <v>1391</v>
      </c>
      <c r="D13" s="2126"/>
      <c r="E13" s="218"/>
      <c r="F13" s="409" t="s">
        <v>826</v>
      </c>
      <c r="G13" s="402"/>
      <c r="H13" s="403">
        <f>SUM('Acct Summary 7-8'!C8+'Acct Summary 7-8'!D8+'Acct Summary 7-8'!F8+'Acct Summary 7-8'!I8)+H14</f>
        <v>4164444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-4755</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3835031</v>
      </c>
      <c r="I17" s="404"/>
      <c r="J17" s="416"/>
      <c r="K17" s="405">
        <f>TRUNC((H17/H18*100000),5)/100000</f>
        <v>0.92089868409999998</v>
      </c>
      <c r="L17" s="406"/>
      <c r="M17" s="417" t="s">
        <v>1233</v>
      </c>
      <c r="O17" s="418" t="str">
        <f>IF(AND(O16="2", J20 &gt; 2),"1",IF(AND(O16 = "1", J20 &gt; 2),"2",IF(AND(O16="1", J20 &gt;1),"1","0")))</f>
        <v>0</v>
      </c>
      <c r="P17" s="218"/>
    </row>
    <row r="18" spans="1:18" s="408" customFormat="1" ht="11.25" x14ac:dyDescent="0.2">
      <c r="A18" s="218"/>
      <c r="B18" s="401"/>
      <c r="C18" s="2125" t="s">
        <v>1384</v>
      </c>
      <c r="D18" s="2126"/>
      <c r="E18" s="218"/>
      <c r="F18" s="419" t="s">
        <v>827</v>
      </c>
      <c r="G18" s="402"/>
      <c r="H18" s="403">
        <f>SUM('Acct Summary 7-8'!C8+'Acct Summary 7-8'!D8+'Acct Summary 7-8'!F8+'Acct Summary 7-8'!I8)+H19</f>
        <v>4164444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-4755</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2" t="s">
        <v>1479</v>
      </c>
      <c r="D24" s="2122"/>
      <c r="E24" s="218"/>
      <c r="F24" s="218" t="s">
        <v>465</v>
      </c>
      <c r="G24" s="402"/>
      <c r="H24" s="403">
        <f>SUM('Assets-Liab 5-6'!C4+'Assets-Liab 5-6'!D4+'Assets-Liab 5-6'!F4+'Assets-Liab 5-6'!I4+'Assets-Liab 5-6'!C5+'Assets-Liab 5-6'!D5+'Assets-Liab 5-6'!F5+'Assets-Liab 5-6'!I5)</f>
        <v>2241319</v>
      </c>
      <c r="I24" s="422"/>
      <c r="J24" s="422"/>
      <c r="K24" s="423">
        <f>TRUNC(((H24/H25*100000)/100000),2)</f>
        <v>210.39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10652.863890000001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623176.32479999994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1513280</v>
      </c>
      <c r="I32" s="420"/>
      <c r="J32" s="420"/>
      <c r="K32" s="423">
        <f>TRUNC(100-((((H32/H33*100))*100)/100),2)</f>
        <v>65.7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4412320.5060000001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70" zoomScaleNormal="70" workbookViewId="0">
      <pane ySplit="2" topLeftCell="A21" activePane="bottomLeft" state="frozen"/>
      <selection pane="bottomLeft" activeCell="E40" sqref="E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2" t="s">
        <v>1030</v>
      </c>
      <c r="B3" s="2133"/>
      <c r="C3" s="1580"/>
      <c r="D3" s="1581"/>
      <c r="E3" s="1581"/>
      <c r="F3" s="1581"/>
      <c r="G3" s="1581"/>
      <c r="H3" s="1581"/>
      <c r="I3" s="1581"/>
      <c r="J3" s="1581"/>
      <c r="K3" s="1581"/>
      <c r="L3" s="1581"/>
      <c r="M3" s="1582"/>
      <c r="N3" s="1583"/>
    </row>
    <row r="4" spans="1:14" ht="13.5" customHeight="1" x14ac:dyDescent="0.2">
      <c r="A4" s="463" t="s">
        <v>1750</v>
      </c>
      <c r="B4" s="464"/>
      <c r="C4" s="465">
        <v>380840</v>
      </c>
      <c r="D4" s="466">
        <v>40214</v>
      </c>
      <c r="E4" s="466">
        <v>531</v>
      </c>
      <c r="F4" s="466">
        <v>81992</v>
      </c>
      <c r="G4" s="466">
        <v>428</v>
      </c>
      <c r="H4" s="466">
        <v>0</v>
      </c>
      <c r="I4" s="466">
        <v>705</v>
      </c>
      <c r="J4" s="467">
        <v>0</v>
      </c>
      <c r="K4" s="466">
        <v>503</v>
      </c>
      <c r="L4" s="466">
        <v>77686</v>
      </c>
      <c r="M4" s="468"/>
      <c r="N4" s="469"/>
    </row>
    <row r="5" spans="1:14" x14ac:dyDescent="0.2">
      <c r="A5" s="463" t="s">
        <v>1049</v>
      </c>
      <c r="B5" s="470">
        <v>120</v>
      </c>
      <c r="C5" s="465">
        <v>863841</v>
      </c>
      <c r="D5" s="466">
        <v>350981</v>
      </c>
      <c r="E5" s="466">
        <v>894115</v>
      </c>
      <c r="F5" s="466">
        <v>298970</v>
      </c>
      <c r="G5" s="466">
        <v>101613</v>
      </c>
      <c r="H5" s="466">
        <v>0</v>
      </c>
      <c r="I5" s="466">
        <v>223776</v>
      </c>
      <c r="J5" s="467">
        <v>96967</v>
      </c>
      <c r="K5" s="471">
        <v>52325</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143</v>
      </c>
      <c r="G12" s="466">
        <v>0</v>
      </c>
      <c r="H12" s="466">
        <v>0</v>
      </c>
      <c r="I12" s="466">
        <v>0</v>
      </c>
      <c r="J12" s="467">
        <v>0</v>
      </c>
      <c r="K12" s="466">
        <v>0</v>
      </c>
      <c r="L12" s="466"/>
      <c r="M12" s="469"/>
      <c r="N12" s="469"/>
    </row>
    <row r="13" spans="1:14" ht="13.5" customHeight="1" thickBot="1" x14ac:dyDescent="0.25">
      <c r="A13" s="1757" t="s">
        <v>665</v>
      </c>
      <c r="B13" s="1730"/>
      <c r="C13" s="1758">
        <f>SUM(C4:C12)</f>
        <v>1244681</v>
      </c>
      <c r="D13" s="1758">
        <f t="shared" ref="D13:L13" si="0">SUM(D4:D12)</f>
        <v>391195</v>
      </c>
      <c r="E13" s="1758">
        <f t="shared" si="0"/>
        <v>894646</v>
      </c>
      <c r="F13" s="1758">
        <f t="shared" si="0"/>
        <v>381105</v>
      </c>
      <c r="G13" s="1758">
        <f t="shared" si="0"/>
        <v>102041</v>
      </c>
      <c r="H13" s="1758">
        <f t="shared" si="0"/>
        <v>0</v>
      </c>
      <c r="I13" s="1758">
        <f t="shared" si="0"/>
        <v>224481</v>
      </c>
      <c r="J13" s="1758">
        <f t="shared" si="0"/>
        <v>96967</v>
      </c>
      <c r="K13" s="1758">
        <f t="shared" si="0"/>
        <v>52828</v>
      </c>
      <c r="L13" s="1758">
        <f t="shared" si="0"/>
        <v>77686</v>
      </c>
      <c r="M13" s="468"/>
      <c r="N13" s="469"/>
    </row>
    <row r="14" spans="1:14" ht="18" customHeight="1" thickTop="1" x14ac:dyDescent="0.2">
      <c r="A14" s="2134" t="s">
        <v>149</v>
      </c>
      <c r="B14" s="2135"/>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47503</v>
      </c>
      <c r="N16" s="484"/>
    </row>
    <row r="17" spans="1:14" s="485" customFormat="1" ht="12.75" customHeight="1" x14ac:dyDescent="0.2">
      <c r="A17" s="482" t="s">
        <v>1470</v>
      </c>
      <c r="B17" s="483">
        <v>230</v>
      </c>
      <c r="C17" s="477"/>
      <c r="D17" s="477"/>
      <c r="E17" s="477"/>
      <c r="F17" s="477"/>
      <c r="G17" s="477"/>
      <c r="H17" s="477"/>
      <c r="I17" s="477"/>
      <c r="J17" s="477"/>
      <c r="K17" s="477"/>
      <c r="L17" s="477"/>
      <c r="M17" s="467">
        <v>8294159</v>
      </c>
      <c r="N17" s="484"/>
    </row>
    <row r="18" spans="1:14" s="485" customFormat="1" ht="12.75" customHeight="1" x14ac:dyDescent="0.2">
      <c r="A18" s="482" t="s">
        <v>1471</v>
      </c>
      <c r="B18" s="483">
        <v>240</v>
      </c>
      <c r="C18" s="477"/>
      <c r="D18" s="477"/>
      <c r="E18" s="477"/>
      <c r="F18" s="477"/>
      <c r="G18" s="477"/>
      <c r="H18" s="477"/>
      <c r="I18" s="477"/>
      <c r="J18" s="477"/>
      <c r="K18" s="477"/>
      <c r="L18" s="477"/>
      <c r="M18" s="467">
        <v>143747</v>
      </c>
      <c r="N18" s="484"/>
    </row>
    <row r="19" spans="1:14" s="485" customFormat="1" ht="12.75" customHeight="1" x14ac:dyDescent="0.2">
      <c r="A19" s="482" t="s">
        <v>1472</v>
      </c>
      <c r="B19" s="483">
        <v>250</v>
      </c>
      <c r="C19" s="477"/>
      <c r="D19" s="477"/>
      <c r="E19" s="477"/>
      <c r="F19" s="477"/>
      <c r="G19" s="477"/>
      <c r="H19" s="477"/>
      <c r="I19" s="477"/>
      <c r="J19" s="477"/>
      <c r="K19" s="477"/>
      <c r="L19" s="477"/>
      <c r="M19" s="467">
        <v>950219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894646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618634</v>
      </c>
    </row>
    <row r="23" spans="1:14" ht="13.5" customHeight="1" thickBot="1" x14ac:dyDescent="0.25">
      <c r="A23" s="1757" t="s">
        <v>664</v>
      </c>
      <c r="B23" s="1762"/>
      <c r="C23" s="468"/>
      <c r="D23" s="468"/>
      <c r="E23" s="468"/>
      <c r="F23" s="468"/>
      <c r="G23" s="468"/>
      <c r="H23" s="468"/>
      <c r="I23" s="468"/>
      <c r="J23" s="468"/>
      <c r="K23" s="468"/>
      <c r="L23" s="468"/>
      <c r="M23" s="1709">
        <f>SUM(M15:M22)</f>
        <v>9435628</v>
      </c>
      <c r="N23" s="1709">
        <f>SUM(N21:N22)</f>
        <v>1513280</v>
      </c>
    </row>
    <row r="24" spans="1:14" ht="18" customHeight="1" thickTop="1" x14ac:dyDescent="0.2">
      <c r="A24" s="2136" t="s">
        <v>619</v>
      </c>
      <c r="B24" s="2137"/>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3609</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176</v>
      </c>
      <c r="D31" s="467">
        <v>0</v>
      </c>
      <c r="E31" s="467">
        <v>0</v>
      </c>
      <c r="F31" s="466">
        <v>0</v>
      </c>
      <c r="G31" s="467">
        <v>35</v>
      </c>
      <c r="H31" s="467">
        <v>0</v>
      </c>
      <c r="I31" s="467">
        <v>0</v>
      </c>
      <c r="J31" s="467">
        <v>26</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77686</v>
      </c>
      <c r="M33" s="468"/>
      <c r="N33" s="469"/>
    </row>
    <row r="34" spans="1:14" ht="13.5" customHeight="1" thickBot="1" x14ac:dyDescent="0.25">
      <c r="A34" s="1759" t="s">
        <v>675</v>
      </c>
      <c r="B34" s="1760"/>
      <c r="C34" s="1761">
        <f>SUM(C25:C33)</f>
        <v>176</v>
      </c>
      <c r="D34" s="1761">
        <f t="shared" ref="D34:K34" si="1">SUM(D25:D33)</f>
        <v>0</v>
      </c>
      <c r="E34" s="1761">
        <f t="shared" si="1"/>
        <v>0</v>
      </c>
      <c r="F34" s="1761">
        <f t="shared" si="1"/>
        <v>0</v>
      </c>
      <c r="G34" s="1761">
        <f t="shared" si="1"/>
        <v>35</v>
      </c>
      <c r="H34" s="1761">
        <f t="shared" si="1"/>
        <v>0</v>
      </c>
      <c r="I34" s="1761">
        <f t="shared" si="1"/>
        <v>0</v>
      </c>
      <c r="J34" s="1761">
        <f t="shared" si="1"/>
        <v>3635</v>
      </c>
      <c r="K34" s="1761">
        <f t="shared" si="1"/>
        <v>0</v>
      </c>
      <c r="L34" s="1742">
        <f>SUM(L33)</f>
        <v>77686</v>
      </c>
      <c r="M34" s="468"/>
      <c r="N34" s="480"/>
    </row>
    <row r="35" spans="1:14" ht="18" customHeight="1" thickTop="1" x14ac:dyDescent="0.2">
      <c r="A35" s="2138" t="s">
        <v>550</v>
      </c>
      <c r="B35" s="2139"/>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1513280</v>
      </c>
    </row>
    <row r="37" spans="1:14" ht="13.5" thickBot="1" x14ac:dyDescent="0.25">
      <c r="A37" s="1757" t="s">
        <v>674</v>
      </c>
      <c r="B37" s="1762"/>
      <c r="C37" s="477"/>
      <c r="D37" s="477"/>
      <c r="E37" s="477"/>
      <c r="F37" s="477"/>
      <c r="G37" s="477"/>
      <c r="H37" s="477"/>
      <c r="I37" s="477"/>
      <c r="J37" s="477"/>
      <c r="K37" s="477"/>
      <c r="L37" s="480"/>
      <c r="M37" s="468"/>
      <c r="N37" s="1709">
        <f>SUM(N36:N36)</f>
        <v>1513280</v>
      </c>
    </row>
    <row r="38" spans="1:14" s="329" customFormat="1" ht="13.5" customHeight="1" thickTop="1" x14ac:dyDescent="0.2">
      <c r="A38" s="496" t="s">
        <v>440</v>
      </c>
      <c r="B38" s="483">
        <v>714</v>
      </c>
      <c r="C38" s="466">
        <v>67004</v>
      </c>
      <c r="D38" s="466"/>
      <c r="E38" s="466">
        <v>882983</v>
      </c>
      <c r="F38" s="466"/>
      <c r="G38" s="466">
        <v>8918</v>
      </c>
      <c r="H38" s="466"/>
      <c r="I38" s="466"/>
      <c r="J38" s="467"/>
      <c r="K38" s="466"/>
      <c r="L38" s="481"/>
      <c r="M38" s="497"/>
      <c r="N38" s="497"/>
    </row>
    <row r="39" spans="1:14" s="329" customFormat="1" ht="13.5" customHeight="1" x14ac:dyDescent="0.2">
      <c r="A39" s="496" t="s">
        <v>360</v>
      </c>
      <c r="B39" s="483">
        <v>730</v>
      </c>
      <c r="C39" s="466">
        <v>1177501</v>
      </c>
      <c r="D39" s="466">
        <v>391195</v>
      </c>
      <c r="E39" s="466">
        <v>11663</v>
      </c>
      <c r="F39" s="466">
        <v>381105</v>
      </c>
      <c r="G39" s="466">
        <v>93088</v>
      </c>
      <c r="H39" s="466"/>
      <c r="I39" s="466">
        <v>224481</v>
      </c>
      <c r="J39" s="467">
        <v>93332</v>
      </c>
      <c r="K39" s="466">
        <v>52828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9435628</v>
      </c>
      <c r="N40" s="497"/>
    </row>
    <row r="41" spans="1:14" ht="13.5" customHeight="1" thickBot="1" x14ac:dyDescent="0.25">
      <c r="A41" s="1757" t="s">
        <v>676</v>
      </c>
      <c r="B41" s="1727"/>
      <c r="C41" s="1709">
        <f>(SUM(C34,C37,C38,C39))</f>
        <v>1244681</v>
      </c>
      <c r="D41" s="1709">
        <f t="shared" ref="D41:L41" si="2">SUM(D34,D37,D38:D39)</f>
        <v>391195</v>
      </c>
      <c r="E41" s="1709">
        <f t="shared" si="2"/>
        <v>894646</v>
      </c>
      <c r="F41" s="1709">
        <f t="shared" si="2"/>
        <v>381105</v>
      </c>
      <c r="G41" s="1709">
        <f t="shared" si="2"/>
        <v>102041</v>
      </c>
      <c r="H41" s="1709">
        <f t="shared" si="2"/>
        <v>0</v>
      </c>
      <c r="I41" s="1709">
        <f t="shared" si="2"/>
        <v>224481</v>
      </c>
      <c r="J41" s="1709">
        <f t="shared" si="2"/>
        <v>96967</v>
      </c>
      <c r="K41" s="1709">
        <f t="shared" si="2"/>
        <v>52828</v>
      </c>
      <c r="L41" s="1709">
        <f t="shared" si="2"/>
        <v>77686</v>
      </c>
      <c r="M41" s="1709">
        <f>SUM(M40)</f>
        <v>9435628</v>
      </c>
      <c r="N41" s="1709">
        <f>SUM(N37)</f>
        <v>1513280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0" t="s">
        <v>1237</v>
      </c>
      <c r="B3" s="2161"/>
      <c r="C3" s="1594"/>
      <c r="D3" s="1595"/>
      <c r="E3" s="1595"/>
      <c r="F3" s="1595"/>
      <c r="G3" s="1595"/>
      <c r="H3" s="1595"/>
      <c r="I3" s="1595"/>
      <c r="J3" s="1595"/>
      <c r="K3" s="1596"/>
      <c r="L3" s="506"/>
    </row>
    <row r="4" spans="1:13" ht="15.75" customHeight="1" x14ac:dyDescent="0.2">
      <c r="A4" s="1953" t="s">
        <v>1579</v>
      </c>
      <c r="B4" s="1954">
        <v>1000</v>
      </c>
      <c r="C4" s="1763">
        <f>'Revenues 9-14'!C109</f>
        <v>875549</v>
      </c>
      <c r="D4" s="1763">
        <f>'Revenues 9-14'!D109</f>
        <v>234436</v>
      </c>
      <c r="E4" s="1763">
        <f>'Revenues 9-14'!E109</f>
        <v>109548</v>
      </c>
      <c r="F4" s="1763">
        <f>'Revenues 9-14'!F109</f>
        <v>65528</v>
      </c>
      <c r="G4" s="1763">
        <f>'Revenues 9-14'!G109</f>
        <v>198081</v>
      </c>
      <c r="H4" s="1763">
        <f>'Revenues 9-14'!H109</f>
        <v>0</v>
      </c>
      <c r="I4" s="1763">
        <f>'Revenues 9-14'!I109</f>
        <v>16727</v>
      </c>
      <c r="J4" s="1763">
        <f>'Revenues 9-14'!J109</f>
        <v>192418</v>
      </c>
      <c r="K4" s="1763">
        <f>'Revenues 9-14'!K109</f>
        <v>15875</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2213569</v>
      </c>
      <c r="D6" s="1764">
        <f>'Revenues 9-14'!D173</f>
        <v>0</v>
      </c>
      <c r="E6" s="1764">
        <f>'Revenues 9-14'!E173</f>
        <v>0</v>
      </c>
      <c r="F6" s="1764">
        <f>'Revenues 9-14'!F173</f>
        <v>249699</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513691</v>
      </c>
      <c r="D7" s="1764">
        <f>'Revenues 9-14'!D274</f>
        <v>0</v>
      </c>
      <c r="E7" s="1764">
        <f>'Revenues 9-14'!E274</f>
        <v>27880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3602809</v>
      </c>
      <c r="D8" s="1709">
        <f t="shared" ref="D8:K8" si="0">SUM(D4:D7)</f>
        <v>234436</v>
      </c>
      <c r="E8" s="1709">
        <f t="shared" si="0"/>
        <v>137428</v>
      </c>
      <c r="F8" s="1709">
        <f t="shared" si="0"/>
        <v>315227</v>
      </c>
      <c r="G8" s="1709">
        <f t="shared" si="0"/>
        <v>198081</v>
      </c>
      <c r="H8" s="1709">
        <f t="shared" si="0"/>
        <v>0</v>
      </c>
      <c r="I8" s="1709">
        <f t="shared" si="0"/>
        <v>16727</v>
      </c>
      <c r="J8" s="1709">
        <f t="shared" si="0"/>
        <v>192418</v>
      </c>
      <c r="K8" s="1709">
        <f t="shared" si="0"/>
        <v>15875</v>
      </c>
      <c r="L8" s="347"/>
    </row>
    <row r="9" spans="1:13" ht="15.75" thickTop="1" x14ac:dyDescent="0.2">
      <c r="A9" s="514" t="s">
        <v>1752</v>
      </c>
      <c r="B9" s="515">
        <v>3998</v>
      </c>
      <c r="C9" s="481">
        <v>1688004</v>
      </c>
      <c r="D9" s="516"/>
      <c r="E9" s="481"/>
      <c r="F9" s="481"/>
      <c r="G9" s="517"/>
      <c r="H9" s="481"/>
      <c r="I9" s="509" t="s">
        <v>1231</v>
      </c>
      <c r="J9" s="478"/>
      <c r="K9" s="481"/>
      <c r="L9" s="347"/>
    </row>
    <row r="10" spans="1:13" s="519" customFormat="1" ht="13.5" thickBot="1" x14ac:dyDescent="0.25">
      <c r="A10" s="1757" t="s">
        <v>1235</v>
      </c>
      <c r="B10" s="1730"/>
      <c r="C10" s="1709">
        <f>SUM(C8:C9)</f>
        <v>5290813</v>
      </c>
      <c r="D10" s="1709">
        <f t="shared" ref="D10:K10" si="1">SUM(D8:D9)</f>
        <v>234436</v>
      </c>
      <c r="E10" s="1709">
        <f t="shared" si="1"/>
        <v>137428</v>
      </c>
      <c r="F10" s="1709">
        <f t="shared" si="1"/>
        <v>315227</v>
      </c>
      <c r="G10" s="1709">
        <f t="shared" si="1"/>
        <v>198081</v>
      </c>
      <c r="H10" s="1709">
        <f t="shared" si="1"/>
        <v>0</v>
      </c>
      <c r="I10" s="1709">
        <f t="shared" si="1"/>
        <v>16727</v>
      </c>
      <c r="J10" s="1709">
        <f t="shared" si="1"/>
        <v>192418</v>
      </c>
      <c r="K10" s="1709">
        <f t="shared" si="1"/>
        <v>15875</v>
      </c>
      <c r="L10" s="518"/>
    </row>
    <row r="11" spans="1:13" s="519" customFormat="1" ht="16.7" customHeight="1" thickTop="1" x14ac:dyDescent="0.2">
      <c r="A11" s="2134" t="s">
        <v>1238</v>
      </c>
      <c r="B11" s="2135"/>
      <c r="C11" s="1591"/>
      <c r="D11" s="1592"/>
      <c r="E11" s="1592"/>
      <c r="F11" s="1592"/>
      <c r="G11" s="1592"/>
      <c r="H11" s="1592"/>
      <c r="I11" s="1592"/>
      <c r="J11" s="1592"/>
      <c r="K11" s="1593"/>
      <c r="L11" s="518"/>
    </row>
    <row r="12" spans="1:13" ht="15.75" customHeight="1" x14ac:dyDescent="0.2">
      <c r="A12" s="1597" t="s">
        <v>476</v>
      </c>
      <c r="B12" s="1599">
        <v>1000</v>
      </c>
      <c r="C12" s="1763">
        <f>'Expenditures 15-22'!K33</f>
        <v>2274579</v>
      </c>
      <c r="D12" s="520" t="s">
        <v>1231</v>
      </c>
      <c r="E12" s="468" t="s">
        <v>1231</v>
      </c>
      <c r="F12" s="468" t="s">
        <v>1231</v>
      </c>
      <c r="G12" s="1763">
        <f>'Expenditures 15-22'!K229</f>
        <v>57042</v>
      </c>
      <c r="H12" s="521"/>
      <c r="I12" s="468" t="s">
        <v>1231</v>
      </c>
      <c r="J12" s="468" t="s">
        <v>1231</v>
      </c>
      <c r="K12" s="521" t="s">
        <v>1231</v>
      </c>
      <c r="L12" s="347"/>
    </row>
    <row r="13" spans="1:13" ht="15.75" customHeight="1" x14ac:dyDescent="0.2">
      <c r="A13" s="1597" t="s">
        <v>477</v>
      </c>
      <c r="B13" s="1599">
        <v>2000</v>
      </c>
      <c r="C13" s="1764">
        <f>'Expenditures 15-22'!K74</f>
        <v>990174</v>
      </c>
      <c r="D13" s="1764">
        <f>'Expenditures 15-22'!K129</f>
        <v>139352</v>
      </c>
      <c r="E13" s="469" t="s">
        <v>1231</v>
      </c>
      <c r="F13" s="1764">
        <f>'Expenditures 15-22'!K184</f>
        <v>236027</v>
      </c>
      <c r="G13" s="1764">
        <f>'Expenditures 15-22'!K279</f>
        <v>106137</v>
      </c>
      <c r="H13" s="1764">
        <f>'Expenditures 15-22'!K303</f>
        <v>0</v>
      </c>
      <c r="I13" s="468" t="s">
        <v>1231</v>
      </c>
      <c r="J13" s="1764">
        <f>'Expenditures 15-22'!K330</f>
        <v>160734</v>
      </c>
      <c r="K13" s="1768">
        <f>'Expenditures 15-22'!K352</f>
        <v>0</v>
      </c>
      <c r="L13" s="347"/>
    </row>
    <row r="14" spans="1:13" ht="15.75" customHeight="1" x14ac:dyDescent="0.2">
      <c r="A14" s="1597" t="s">
        <v>469</v>
      </c>
      <c r="B14" s="1599">
        <v>3000</v>
      </c>
      <c r="C14" s="1764">
        <f>'Expenditures 15-22'!K75</f>
        <v>2593</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192306</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104653</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3459652</v>
      </c>
      <c r="D17" s="1709">
        <f t="shared" si="2"/>
        <v>139352</v>
      </c>
      <c r="E17" s="1709">
        <f t="shared" si="2"/>
        <v>104653</v>
      </c>
      <c r="F17" s="1709">
        <f t="shared" si="2"/>
        <v>236027</v>
      </c>
      <c r="G17" s="1709">
        <f t="shared" si="2"/>
        <v>163179</v>
      </c>
      <c r="H17" s="1709">
        <f t="shared" si="2"/>
        <v>0</v>
      </c>
      <c r="I17" s="468"/>
      <c r="J17" s="1709">
        <f>SUM(J12:J16)</f>
        <v>160734</v>
      </c>
      <c r="K17" s="1709">
        <f>SUM(K12:K16)</f>
        <v>0</v>
      </c>
      <c r="L17" s="347"/>
    </row>
    <row r="18" spans="1:12" ht="15" customHeight="1" thickTop="1" x14ac:dyDescent="0.2">
      <c r="A18" s="1765" t="s">
        <v>1753</v>
      </c>
      <c r="B18" s="1766">
        <v>4180</v>
      </c>
      <c r="C18" s="1763">
        <f t="shared" ref="C18:H18" si="3">C9</f>
        <v>1688004</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5147656</v>
      </c>
      <c r="D19" s="1709">
        <f t="shared" si="4"/>
        <v>139352</v>
      </c>
      <c r="E19" s="1709">
        <f t="shared" si="4"/>
        <v>104653</v>
      </c>
      <c r="F19" s="1709">
        <f t="shared" si="4"/>
        <v>236027</v>
      </c>
      <c r="G19" s="1709">
        <f t="shared" si="4"/>
        <v>163179</v>
      </c>
      <c r="H19" s="1709">
        <f t="shared" si="4"/>
        <v>0</v>
      </c>
      <c r="I19" s="468"/>
      <c r="J19" s="1709">
        <f>SUM(J17:J18)</f>
        <v>160734</v>
      </c>
      <c r="K19" s="1709">
        <f>SUM(K17:K18)</f>
        <v>0</v>
      </c>
      <c r="L19" s="347"/>
    </row>
    <row r="20" spans="1:12" ht="16.5" thickTop="1" thickBot="1" x14ac:dyDescent="0.25">
      <c r="A20" s="2150" t="s">
        <v>1754</v>
      </c>
      <c r="B20" s="2151"/>
      <c r="C20" s="1767">
        <f>C8-C17</f>
        <v>143157</v>
      </c>
      <c r="D20" s="1767">
        <f t="shared" ref="D20:K20" si="5">D8-D17</f>
        <v>95084</v>
      </c>
      <c r="E20" s="1767">
        <f t="shared" si="5"/>
        <v>32775</v>
      </c>
      <c r="F20" s="1767">
        <f t="shared" si="5"/>
        <v>79200</v>
      </c>
      <c r="G20" s="1767">
        <f t="shared" si="5"/>
        <v>34902</v>
      </c>
      <c r="H20" s="1767">
        <f t="shared" si="5"/>
        <v>0</v>
      </c>
      <c r="I20" s="1767">
        <f t="shared" si="5"/>
        <v>16727</v>
      </c>
      <c r="J20" s="1767">
        <f t="shared" si="5"/>
        <v>31684</v>
      </c>
      <c r="K20" s="1767">
        <f t="shared" si="5"/>
        <v>15875</v>
      </c>
      <c r="L20" s="347"/>
    </row>
    <row r="21" spans="1:12" ht="16.7" customHeight="1" thickTop="1" x14ac:dyDescent="0.2">
      <c r="A21" s="2162" t="s">
        <v>616</v>
      </c>
      <c r="B21" s="2163"/>
      <c r="C21" s="1591"/>
      <c r="D21" s="1592"/>
      <c r="E21" s="1592"/>
      <c r="F21" s="1592"/>
      <c r="G21" s="1592"/>
      <c r="H21" s="1592"/>
      <c r="I21" s="1592"/>
      <c r="J21" s="1592"/>
      <c r="K21" s="1593"/>
      <c r="L21" s="524"/>
    </row>
    <row r="22" spans="1:12" ht="15.75" customHeight="1" collapsed="1" x14ac:dyDescent="0.2">
      <c r="A22" s="2158" t="s">
        <v>617</v>
      </c>
      <c r="B22" s="2159"/>
      <c r="C22" s="477"/>
      <c r="D22" s="477"/>
      <c r="E22" s="477"/>
      <c r="F22" s="477"/>
      <c r="G22" s="477"/>
      <c r="H22" s="477"/>
      <c r="I22" s="477"/>
      <c r="J22" s="477"/>
      <c r="K22" s="477"/>
      <c r="L22" s="347"/>
    </row>
    <row r="23" spans="1:12" s="485" customFormat="1" ht="15.75" customHeight="1" x14ac:dyDescent="0.2">
      <c r="A23" s="2154" t="s">
        <v>311</v>
      </c>
      <c r="B23" s="2155"/>
      <c r="C23" s="480"/>
      <c r="D23" s="477"/>
      <c r="E23" s="477"/>
      <c r="F23" s="477"/>
      <c r="G23" s="477"/>
      <c r="H23" s="477"/>
      <c r="I23" s="477"/>
      <c r="J23" s="477"/>
      <c r="K23" s="477"/>
      <c r="L23" s="524"/>
    </row>
    <row r="24" spans="1:12" s="485" customFormat="1" ht="13.5" customHeight="1" x14ac:dyDescent="0.2">
      <c r="A24" s="1510" t="s">
        <v>1755</v>
      </c>
      <c r="B24" s="525">
        <v>7110</v>
      </c>
      <c r="C24" s="467">
        <v>0</v>
      </c>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56" t="s">
        <v>1038</v>
      </c>
      <c r="B32" s="2157"/>
      <c r="C32" s="477"/>
      <c r="D32" s="477"/>
      <c r="E32" s="475"/>
      <c r="F32" s="477"/>
      <c r="G32" s="477"/>
      <c r="H32" s="477"/>
      <c r="I32" s="477"/>
      <c r="J32" s="477"/>
      <c r="K32" s="477"/>
      <c r="L32" s="524"/>
    </row>
    <row r="33" spans="1:12" s="485" customFormat="1" x14ac:dyDescent="0.2">
      <c r="A33" s="1510" t="s">
        <v>432</v>
      </c>
      <c r="B33" s="525">
        <v>7210</v>
      </c>
      <c r="C33" s="467">
        <v>25000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3720</v>
      </c>
      <c r="F37" s="475"/>
      <c r="G37" s="475"/>
      <c r="H37" s="475"/>
      <c r="I37" s="477"/>
      <c r="J37" s="475"/>
      <c r="K37" s="475"/>
      <c r="L37" s="524"/>
    </row>
    <row r="38" spans="1:12" s="485" customFormat="1" x14ac:dyDescent="0.2">
      <c r="A38" s="1510" t="s">
        <v>462</v>
      </c>
      <c r="B38" s="525">
        <v>7500</v>
      </c>
      <c r="C38" s="477"/>
      <c r="D38" s="477"/>
      <c r="E38" s="1764">
        <f>SUM(C58:D61,H58:H61)</f>
        <v>1035</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4" t="s">
        <v>392</v>
      </c>
      <c r="B44" s="2165"/>
      <c r="C44" s="1724">
        <f>SUM(C24:C43)</f>
        <v>25000</v>
      </c>
      <c r="D44" s="1724">
        <f t="shared" ref="D44:K44" si="6">SUM(D24:D43)</f>
        <v>0</v>
      </c>
      <c r="E44" s="1724">
        <f t="shared" si="6"/>
        <v>4755</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3720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1035</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t="s">
        <v>1231</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0" t="s">
        <v>460</v>
      </c>
      <c r="B76" s="2141"/>
      <c r="C76" s="1724">
        <f t="shared" ref="C76:K76" si="7">SUM(C47:C75)</f>
        <v>4755</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2" t="s">
        <v>1239</v>
      </c>
      <c r="B77" s="2143"/>
      <c r="C77" s="1724">
        <f t="shared" ref="C77:K77" si="8">C44-C76</f>
        <v>20245</v>
      </c>
      <c r="D77" s="1724">
        <f t="shared" si="8"/>
        <v>0</v>
      </c>
      <c r="E77" s="1724">
        <f t="shared" si="8"/>
        <v>4755</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6" t="s">
        <v>618</v>
      </c>
      <c r="B78" s="2147"/>
      <c r="C78" s="1723">
        <f t="shared" ref="C78:K78" si="9">C20+C77</f>
        <v>163402</v>
      </c>
      <c r="D78" s="1723">
        <f t="shared" si="9"/>
        <v>95084</v>
      </c>
      <c r="E78" s="1723">
        <f t="shared" si="9"/>
        <v>37530</v>
      </c>
      <c r="F78" s="1723">
        <f t="shared" si="9"/>
        <v>79200</v>
      </c>
      <c r="G78" s="1723">
        <f t="shared" si="9"/>
        <v>34902</v>
      </c>
      <c r="H78" s="1723">
        <f t="shared" si="9"/>
        <v>0</v>
      </c>
      <c r="I78" s="1723">
        <f t="shared" si="9"/>
        <v>16727</v>
      </c>
      <c r="J78" s="1723">
        <f t="shared" si="9"/>
        <v>31684</v>
      </c>
      <c r="K78" s="1723">
        <f t="shared" si="9"/>
        <v>15875</v>
      </c>
      <c r="L78" s="533"/>
    </row>
    <row r="79" spans="1:12" ht="13.5" thickTop="1" x14ac:dyDescent="0.2">
      <c r="A79" s="1515" t="s">
        <v>2073</v>
      </c>
      <c r="B79" s="534"/>
      <c r="C79" s="478">
        <v>1081103</v>
      </c>
      <c r="D79" s="535">
        <v>296111</v>
      </c>
      <c r="E79" s="535">
        <v>857116</v>
      </c>
      <c r="F79" s="535">
        <v>301905</v>
      </c>
      <c r="G79" s="535">
        <v>67104</v>
      </c>
      <c r="H79" s="535">
        <v>0</v>
      </c>
      <c r="I79" s="535">
        <v>207754</v>
      </c>
      <c r="J79" s="535">
        <v>61648</v>
      </c>
      <c r="K79" s="535">
        <v>36953</v>
      </c>
      <c r="L79" s="347"/>
    </row>
    <row r="80" spans="1:12" x14ac:dyDescent="0.2">
      <c r="A80" s="2152" t="s">
        <v>1898</v>
      </c>
      <c r="B80" s="2153"/>
      <c r="C80" s="467"/>
      <c r="D80" s="467"/>
      <c r="E80" s="467"/>
      <c r="F80" s="467"/>
      <c r="G80" s="467"/>
      <c r="H80" s="467"/>
      <c r="I80" s="467"/>
      <c r="J80" s="467"/>
      <c r="K80" s="467"/>
      <c r="L80" s="347"/>
    </row>
    <row r="81" spans="1:12" ht="13.5" thickBot="1" x14ac:dyDescent="0.25">
      <c r="A81" s="2144" t="s">
        <v>2074</v>
      </c>
      <c r="B81" s="2145"/>
      <c r="C81" s="1709">
        <f>(SUM(C78:C80))</f>
        <v>1244505</v>
      </c>
      <c r="D81" s="1709">
        <f>SUM(D78:D80)</f>
        <v>391195</v>
      </c>
      <c r="E81" s="1709">
        <f t="shared" ref="E81:K81" si="10">SUM(E78:E80)</f>
        <v>894646</v>
      </c>
      <c r="F81" s="1709">
        <f t="shared" si="10"/>
        <v>381105</v>
      </c>
      <c r="G81" s="1709">
        <f t="shared" si="10"/>
        <v>102006</v>
      </c>
      <c r="H81" s="1709">
        <f t="shared" si="10"/>
        <v>0</v>
      </c>
      <c r="I81" s="1709">
        <f t="shared" si="10"/>
        <v>224481</v>
      </c>
      <c r="J81" s="1709">
        <f t="shared" si="10"/>
        <v>93332</v>
      </c>
      <c r="K81" s="1709">
        <f t="shared" si="10"/>
        <v>52828</v>
      </c>
      <c r="L81" s="347"/>
    </row>
    <row r="82" spans="1:12" ht="0.75" customHeight="1" thickTop="1" thickBot="1" x14ac:dyDescent="0.25">
      <c r="A82" s="536" t="s">
        <v>361</v>
      </c>
      <c r="B82" s="537"/>
      <c r="C82" s="538">
        <f>(C81-C79)</f>
        <v>163402</v>
      </c>
      <c r="D82" s="538">
        <f t="shared" ref="D82:K82" si="11">(D81-D79)</f>
        <v>95084</v>
      </c>
      <c r="E82" s="538">
        <f t="shared" si="11"/>
        <v>37530</v>
      </c>
      <c r="F82" s="538">
        <f t="shared" si="11"/>
        <v>79200</v>
      </c>
      <c r="G82" s="538">
        <f t="shared" si="11"/>
        <v>34902</v>
      </c>
      <c r="H82" s="538">
        <f t="shared" si="11"/>
        <v>0</v>
      </c>
      <c r="I82" s="538">
        <f t="shared" si="11"/>
        <v>16727</v>
      </c>
      <c r="J82" s="538">
        <f t="shared" si="11"/>
        <v>31684</v>
      </c>
      <c r="K82" s="538">
        <f t="shared" si="11"/>
        <v>15875</v>
      </c>
    </row>
    <row r="83" spans="1:12" ht="14.25" hidden="1" thickTop="1" thickBot="1" x14ac:dyDescent="0.25">
      <c r="A83" s="539" t="s">
        <v>362</v>
      </c>
      <c r="B83" s="464"/>
      <c r="C83" s="540">
        <f>C82/C81</f>
        <v>0.1312987894785477</v>
      </c>
      <c r="D83" s="540">
        <f t="shared" ref="D83:K83" si="12">D82/D81</f>
        <v>0.24306036631347538</v>
      </c>
      <c r="E83" s="540">
        <f t="shared" si="12"/>
        <v>4.1949553231110409E-2</v>
      </c>
      <c r="F83" s="540">
        <f t="shared" si="12"/>
        <v>0.20781674341716849</v>
      </c>
      <c r="G83" s="540">
        <f t="shared" si="12"/>
        <v>0.34215634374448561</v>
      </c>
      <c r="H83" s="540" t="e">
        <f t="shared" si="12"/>
        <v>#DIV/0!</v>
      </c>
      <c r="I83" s="540">
        <f t="shared" si="12"/>
        <v>7.4514101416155484E-2</v>
      </c>
      <c r="J83" s="540">
        <f t="shared" si="12"/>
        <v>0.33947627823254617</v>
      </c>
      <c r="K83" s="540">
        <f t="shared" si="12"/>
        <v>0.30050352086014992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1905</v>
      </c>
      <c r="B1" s="452"/>
      <c r="C1" s="453" t="s">
        <v>445</v>
      </c>
      <c r="D1" s="453" t="s">
        <v>446</v>
      </c>
      <c r="E1" s="453" t="s">
        <v>447</v>
      </c>
      <c r="F1" s="453" t="s">
        <v>448</v>
      </c>
      <c r="G1" s="453" t="s">
        <v>449</v>
      </c>
      <c r="H1" s="453" t="s">
        <v>450</v>
      </c>
      <c r="I1" s="453" t="s">
        <v>451</v>
      </c>
      <c r="J1" s="453" t="s">
        <v>452</v>
      </c>
      <c r="K1" s="453" t="s">
        <v>780</v>
      </c>
    </row>
    <row r="2" spans="1:12" ht="36" x14ac:dyDescent="0.2">
      <c r="A2" s="214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574121</v>
      </c>
      <c r="D5" s="481">
        <v>156020</v>
      </c>
      <c r="E5" s="466">
        <v>77834</v>
      </c>
      <c r="F5" s="548">
        <v>62413</v>
      </c>
      <c r="G5" s="466">
        <v>94198</v>
      </c>
      <c r="H5" s="466">
        <v>0</v>
      </c>
      <c r="I5" s="466">
        <v>15601</v>
      </c>
      <c r="J5" s="467">
        <v>191101</v>
      </c>
      <c r="K5" s="466">
        <v>15601</v>
      </c>
    </row>
    <row r="6" spans="1:12" ht="15" x14ac:dyDescent="0.2">
      <c r="A6" s="463" t="s">
        <v>1761</v>
      </c>
      <c r="B6" s="470">
        <v>1130</v>
      </c>
      <c r="C6" s="466">
        <v>15625</v>
      </c>
      <c r="D6" s="466">
        <v>0</v>
      </c>
      <c r="E6" s="475"/>
      <c r="F6" s="475"/>
      <c r="G6" s="468"/>
      <c r="H6" s="468"/>
      <c r="I6" s="468"/>
      <c r="J6" s="468"/>
      <c r="K6" s="468"/>
    </row>
    <row r="7" spans="1:12" x14ac:dyDescent="0.2">
      <c r="A7" s="463" t="s">
        <v>112</v>
      </c>
      <c r="B7" s="549">
        <v>1140</v>
      </c>
      <c r="C7" s="466">
        <v>12500</v>
      </c>
      <c r="D7" s="466">
        <v>0</v>
      </c>
      <c r="E7" s="468"/>
      <c r="F7" s="467">
        <v>0</v>
      </c>
      <c r="G7" s="467">
        <v>0</v>
      </c>
      <c r="H7" s="467">
        <v>0</v>
      </c>
      <c r="I7" s="468"/>
      <c r="J7" s="468"/>
      <c r="K7" s="468"/>
    </row>
    <row r="8" spans="1:12" x14ac:dyDescent="0.2">
      <c r="A8" s="463" t="s">
        <v>433</v>
      </c>
      <c r="B8" s="470">
        <v>1150</v>
      </c>
      <c r="C8" s="475"/>
      <c r="D8" s="475"/>
      <c r="E8" s="477"/>
      <c r="F8" s="477"/>
      <c r="G8" s="481">
        <v>94319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602246</v>
      </c>
      <c r="D12" s="1728">
        <f t="shared" si="0"/>
        <v>156020</v>
      </c>
      <c r="E12" s="1728">
        <f t="shared" si="0"/>
        <v>77834</v>
      </c>
      <c r="F12" s="1728">
        <f t="shared" si="0"/>
        <v>62413</v>
      </c>
      <c r="G12" s="1728">
        <f t="shared" si="0"/>
        <v>188517</v>
      </c>
      <c r="H12" s="1728">
        <f t="shared" si="0"/>
        <v>0</v>
      </c>
      <c r="I12" s="1728">
        <f t="shared" si="0"/>
        <v>15601</v>
      </c>
      <c r="J12" s="1728">
        <f t="shared" si="0"/>
        <v>191101</v>
      </c>
      <c r="K12" s="1709">
        <f t="shared" si="0"/>
        <v>15601</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914</v>
      </c>
      <c r="D14" s="466">
        <v>248</v>
      </c>
      <c r="E14" s="466">
        <v>112</v>
      </c>
      <c r="F14" s="466">
        <v>99</v>
      </c>
      <c r="G14" s="466">
        <v>150</v>
      </c>
      <c r="H14" s="466">
        <v>0</v>
      </c>
      <c r="I14" s="466">
        <v>25</v>
      </c>
      <c r="J14" s="467">
        <v>397</v>
      </c>
      <c r="K14" s="466">
        <v>25</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173919</v>
      </c>
      <c r="D16" s="466">
        <v>74991</v>
      </c>
      <c r="E16" s="466">
        <v>0</v>
      </c>
      <c r="F16" s="466">
        <v>0</v>
      </c>
      <c r="G16" s="466">
        <v>8000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174833</v>
      </c>
      <c r="D18" s="1731">
        <f t="shared" ref="D18:K18" si="1">SUM(D14:D17)</f>
        <v>75239</v>
      </c>
      <c r="E18" s="1731">
        <f t="shared" si="1"/>
        <v>112</v>
      </c>
      <c r="F18" s="1731">
        <f t="shared" si="1"/>
        <v>99</v>
      </c>
      <c r="G18" s="1731">
        <f t="shared" si="1"/>
        <v>8150</v>
      </c>
      <c r="H18" s="1731">
        <f t="shared" si="1"/>
        <v>0</v>
      </c>
      <c r="I18" s="1731">
        <f t="shared" si="1"/>
        <v>25</v>
      </c>
      <c r="J18" s="1731">
        <f t="shared" si="1"/>
        <v>397</v>
      </c>
      <c r="K18" s="1732">
        <f t="shared" si="1"/>
        <v>25</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8272</v>
      </c>
      <c r="D65" s="466">
        <v>3177</v>
      </c>
      <c r="E65" s="466">
        <v>31602</v>
      </c>
      <c r="F65" s="467">
        <v>2463</v>
      </c>
      <c r="G65" s="466">
        <v>1414</v>
      </c>
      <c r="H65" s="466">
        <v>0</v>
      </c>
      <c r="I65" s="466">
        <v>1101</v>
      </c>
      <c r="J65" s="467">
        <v>920</v>
      </c>
      <c r="K65" s="466">
        <v>249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8272</v>
      </c>
      <c r="D67" s="1709">
        <f t="shared" ref="D67:K67" si="2">SUM(D65:D66)</f>
        <v>3177</v>
      </c>
      <c r="E67" s="1709">
        <f t="shared" si="2"/>
        <v>31602</v>
      </c>
      <c r="F67" s="1709">
        <f t="shared" si="2"/>
        <v>2463</v>
      </c>
      <c r="G67" s="1709">
        <f t="shared" si="2"/>
        <v>1414</v>
      </c>
      <c r="H67" s="1709">
        <f t="shared" si="2"/>
        <v>0</v>
      </c>
      <c r="I67" s="1709">
        <f t="shared" si="2"/>
        <v>1101</v>
      </c>
      <c r="J67" s="1709">
        <f t="shared" si="2"/>
        <v>920</v>
      </c>
      <c r="K67" s="1709">
        <f t="shared" si="2"/>
        <v>249</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65</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4869</v>
      </c>
      <c r="D72" s="468"/>
      <c r="E72" s="468"/>
      <c r="F72" s="468"/>
      <c r="G72" s="468"/>
      <c r="H72" s="468"/>
      <c r="I72" s="468"/>
      <c r="J72" s="468"/>
      <c r="K72" s="468"/>
    </row>
    <row r="73" spans="1:11" ht="12.75" customHeight="1" x14ac:dyDescent="0.2">
      <c r="A73" s="463" t="s">
        <v>1055</v>
      </c>
      <c r="B73" s="470">
        <v>1620</v>
      </c>
      <c r="C73" s="551">
        <v>5454</v>
      </c>
      <c r="D73" s="468"/>
      <c r="E73" s="468"/>
      <c r="F73" s="468"/>
      <c r="G73" s="468"/>
      <c r="H73" s="468"/>
      <c r="I73" s="468"/>
      <c r="J73" s="468"/>
      <c r="K73" s="468"/>
    </row>
    <row r="74" spans="1:11" ht="12.75" customHeight="1" x14ac:dyDescent="0.2">
      <c r="A74" s="463" t="s">
        <v>25</v>
      </c>
      <c r="B74" s="470">
        <v>1690</v>
      </c>
      <c r="C74" s="551">
        <v>544</v>
      </c>
      <c r="D74" s="468"/>
      <c r="E74" s="468"/>
      <c r="F74" s="468"/>
      <c r="G74" s="468"/>
      <c r="H74" s="468"/>
      <c r="I74" s="468"/>
      <c r="J74" s="468"/>
      <c r="K74" s="468"/>
    </row>
    <row r="75" spans="1:11" ht="12.75" customHeight="1" thickBot="1" x14ac:dyDescent="0.25">
      <c r="A75" s="1729" t="s">
        <v>569</v>
      </c>
      <c r="B75" s="1730"/>
      <c r="C75" s="1709">
        <f>SUM(C69:C74)</f>
        <v>10932</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19344</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16623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9" t="s">
        <v>259</v>
      </c>
      <c r="B82" s="1730"/>
      <c r="C82" s="1728">
        <f>SUM(C77:C81)</f>
        <v>35967</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11769</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11769</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6"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276</v>
      </c>
      <c r="D99" s="466">
        <v>0</v>
      </c>
      <c r="E99" s="466">
        <v>0</v>
      </c>
      <c r="F99" s="466">
        <v>0</v>
      </c>
      <c r="G99" s="466">
        <v>0</v>
      </c>
      <c r="H99" s="466">
        <v>0</v>
      </c>
      <c r="I99" s="468"/>
      <c r="J99" s="467">
        <v>0</v>
      </c>
      <c r="K99" s="466">
        <v>0</v>
      </c>
    </row>
    <row r="100" spans="1:12" ht="12.75" customHeight="1" x14ac:dyDescent="0.2">
      <c r="A100" s="463" t="s">
        <v>263</v>
      </c>
      <c r="B100" s="470">
        <v>1960</v>
      </c>
      <c r="C100" s="489">
        <v>7481</v>
      </c>
      <c r="D100" s="489">
        <v>0</v>
      </c>
      <c r="E100" s="489">
        <v>0</v>
      </c>
      <c r="F100" s="489">
        <v>0</v>
      </c>
      <c r="G100" s="489">
        <v>0</v>
      </c>
      <c r="H100" s="489">
        <v>0</v>
      </c>
      <c r="I100" s="467">
        <v>0</v>
      </c>
      <c r="J100" s="489">
        <v>0</v>
      </c>
      <c r="K100" s="467">
        <v>0</v>
      </c>
    </row>
    <row r="101" spans="1:12" ht="12.75" customHeight="1" x14ac:dyDescent="0.2">
      <c r="A101" s="463" t="s">
        <v>264</v>
      </c>
      <c r="B101" s="470">
        <v>1970</v>
      </c>
      <c r="C101" s="489">
        <v>2050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21723</v>
      </c>
      <c r="D107" s="466">
        <v>0</v>
      </c>
      <c r="E107" s="466">
        <v>0</v>
      </c>
      <c r="F107" s="466">
        <v>553</v>
      </c>
      <c r="G107" s="466">
        <v>0</v>
      </c>
      <c r="H107" s="466">
        <v>0</v>
      </c>
      <c r="I107" s="466">
        <v>0</v>
      </c>
      <c r="J107" s="467">
        <v>0</v>
      </c>
      <c r="K107" s="466">
        <v>0</v>
      </c>
    </row>
    <row r="108" spans="1:12" ht="12.75" customHeight="1" thickBot="1" x14ac:dyDescent="0.25">
      <c r="A108" s="1729" t="s">
        <v>508</v>
      </c>
      <c r="B108" s="1733"/>
      <c r="C108" s="1728">
        <f>SUM(C95:C107)</f>
        <v>31530</v>
      </c>
      <c r="D108" s="1728">
        <f t="shared" ref="D108:K108" si="3">SUM(D95:D107)</f>
        <v>0</v>
      </c>
      <c r="E108" s="1728">
        <f t="shared" si="3"/>
        <v>0</v>
      </c>
      <c r="F108" s="1728">
        <f t="shared" si="3"/>
        <v>553</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875549</v>
      </c>
      <c r="D109" s="1736">
        <f t="shared" si="4"/>
        <v>234436</v>
      </c>
      <c r="E109" s="1736">
        <f t="shared" si="4"/>
        <v>109548</v>
      </c>
      <c r="F109" s="1736">
        <f t="shared" si="4"/>
        <v>65528</v>
      </c>
      <c r="G109" s="1736">
        <f t="shared" si="4"/>
        <v>198081</v>
      </c>
      <c r="H109" s="1736">
        <f t="shared" si="4"/>
        <v>0</v>
      </c>
      <c r="I109" s="1736">
        <f t="shared" si="4"/>
        <v>16727</v>
      </c>
      <c r="J109" s="1736">
        <f t="shared" si="4"/>
        <v>192418</v>
      </c>
      <c r="K109" s="1723">
        <f t="shared" si="4"/>
        <v>15875</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2011040</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2011040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572</v>
      </c>
      <c r="D124" s="561"/>
      <c r="E124" s="468"/>
      <c r="F124" s="548">
        <v>0</v>
      </c>
      <c r="G124" s="468"/>
      <c r="H124" s="468"/>
      <c r="I124" s="468"/>
      <c r="J124" s="468"/>
      <c r="K124" s="468"/>
    </row>
    <row r="125" spans="1:11" ht="12.75" customHeight="1" x14ac:dyDescent="0.2">
      <c r="A125" s="463" t="s">
        <v>1521</v>
      </c>
      <c r="B125" s="562">
        <v>3105</v>
      </c>
      <c r="C125" s="466">
        <v>31098</v>
      </c>
      <c r="D125" s="561"/>
      <c r="E125" s="468"/>
      <c r="F125" s="466">
        <v>0</v>
      </c>
      <c r="G125" s="468"/>
      <c r="H125" s="468"/>
      <c r="I125" s="468"/>
      <c r="J125" s="468"/>
      <c r="K125" s="468"/>
    </row>
    <row r="126" spans="1:11" ht="12.75" customHeight="1" x14ac:dyDescent="0.2">
      <c r="A126" s="463" t="s">
        <v>922</v>
      </c>
      <c r="B126" s="562">
        <v>3110</v>
      </c>
      <c r="C126" s="551">
        <v>30956</v>
      </c>
      <c r="D126" s="466">
        <v>0</v>
      </c>
      <c r="E126" s="468"/>
      <c r="F126" s="466">
        <v>0</v>
      </c>
      <c r="G126" s="468"/>
      <c r="H126" s="468"/>
      <c r="I126" s="468"/>
      <c r="J126" s="468"/>
      <c r="K126" s="468"/>
    </row>
    <row r="127" spans="1:11" ht="12.75" customHeight="1" x14ac:dyDescent="0.2">
      <c r="A127" s="463" t="s">
        <v>107</v>
      </c>
      <c r="B127" s="562">
        <v>3120</v>
      </c>
      <c r="C127" s="466">
        <v>10093</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72719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4685</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4685</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3954</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5636</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196950</v>
      </c>
      <c r="G151" s="467">
        <v>0</v>
      </c>
      <c r="H151" s="468"/>
      <c r="I151" s="468"/>
      <c r="J151" s="468"/>
      <c r="K151" s="468"/>
    </row>
    <row r="152" spans="1:11" ht="12.75" customHeight="1" x14ac:dyDescent="0.2">
      <c r="A152" s="463" t="s">
        <v>1117</v>
      </c>
      <c r="B152" s="562">
        <v>3510</v>
      </c>
      <c r="C152" s="551">
        <v>0</v>
      </c>
      <c r="D152" s="466">
        <v>0</v>
      </c>
      <c r="E152" s="561"/>
      <c r="F152" s="466">
        <v>52749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249699</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114035</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8" t="s">
        <v>418</v>
      </c>
      <c r="B172" s="2169"/>
      <c r="C172" s="1743">
        <f t="shared" ref="C172:K172" si="6">SUM(C131,C140,C144,C145:C149,C154,C155:C170,C171)</f>
        <v>202529</v>
      </c>
      <c r="D172" s="1743">
        <f t="shared" si="6"/>
        <v>0</v>
      </c>
      <c r="E172" s="1743">
        <f t="shared" si="6"/>
        <v>0</v>
      </c>
      <c r="F172" s="1743">
        <f t="shared" si="6"/>
        <v>249699</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2213569</v>
      </c>
      <c r="D173" s="1736">
        <f>SUM(D121,D172)</f>
        <v>0</v>
      </c>
      <c r="E173" s="1736">
        <f>SUM(E121,E172)</f>
        <v>0</v>
      </c>
      <c r="F173" s="1736">
        <f t="shared" ref="F173:K173" si="7">SUM(F121,F172)</f>
        <v>249699</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0" t="s">
        <v>1572</v>
      </c>
      <c r="B175" s="217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4" t="s">
        <v>1764</v>
      </c>
      <c r="B178" s="217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8" t="s">
        <v>1763</v>
      </c>
      <c r="B179" s="217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5645</v>
      </c>
      <c r="D183" s="466">
        <v>0</v>
      </c>
      <c r="E183" s="468"/>
      <c r="F183" s="466">
        <v>0</v>
      </c>
      <c r="G183" s="466">
        <v>0</v>
      </c>
      <c r="H183" s="466">
        <v>0</v>
      </c>
      <c r="I183" s="468"/>
      <c r="J183" s="468"/>
      <c r="K183" s="466">
        <v>0</v>
      </c>
    </row>
    <row r="184" spans="1:11" ht="13.5" thickBot="1" x14ac:dyDescent="0.25">
      <c r="A184" s="2176" t="s">
        <v>818</v>
      </c>
      <c r="B184" s="2177"/>
      <c r="C184" s="1728">
        <f>SUM(C180:C183)</f>
        <v>5645</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2" t="s">
        <v>1906</v>
      </c>
      <c r="B185" s="2173"/>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175897</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50871</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226768</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177745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177745</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3469</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3469</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64909</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64909</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665</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665</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27880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27880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t="s">
        <v>1231</v>
      </c>
      <c r="D260" s="469"/>
      <c r="E260" s="468"/>
      <c r="F260" s="468"/>
      <c r="G260" s="468"/>
      <c r="H260" s="468"/>
      <c r="I260" s="468"/>
      <c r="J260" s="468"/>
      <c r="K260" s="468"/>
    </row>
    <row r="261" spans="1:11" ht="12.75" customHeight="1" thickTop="1" thickBot="1" x14ac:dyDescent="0.25">
      <c r="A261" s="1524"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25979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4113</v>
      </c>
      <c r="D270" s="576">
        <v>0</v>
      </c>
      <c r="E270" s="468"/>
      <c r="F270" s="576">
        <v>0</v>
      </c>
      <c r="G270" s="576">
        <v>0</v>
      </c>
      <c r="H270" s="468"/>
      <c r="I270" s="468"/>
      <c r="J270" s="468"/>
      <c r="K270" s="468"/>
    </row>
    <row r="271" spans="1:11" ht="12.75" customHeight="1" thickTop="1" thickBot="1" x14ac:dyDescent="0.25">
      <c r="A271" s="463" t="s">
        <v>395</v>
      </c>
      <c r="B271" s="470">
        <v>4992</v>
      </c>
      <c r="C271" s="575">
        <v>4398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508046</v>
      </c>
      <c r="D273" s="1736">
        <f t="shared" si="10"/>
        <v>0</v>
      </c>
      <c r="E273" s="1736">
        <f t="shared" si="10"/>
        <v>27880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513691</v>
      </c>
      <c r="D274" s="1736">
        <f>SUM(D178,D184,D273)</f>
        <v>0</v>
      </c>
      <c r="E274" s="1736">
        <f>SUM(E178,E273)</f>
        <v>27880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3602809</v>
      </c>
      <c r="D275" s="1736">
        <f t="shared" si="12"/>
        <v>234436</v>
      </c>
      <c r="E275" s="1736">
        <f t="shared" si="12"/>
        <v>137428</v>
      </c>
      <c r="F275" s="1736">
        <f t="shared" si="12"/>
        <v>315227</v>
      </c>
      <c r="G275" s="1736">
        <f t="shared" si="12"/>
        <v>198081</v>
      </c>
      <c r="H275" s="1736">
        <f t="shared" si="12"/>
        <v>0</v>
      </c>
      <c r="I275" s="1736">
        <f t="shared" si="12"/>
        <v>16727</v>
      </c>
      <c r="J275" s="1736">
        <f t="shared" si="12"/>
        <v>192418</v>
      </c>
      <c r="K275" s="1723">
        <f t="shared" si="12"/>
        <v>15875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8" t="s">
        <v>315</v>
      </c>
      <c r="B3" s="2189"/>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1644049</v>
      </c>
      <c r="D5" s="466">
        <v>23333</v>
      </c>
      <c r="E5" s="466">
        <v>12702</v>
      </c>
      <c r="F5" s="466">
        <v>27439</v>
      </c>
      <c r="G5" s="466">
        <v>24923</v>
      </c>
      <c r="H5" s="466">
        <v>1050</v>
      </c>
      <c r="I5" s="467">
        <v>0</v>
      </c>
      <c r="J5" s="467">
        <v>0</v>
      </c>
      <c r="K5" s="1692">
        <f>SUM(C5:J5)</f>
        <v>1733496</v>
      </c>
      <c r="L5" s="466">
        <v>1713501</v>
      </c>
    </row>
    <row r="6" spans="1:14" x14ac:dyDescent="0.2">
      <c r="A6" s="1525" t="s">
        <v>1508</v>
      </c>
      <c r="B6" s="615" t="s">
        <v>1506</v>
      </c>
      <c r="C6" s="477"/>
      <c r="D6" s="477"/>
      <c r="E6" s="466" t="s">
        <v>1231</v>
      </c>
      <c r="F6" s="477"/>
      <c r="G6" s="477"/>
      <c r="H6" s="477"/>
      <c r="I6" s="477"/>
      <c r="J6" s="477"/>
      <c r="K6" s="1692">
        <f>SUM(C6,E6)</f>
        <v>0</v>
      </c>
      <c r="L6" s="466">
        <v>0</v>
      </c>
    </row>
    <row r="7" spans="1:14" x14ac:dyDescent="0.2">
      <c r="A7" s="1525" t="s">
        <v>165</v>
      </c>
      <c r="B7" s="615" t="s">
        <v>1024</v>
      </c>
      <c r="C7" s="467">
        <v>35630</v>
      </c>
      <c r="D7" s="467">
        <v>327</v>
      </c>
      <c r="E7" s="467">
        <v>7915</v>
      </c>
      <c r="F7" s="467">
        <v>4800</v>
      </c>
      <c r="G7" s="467">
        <v>17444</v>
      </c>
      <c r="H7" s="467">
        <v>0</v>
      </c>
      <c r="I7" s="467">
        <v>0</v>
      </c>
      <c r="J7" s="467">
        <v>0</v>
      </c>
      <c r="K7" s="1692">
        <f t="shared" ref="K7:K32" si="0">SUM(C7:J7)</f>
        <v>66116</v>
      </c>
      <c r="L7" s="466">
        <v>66116</v>
      </c>
    </row>
    <row r="8" spans="1:14" x14ac:dyDescent="0.2">
      <c r="A8" s="1525" t="s">
        <v>166</v>
      </c>
      <c r="B8" s="615">
        <v>1200</v>
      </c>
      <c r="C8" s="466">
        <v>221670</v>
      </c>
      <c r="D8" s="466">
        <v>3016</v>
      </c>
      <c r="E8" s="466">
        <v>952</v>
      </c>
      <c r="F8" s="466">
        <v>2100</v>
      </c>
      <c r="G8" s="466">
        <v>0</v>
      </c>
      <c r="H8" s="466">
        <v>0</v>
      </c>
      <c r="I8" s="467">
        <v>0</v>
      </c>
      <c r="J8" s="467">
        <v>0</v>
      </c>
      <c r="K8" s="1692">
        <f t="shared" si="0"/>
        <v>227738</v>
      </c>
      <c r="L8" s="466">
        <v>227740</v>
      </c>
    </row>
    <row r="9" spans="1:14" x14ac:dyDescent="0.2">
      <c r="A9" s="1525" t="s">
        <v>745</v>
      </c>
      <c r="B9" s="615" t="s">
        <v>1025</v>
      </c>
      <c r="C9" s="467">
        <v>0</v>
      </c>
      <c r="D9" s="467">
        <v>0</v>
      </c>
      <c r="E9" s="467">
        <v>0</v>
      </c>
      <c r="F9" s="467">
        <v>0</v>
      </c>
      <c r="G9" s="467">
        <v>0</v>
      </c>
      <c r="H9" s="467">
        <v>0</v>
      </c>
      <c r="I9" s="467">
        <v>0</v>
      </c>
      <c r="J9" s="467">
        <v>0</v>
      </c>
      <c r="K9" s="1692">
        <f t="shared" si="0"/>
        <v>0</v>
      </c>
      <c r="L9" s="466">
        <v>0</v>
      </c>
    </row>
    <row r="10" spans="1:14" x14ac:dyDescent="0.2">
      <c r="A10" s="1525" t="s">
        <v>746</v>
      </c>
      <c r="B10" s="615">
        <v>1250</v>
      </c>
      <c r="C10" s="466">
        <v>95608</v>
      </c>
      <c r="D10" s="466">
        <v>176</v>
      </c>
      <c r="E10" s="466">
        <v>5276</v>
      </c>
      <c r="F10" s="466">
        <v>42305</v>
      </c>
      <c r="G10" s="466">
        <v>17238</v>
      </c>
      <c r="H10" s="466">
        <v>0</v>
      </c>
      <c r="I10" s="467">
        <v>0</v>
      </c>
      <c r="J10" s="467">
        <v>0</v>
      </c>
      <c r="K10" s="1692">
        <f t="shared" si="0"/>
        <v>160603</v>
      </c>
      <c r="L10" s="466">
        <v>160602</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0</v>
      </c>
      <c r="D13" s="466">
        <v>0</v>
      </c>
      <c r="E13" s="466">
        <v>0</v>
      </c>
      <c r="F13" s="466">
        <v>0</v>
      </c>
      <c r="G13" s="466">
        <v>0</v>
      </c>
      <c r="H13" s="466">
        <v>0</v>
      </c>
      <c r="I13" s="467">
        <v>0</v>
      </c>
      <c r="J13" s="467">
        <v>0</v>
      </c>
      <c r="K13" s="1692">
        <f t="shared" si="0"/>
        <v>0</v>
      </c>
      <c r="L13" s="466">
        <v>0</v>
      </c>
    </row>
    <row r="14" spans="1:14" x14ac:dyDescent="0.2">
      <c r="A14" s="1525" t="s">
        <v>1020</v>
      </c>
      <c r="B14" s="615">
        <v>1500</v>
      </c>
      <c r="C14" s="466">
        <v>42394</v>
      </c>
      <c r="D14" s="466">
        <v>298</v>
      </c>
      <c r="E14" s="466">
        <v>15994</v>
      </c>
      <c r="F14" s="466">
        <v>9488</v>
      </c>
      <c r="G14" s="466">
        <v>0</v>
      </c>
      <c r="H14" s="466">
        <v>1970</v>
      </c>
      <c r="I14" s="466">
        <v>0</v>
      </c>
      <c r="J14" s="466">
        <v>0</v>
      </c>
      <c r="K14" s="1692">
        <f t="shared" si="0"/>
        <v>70144</v>
      </c>
      <c r="L14" s="466">
        <v>70147</v>
      </c>
    </row>
    <row r="15" spans="1:14" x14ac:dyDescent="0.2">
      <c r="A15" s="1525" t="s">
        <v>1021</v>
      </c>
      <c r="B15" s="615">
        <v>1600</v>
      </c>
      <c r="C15" s="466">
        <v>0</v>
      </c>
      <c r="D15" s="466">
        <v>0</v>
      </c>
      <c r="E15" s="466">
        <v>0</v>
      </c>
      <c r="F15" s="466">
        <v>0</v>
      </c>
      <c r="G15" s="466">
        <v>0</v>
      </c>
      <c r="H15" s="466">
        <v>0</v>
      </c>
      <c r="I15" s="466">
        <v>0</v>
      </c>
      <c r="J15" s="466">
        <v>0</v>
      </c>
      <c r="K15" s="1692">
        <f t="shared" si="0"/>
        <v>0</v>
      </c>
      <c r="L15" s="466">
        <v>0</v>
      </c>
    </row>
    <row r="16" spans="1:14" x14ac:dyDescent="0.2">
      <c r="A16" s="1525" t="s">
        <v>1044</v>
      </c>
      <c r="B16" s="615" t="s">
        <v>444</v>
      </c>
      <c r="C16" s="466">
        <v>0</v>
      </c>
      <c r="D16" s="466">
        <v>0</v>
      </c>
      <c r="E16" s="466">
        <v>0</v>
      </c>
      <c r="F16" s="466">
        <v>0</v>
      </c>
      <c r="G16" s="466">
        <v>0</v>
      </c>
      <c r="H16" s="466">
        <v>0</v>
      </c>
      <c r="I16" s="466">
        <v>0</v>
      </c>
      <c r="J16" s="466">
        <v>0</v>
      </c>
      <c r="K16" s="1692">
        <f t="shared" si="0"/>
        <v>0</v>
      </c>
      <c r="L16" s="466">
        <v>0</v>
      </c>
    </row>
    <row r="17" spans="1:12" x14ac:dyDescent="0.2">
      <c r="A17" s="1525" t="s">
        <v>748</v>
      </c>
      <c r="B17" s="615" t="s">
        <v>164</v>
      </c>
      <c r="C17" s="466">
        <v>14588</v>
      </c>
      <c r="D17" s="466">
        <v>216</v>
      </c>
      <c r="E17" s="466">
        <v>1295</v>
      </c>
      <c r="F17" s="466">
        <v>0</v>
      </c>
      <c r="G17" s="466">
        <v>0</v>
      </c>
      <c r="H17" s="466">
        <v>0</v>
      </c>
      <c r="I17" s="466">
        <v>0</v>
      </c>
      <c r="J17" s="466">
        <v>0</v>
      </c>
      <c r="K17" s="1692">
        <f t="shared" si="0"/>
        <v>16099</v>
      </c>
      <c r="L17" s="466">
        <v>16100</v>
      </c>
    </row>
    <row r="18" spans="1:12" x14ac:dyDescent="0.2">
      <c r="A18" s="1525" t="s">
        <v>1148</v>
      </c>
      <c r="B18" s="615">
        <v>1800</v>
      </c>
      <c r="C18" s="466">
        <v>0</v>
      </c>
      <c r="D18" s="466">
        <v>0</v>
      </c>
      <c r="E18" s="466">
        <v>0</v>
      </c>
      <c r="F18" s="466">
        <v>0</v>
      </c>
      <c r="G18" s="466">
        <v>0</v>
      </c>
      <c r="H18" s="466">
        <v>0</v>
      </c>
      <c r="I18" s="466">
        <v>0</v>
      </c>
      <c r="J18" s="466">
        <v>0</v>
      </c>
      <c r="K18" s="1692">
        <f t="shared" si="0"/>
        <v>0</v>
      </c>
      <c r="L18" s="466">
        <v>0</v>
      </c>
    </row>
    <row r="19" spans="1:12" x14ac:dyDescent="0.2">
      <c r="A19" s="1525" t="s">
        <v>136</v>
      </c>
      <c r="B19" s="615">
        <v>1900</v>
      </c>
      <c r="C19" s="466">
        <v>0</v>
      </c>
      <c r="D19" s="466">
        <v>0</v>
      </c>
      <c r="E19" s="466">
        <v>0</v>
      </c>
      <c r="F19" s="466">
        <v>0</v>
      </c>
      <c r="G19" s="466">
        <v>0</v>
      </c>
      <c r="H19" s="466">
        <v>383</v>
      </c>
      <c r="I19" s="466">
        <v>0</v>
      </c>
      <c r="J19" s="466">
        <v>0</v>
      </c>
      <c r="K19" s="1692">
        <f t="shared" si="0"/>
        <v>383</v>
      </c>
      <c r="L19" s="466">
        <v>383</v>
      </c>
    </row>
    <row r="20" spans="1:12" x14ac:dyDescent="0.2">
      <c r="A20" s="1526" t="s">
        <v>762</v>
      </c>
      <c r="B20" s="603" t="s">
        <v>749</v>
      </c>
      <c r="C20" s="477"/>
      <c r="D20" s="477"/>
      <c r="E20" s="477"/>
      <c r="F20" s="477"/>
      <c r="G20" s="477"/>
      <c r="H20" s="466">
        <v>0</v>
      </c>
      <c r="I20" s="617"/>
      <c r="J20" s="475"/>
      <c r="K20" s="1692">
        <f t="shared" si="0"/>
        <v>0</v>
      </c>
      <c r="L20" s="471">
        <v>0</v>
      </c>
    </row>
    <row r="21" spans="1:12" x14ac:dyDescent="0.2">
      <c r="A21" s="1526" t="s">
        <v>763</v>
      </c>
      <c r="B21" s="603" t="s">
        <v>750</v>
      </c>
      <c r="C21" s="477"/>
      <c r="D21" s="477"/>
      <c r="E21" s="477"/>
      <c r="F21" s="477"/>
      <c r="G21" s="477"/>
      <c r="H21" s="466">
        <v>0</v>
      </c>
      <c r="I21" s="617"/>
      <c r="J21" s="477"/>
      <c r="K21" s="1692">
        <f t="shared" si="0"/>
        <v>0</v>
      </c>
      <c r="L21" s="471">
        <v>0</v>
      </c>
    </row>
    <row r="22" spans="1:12" x14ac:dyDescent="0.2">
      <c r="A22" s="1526" t="s">
        <v>764</v>
      </c>
      <c r="B22" s="603" t="s">
        <v>751</v>
      </c>
      <c r="C22" s="477"/>
      <c r="D22" s="477"/>
      <c r="E22" s="477"/>
      <c r="F22" s="477"/>
      <c r="G22" s="477"/>
      <c r="H22" s="466">
        <v>0</v>
      </c>
      <c r="I22" s="617"/>
      <c r="J22" s="477"/>
      <c r="K22" s="1692">
        <f t="shared" si="0"/>
        <v>0</v>
      </c>
      <c r="L22" s="471">
        <v>0</v>
      </c>
    </row>
    <row r="23" spans="1:12" x14ac:dyDescent="0.2">
      <c r="A23" s="1526" t="s">
        <v>765</v>
      </c>
      <c r="B23" s="603" t="s">
        <v>752</v>
      </c>
      <c r="C23" s="477"/>
      <c r="D23" s="477"/>
      <c r="E23" s="477"/>
      <c r="F23" s="477"/>
      <c r="G23" s="477"/>
      <c r="H23" s="466">
        <v>0</v>
      </c>
      <c r="I23" s="617"/>
      <c r="J23" s="477"/>
      <c r="K23" s="1692">
        <f t="shared" si="0"/>
        <v>0</v>
      </c>
      <c r="L23" s="471">
        <v>0</v>
      </c>
    </row>
    <row r="24" spans="1:12" ht="12.75" customHeight="1" x14ac:dyDescent="0.2">
      <c r="A24" s="1526" t="s">
        <v>766</v>
      </c>
      <c r="B24" s="603" t="s">
        <v>753</v>
      </c>
      <c r="C24" s="477"/>
      <c r="D24" s="477"/>
      <c r="E24" s="477"/>
      <c r="F24" s="477"/>
      <c r="G24" s="477"/>
      <c r="H24" s="466">
        <v>0</v>
      </c>
      <c r="I24" s="617"/>
      <c r="J24" s="477"/>
      <c r="K24" s="1692">
        <f t="shared" si="0"/>
        <v>0</v>
      </c>
      <c r="L24" s="471">
        <v>0</v>
      </c>
    </row>
    <row r="25" spans="1:12" ht="12.75" customHeight="1" x14ac:dyDescent="0.2">
      <c r="A25" s="1526" t="s">
        <v>835</v>
      </c>
      <c r="B25" s="603" t="s">
        <v>754</v>
      </c>
      <c r="C25" s="477"/>
      <c r="D25" s="477"/>
      <c r="E25" s="477"/>
      <c r="F25" s="477"/>
      <c r="G25" s="477"/>
      <c r="H25" s="466">
        <v>0</v>
      </c>
      <c r="I25" s="617"/>
      <c r="J25" s="477"/>
      <c r="K25" s="1692">
        <f t="shared" si="0"/>
        <v>0</v>
      </c>
      <c r="L25" s="471">
        <v>0</v>
      </c>
    </row>
    <row r="26" spans="1:12" x14ac:dyDescent="0.2">
      <c r="A26" s="1526" t="s">
        <v>643</v>
      </c>
      <c r="B26" s="603" t="s">
        <v>755</v>
      </c>
      <c r="C26" s="477"/>
      <c r="D26" s="477"/>
      <c r="E26" s="477"/>
      <c r="F26" s="477"/>
      <c r="G26" s="477"/>
      <c r="H26" s="466">
        <v>0</v>
      </c>
      <c r="I26" s="617"/>
      <c r="J26" s="477"/>
      <c r="K26" s="1692">
        <f t="shared" si="0"/>
        <v>0</v>
      </c>
      <c r="L26" s="471">
        <v>0</v>
      </c>
    </row>
    <row r="27" spans="1:12" x14ac:dyDescent="0.2">
      <c r="A27" s="1526" t="s">
        <v>644</v>
      </c>
      <c r="B27" s="603" t="s">
        <v>756</v>
      </c>
      <c r="C27" s="477"/>
      <c r="D27" s="477"/>
      <c r="E27" s="477"/>
      <c r="F27" s="477"/>
      <c r="G27" s="477"/>
      <c r="H27" s="466">
        <v>0</v>
      </c>
      <c r="I27" s="617"/>
      <c r="J27" s="477"/>
      <c r="K27" s="1692">
        <f t="shared" si="0"/>
        <v>0</v>
      </c>
      <c r="L27" s="471">
        <v>0</v>
      </c>
    </row>
    <row r="28" spans="1:12" x14ac:dyDescent="0.2">
      <c r="A28" s="1526" t="s">
        <v>152</v>
      </c>
      <c r="B28" s="603" t="s">
        <v>757</v>
      </c>
      <c r="C28" s="477"/>
      <c r="D28" s="477"/>
      <c r="E28" s="477"/>
      <c r="F28" s="477"/>
      <c r="G28" s="477"/>
      <c r="H28" s="466">
        <v>0</v>
      </c>
      <c r="I28" s="617"/>
      <c r="J28" s="477"/>
      <c r="K28" s="1692">
        <f t="shared" si="0"/>
        <v>0</v>
      </c>
      <c r="L28" s="471">
        <v>0</v>
      </c>
    </row>
    <row r="29" spans="1:12" x14ac:dyDescent="0.2">
      <c r="A29" s="1526" t="s">
        <v>153</v>
      </c>
      <c r="B29" s="603" t="s">
        <v>758</v>
      </c>
      <c r="C29" s="477"/>
      <c r="D29" s="477"/>
      <c r="E29" s="477"/>
      <c r="F29" s="477"/>
      <c r="G29" s="477"/>
      <c r="H29" s="466" t="s">
        <v>1231</v>
      </c>
      <c r="I29" s="617"/>
      <c r="J29" s="477"/>
      <c r="K29" s="1692">
        <f t="shared" si="0"/>
        <v>0</v>
      </c>
      <c r="L29" s="471">
        <v>0</v>
      </c>
    </row>
    <row r="30" spans="1:12" x14ac:dyDescent="0.2">
      <c r="A30" s="1526" t="s">
        <v>154</v>
      </c>
      <c r="B30" s="603" t="s">
        <v>759</v>
      </c>
      <c r="C30" s="477"/>
      <c r="D30" s="477"/>
      <c r="E30" s="477"/>
      <c r="F30" s="477"/>
      <c r="G30" s="477"/>
      <c r="H30" s="466">
        <v>0</v>
      </c>
      <c r="I30" s="617"/>
      <c r="J30" s="477"/>
      <c r="K30" s="1692">
        <f t="shared" si="0"/>
        <v>0</v>
      </c>
      <c r="L30" s="471">
        <v>0</v>
      </c>
    </row>
    <row r="31" spans="1:12" x14ac:dyDescent="0.2">
      <c r="A31" s="1526" t="s">
        <v>155</v>
      </c>
      <c r="B31" s="603" t="s">
        <v>760</v>
      </c>
      <c r="C31" s="477"/>
      <c r="D31" s="477"/>
      <c r="E31" s="477"/>
      <c r="F31" s="477"/>
      <c r="G31" s="477"/>
      <c r="H31" s="466">
        <v>0</v>
      </c>
      <c r="I31" s="617"/>
      <c r="J31" s="477"/>
      <c r="K31" s="1692">
        <f t="shared" si="0"/>
        <v>0</v>
      </c>
      <c r="L31" s="471">
        <v>0</v>
      </c>
    </row>
    <row r="32" spans="1:12" x14ac:dyDescent="0.2">
      <c r="A32" s="1527" t="s">
        <v>1191</v>
      </c>
      <c r="B32" s="615" t="s">
        <v>761</v>
      </c>
      <c r="C32" s="477"/>
      <c r="D32" s="477"/>
      <c r="E32" s="477"/>
      <c r="F32" s="477"/>
      <c r="G32" s="477"/>
      <c r="H32" s="466">
        <v>0</v>
      </c>
      <c r="I32" s="617"/>
      <c r="J32" s="480"/>
      <c r="K32" s="1692">
        <f t="shared" si="0"/>
        <v>0</v>
      </c>
      <c r="L32" s="471">
        <v>0</v>
      </c>
    </row>
    <row r="33" spans="1:14" ht="12.75" customHeight="1" thickBot="1" x14ac:dyDescent="0.25">
      <c r="A33" s="1689" t="s">
        <v>1767</v>
      </c>
      <c r="B33" s="1690" t="s">
        <v>591</v>
      </c>
      <c r="C33" s="1691">
        <f>SUM(C5:C32)</f>
        <v>2053939</v>
      </c>
      <c r="D33" s="1691">
        <f t="shared" ref="D33:L33" si="1">SUM(D5:D32)</f>
        <v>27366</v>
      </c>
      <c r="E33" s="1691">
        <f t="shared" si="1"/>
        <v>44134</v>
      </c>
      <c r="F33" s="1691">
        <f t="shared" si="1"/>
        <v>86132</v>
      </c>
      <c r="G33" s="1691">
        <f t="shared" si="1"/>
        <v>59605</v>
      </c>
      <c r="H33" s="1691">
        <f t="shared" si="1"/>
        <v>3403</v>
      </c>
      <c r="I33" s="1691">
        <f t="shared" si="1"/>
        <v>0</v>
      </c>
      <c r="J33" s="1691">
        <f t="shared" si="1"/>
        <v>0</v>
      </c>
      <c r="K33" s="1691">
        <f t="shared" si="1"/>
        <v>2274579</v>
      </c>
      <c r="L33" s="1691">
        <f t="shared" si="1"/>
        <v>2254589</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37859</v>
      </c>
      <c r="D36" s="481">
        <v>0</v>
      </c>
      <c r="E36" s="481">
        <v>0</v>
      </c>
      <c r="F36" s="481">
        <v>0</v>
      </c>
      <c r="G36" s="481">
        <v>0</v>
      </c>
      <c r="H36" s="481">
        <v>0</v>
      </c>
      <c r="I36" s="481">
        <v>0</v>
      </c>
      <c r="J36" s="481">
        <v>0</v>
      </c>
      <c r="K36" s="1692">
        <f t="shared" ref="K36:K41" si="2">SUM(C36:J36)</f>
        <v>37859</v>
      </c>
      <c r="L36" s="466">
        <v>37859</v>
      </c>
    </row>
    <row r="37" spans="1:14" x14ac:dyDescent="0.2">
      <c r="A37" s="1525" t="s">
        <v>1151</v>
      </c>
      <c r="B37" s="615">
        <v>2120</v>
      </c>
      <c r="C37" s="481">
        <v>70094</v>
      </c>
      <c r="D37" s="481">
        <v>1001</v>
      </c>
      <c r="E37" s="481">
        <v>0</v>
      </c>
      <c r="F37" s="481">
        <v>0</v>
      </c>
      <c r="G37" s="481">
        <v>0</v>
      </c>
      <c r="H37" s="481">
        <v>0</v>
      </c>
      <c r="I37" s="481">
        <v>0</v>
      </c>
      <c r="J37" s="481">
        <v>0</v>
      </c>
      <c r="K37" s="1692">
        <f t="shared" si="2"/>
        <v>71095</v>
      </c>
      <c r="L37" s="466">
        <v>71095</v>
      </c>
    </row>
    <row r="38" spans="1:14" x14ac:dyDescent="0.2">
      <c r="A38" s="1525" t="s">
        <v>207</v>
      </c>
      <c r="B38" s="615">
        <v>2130</v>
      </c>
      <c r="C38" s="481">
        <v>19471</v>
      </c>
      <c r="D38" s="481">
        <v>3953</v>
      </c>
      <c r="E38" s="481">
        <v>70</v>
      </c>
      <c r="F38" s="481">
        <v>413</v>
      </c>
      <c r="G38" s="481">
        <v>0</v>
      </c>
      <c r="H38" s="481">
        <v>0</v>
      </c>
      <c r="I38" s="481">
        <v>0</v>
      </c>
      <c r="J38" s="481">
        <v>0</v>
      </c>
      <c r="K38" s="1692">
        <f t="shared" si="2"/>
        <v>23907</v>
      </c>
      <c r="L38" s="466">
        <v>23907</v>
      </c>
    </row>
    <row r="39" spans="1:14" x14ac:dyDescent="0.2">
      <c r="A39" s="1525" t="s">
        <v>208</v>
      </c>
      <c r="B39" s="615">
        <v>2140</v>
      </c>
      <c r="C39" s="481">
        <v>0</v>
      </c>
      <c r="D39" s="481">
        <v>0</v>
      </c>
      <c r="E39" s="481">
        <v>0</v>
      </c>
      <c r="F39" s="481">
        <v>0</v>
      </c>
      <c r="G39" s="481">
        <v>0</v>
      </c>
      <c r="H39" s="481">
        <v>0</v>
      </c>
      <c r="I39" s="481">
        <v>0</v>
      </c>
      <c r="J39" s="481">
        <v>0</v>
      </c>
      <c r="K39" s="1692">
        <f t="shared" si="2"/>
        <v>0</v>
      </c>
      <c r="L39" s="466">
        <v>0</v>
      </c>
    </row>
    <row r="40" spans="1:14" x14ac:dyDescent="0.2">
      <c r="A40" s="1525" t="s">
        <v>209</v>
      </c>
      <c r="B40" s="615">
        <v>2150</v>
      </c>
      <c r="C40" s="481">
        <v>0</v>
      </c>
      <c r="D40" s="481">
        <v>0</v>
      </c>
      <c r="E40" s="481">
        <v>43476</v>
      </c>
      <c r="F40" s="481">
        <v>0</v>
      </c>
      <c r="G40" s="481">
        <v>0</v>
      </c>
      <c r="H40" s="481">
        <v>0</v>
      </c>
      <c r="I40" s="481">
        <v>0</v>
      </c>
      <c r="J40" s="481">
        <v>0</v>
      </c>
      <c r="K40" s="1692">
        <f t="shared" si="2"/>
        <v>43476</v>
      </c>
      <c r="L40" s="466">
        <v>43476</v>
      </c>
    </row>
    <row r="41" spans="1:14" x14ac:dyDescent="0.2">
      <c r="A41" s="1525" t="s">
        <v>1768</v>
      </c>
      <c r="B41" s="615">
        <v>2190</v>
      </c>
      <c r="C41" s="481">
        <v>0</v>
      </c>
      <c r="D41" s="481">
        <v>0</v>
      </c>
      <c r="E41" s="481">
        <v>0</v>
      </c>
      <c r="F41" s="481">
        <v>0</v>
      </c>
      <c r="G41" s="481">
        <v>0</v>
      </c>
      <c r="H41" s="481">
        <v>0</v>
      </c>
      <c r="I41" s="481">
        <v>0</v>
      </c>
      <c r="J41" s="481">
        <v>0</v>
      </c>
      <c r="K41" s="1692">
        <f t="shared" si="2"/>
        <v>0</v>
      </c>
      <c r="L41" s="466">
        <v>0</v>
      </c>
    </row>
    <row r="42" spans="1:14" ht="12.75" customHeight="1" thickBot="1" x14ac:dyDescent="0.25">
      <c r="A42" s="1689" t="s">
        <v>581</v>
      </c>
      <c r="B42" s="1690" t="s">
        <v>740</v>
      </c>
      <c r="C42" s="1691">
        <f>SUM(C36:C41)</f>
        <v>127424</v>
      </c>
      <c r="D42" s="1691">
        <f t="shared" ref="D42:L42" si="3">SUM(D36:D41)</f>
        <v>4954</v>
      </c>
      <c r="E42" s="1691">
        <f t="shared" si="3"/>
        <v>43546</v>
      </c>
      <c r="F42" s="1691">
        <f t="shared" si="3"/>
        <v>413</v>
      </c>
      <c r="G42" s="1691">
        <f t="shared" si="3"/>
        <v>0</v>
      </c>
      <c r="H42" s="1691">
        <f t="shared" si="3"/>
        <v>0</v>
      </c>
      <c r="I42" s="1691">
        <f t="shared" si="3"/>
        <v>0</v>
      </c>
      <c r="J42" s="1691">
        <f t="shared" si="3"/>
        <v>0</v>
      </c>
      <c r="K42" s="1691">
        <f t="shared" si="3"/>
        <v>176337</v>
      </c>
      <c r="L42" s="1691">
        <f t="shared" si="3"/>
        <v>176337</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1621</v>
      </c>
      <c r="D44" s="481">
        <v>83</v>
      </c>
      <c r="E44" s="481">
        <v>6984</v>
      </c>
      <c r="F44" s="481">
        <v>733</v>
      </c>
      <c r="G44" s="481">
        <v>0</v>
      </c>
      <c r="H44" s="481">
        <v>0</v>
      </c>
      <c r="I44" s="481">
        <v>0</v>
      </c>
      <c r="J44" s="481">
        <v>0</v>
      </c>
      <c r="K44" s="1693">
        <f>SUM(C44:J44)</f>
        <v>9421</v>
      </c>
      <c r="L44" s="481">
        <v>9422</v>
      </c>
    </row>
    <row r="45" spans="1:14" x14ac:dyDescent="0.2">
      <c r="A45" s="1525" t="s">
        <v>869</v>
      </c>
      <c r="B45" s="615">
        <v>2220</v>
      </c>
      <c r="C45" s="481">
        <v>19384</v>
      </c>
      <c r="D45" s="481">
        <v>0</v>
      </c>
      <c r="E45" s="481">
        <v>23016</v>
      </c>
      <c r="F45" s="481">
        <v>18432</v>
      </c>
      <c r="G45" s="481">
        <v>0</v>
      </c>
      <c r="H45" s="481">
        <v>0</v>
      </c>
      <c r="I45" s="481">
        <v>0</v>
      </c>
      <c r="J45" s="481">
        <v>0</v>
      </c>
      <c r="K45" s="1693">
        <f>SUM(C45:J45)</f>
        <v>60832</v>
      </c>
      <c r="L45" s="466">
        <v>60832</v>
      </c>
    </row>
    <row r="46" spans="1:14" x14ac:dyDescent="0.2">
      <c r="A46" s="1525" t="s">
        <v>870</v>
      </c>
      <c r="B46" s="615">
        <v>2230</v>
      </c>
      <c r="C46" s="481">
        <v>0</v>
      </c>
      <c r="D46" s="481">
        <v>0</v>
      </c>
      <c r="E46" s="481">
        <v>6908</v>
      </c>
      <c r="F46" s="481">
        <v>0</v>
      </c>
      <c r="G46" s="481">
        <v>0</v>
      </c>
      <c r="H46" s="481">
        <v>0</v>
      </c>
      <c r="I46" s="481">
        <v>0</v>
      </c>
      <c r="J46" s="481">
        <v>0</v>
      </c>
      <c r="K46" s="1693">
        <f>SUM(C46:J46)</f>
        <v>6908</v>
      </c>
      <c r="L46" s="466">
        <v>6908</v>
      </c>
    </row>
    <row r="47" spans="1:14" ht="12.75" customHeight="1" thickBot="1" x14ac:dyDescent="0.25">
      <c r="A47" s="1689" t="s">
        <v>582</v>
      </c>
      <c r="B47" s="1690" t="s">
        <v>32</v>
      </c>
      <c r="C47" s="1691">
        <f>SUM(C44:C46)</f>
        <v>21005</v>
      </c>
      <c r="D47" s="1691">
        <f t="shared" ref="D47:K47" si="4">SUM(D44:D46)</f>
        <v>83</v>
      </c>
      <c r="E47" s="1691">
        <f t="shared" si="4"/>
        <v>36908</v>
      </c>
      <c r="F47" s="1691">
        <f t="shared" si="4"/>
        <v>19165</v>
      </c>
      <c r="G47" s="1691">
        <f t="shared" si="4"/>
        <v>0</v>
      </c>
      <c r="H47" s="1691">
        <f t="shared" si="4"/>
        <v>0</v>
      </c>
      <c r="I47" s="1691">
        <f t="shared" si="4"/>
        <v>0</v>
      </c>
      <c r="J47" s="1691">
        <f t="shared" si="4"/>
        <v>0</v>
      </c>
      <c r="K47" s="1691">
        <f t="shared" si="4"/>
        <v>77161</v>
      </c>
      <c r="L47" s="1691">
        <f>SUM(L44:L46)</f>
        <v>77162</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3760</v>
      </c>
      <c r="D49" s="481">
        <v>21</v>
      </c>
      <c r="E49" s="481">
        <v>28610</v>
      </c>
      <c r="F49" s="481">
        <v>3100</v>
      </c>
      <c r="G49" s="481">
        <v>5000</v>
      </c>
      <c r="H49" s="481">
        <v>0</v>
      </c>
      <c r="I49" s="481">
        <v>0</v>
      </c>
      <c r="J49" s="481">
        <v>0</v>
      </c>
      <c r="K49" s="1693">
        <f>SUM(C49:J49)</f>
        <v>40491</v>
      </c>
      <c r="L49" s="481">
        <v>40247</v>
      </c>
    </row>
    <row r="50" spans="1:14" x14ac:dyDescent="0.2">
      <c r="A50" s="1525" t="s">
        <v>872</v>
      </c>
      <c r="B50" s="615">
        <v>2320</v>
      </c>
      <c r="C50" s="481">
        <v>82363</v>
      </c>
      <c r="D50" s="481">
        <v>10457</v>
      </c>
      <c r="E50" s="481">
        <v>686</v>
      </c>
      <c r="F50" s="481">
        <v>0</v>
      </c>
      <c r="G50" s="481">
        <v>0</v>
      </c>
      <c r="H50" s="481">
        <v>863</v>
      </c>
      <c r="I50" s="481">
        <v>0</v>
      </c>
      <c r="J50" s="481">
        <v>0</v>
      </c>
      <c r="K50" s="1693">
        <f>SUM(C50:J50)</f>
        <v>94369</v>
      </c>
      <c r="L50" s="466">
        <v>94371</v>
      </c>
    </row>
    <row r="51" spans="1:14" x14ac:dyDescent="0.2">
      <c r="A51" s="1525" t="s">
        <v>44</v>
      </c>
      <c r="B51" s="615">
        <v>2330</v>
      </c>
      <c r="C51" s="481">
        <v>0</v>
      </c>
      <c r="D51" s="481">
        <v>0</v>
      </c>
      <c r="E51" s="481">
        <v>9900</v>
      </c>
      <c r="F51" s="481">
        <v>0</v>
      </c>
      <c r="G51" s="481">
        <v>0</v>
      </c>
      <c r="H51" s="481">
        <v>0</v>
      </c>
      <c r="I51" s="481">
        <v>0</v>
      </c>
      <c r="J51" s="481">
        <v>0</v>
      </c>
      <c r="K51" s="1693">
        <f>SUM(C51:J51)</f>
        <v>9900</v>
      </c>
      <c r="L51" s="466">
        <v>9900</v>
      </c>
    </row>
    <row r="52" spans="1:14" ht="22.5" x14ac:dyDescent="0.2">
      <c r="A52" s="1526" t="s">
        <v>316</v>
      </c>
      <c r="B52" s="628" t="s">
        <v>384</v>
      </c>
      <c r="C52" s="481">
        <v>0</v>
      </c>
      <c r="D52" s="481">
        <v>0</v>
      </c>
      <c r="E52" s="481">
        <v>0</v>
      </c>
      <c r="F52" s="481">
        <v>0</v>
      </c>
      <c r="G52" s="481">
        <v>0</v>
      </c>
      <c r="H52" s="481">
        <v>0</v>
      </c>
      <c r="I52" s="481">
        <v>0</v>
      </c>
      <c r="J52" s="481">
        <v>0</v>
      </c>
      <c r="K52" s="1693">
        <f>SUM(C52:J52)</f>
        <v>0</v>
      </c>
      <c r="L52" s="474">
        <v>0</v>
      </c>
    </row>
    <row r="53" spans="1:14" ht="12.75" customHeight="1" thickBot="1" x14ac:dyDescent="0.25">
      <c r="A53" s="1689" t="s">
        <v>741</v>
      </c>
      <c r="B53" s="1690" t="s">
        <v>33</v>
      </c>
      <c r="C53" s="1691">
        <f>SUM(C49:C52)</f>
        <v>86123</v>
      </c>
      <c r="D53" s="1691">
        <f t="shared" ref="D53:L53" si="5">SUM(D49:D52)</f>
        <v>10478</v>
      </c>
      <c r="E53" s="1691">
        <f t="shared" si="5"/>
        <v>39196</v>
      </c>
      <c r="F53" s="1691">
        <f t="shared" si="5"/>
        <v>3100</v>
      </c>
      <c r="G53" s="1691">
        <f t="shared" si="5"/>
        <v>5000</v>
      </c>
      <c r="H53" s="1691">
        <f t="shared" si="5"/>
        <v>863</v>
      </c>
      <c r="I53" s="1691">
        <f t="shared" si="5"/>
        <v>0</v>
      </c>
      <c r="J53" s="1691">
        <f t="shared" si="5"/>
        <v>0</v>
      </c>
      <c r="K53" s="1691">
        <f t="shared" si="5"/>
        <v>144760</v>
      </c>
      <c r="L53" s="1691">
        <f t="shared" si="5"/>
        <v>144518</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189686</v>
      </c>
      <c r="D55" s="481">
        <v>21041</v>
      </c>
      <c r="E55" s="481">
        <v>233</v>
      </c>
      <c r="F55" s="481">
        <v>0</v>
      </c>
      <c r="G55" s="481">
        <v>0</v>
      </c>
      <c r="H55" s="481">
        <v>770</v>
      </c>
      <c r="I55" s="481">
        <v>0</v>
      </c>
      <c r="J55" s="481">
        <v>0</v>
      </c>
      <c r="K55" s="1693">
        <f>SUM(C55:J55)</f>
        <v>211730</v>
      </c>
      <c r="L55" s="481">
        <v>211731</v>
      </c>
    </row>
    <row r="56" spans="1:14" ht="12.75" customHeight="1" x14ac:dyDescent="0.2">
      <c r="A56" s="1529" t="s">
        <v>394</v>
      </c>
      <c r="B56" s="629">
        <v>2490</v>
      </c>
      <c r="C56" s="481">
        <v>0</v>
      </c>
      <c r="D56" s="481">
        <v>0</v>
      </c>
      <c r="E56" s="481">
        <v>0</v>
      </c>
      <c r="F56" s="481">
        <v>0</v>
      </c>
      <c r="G56" s="481">
        <v>0</v>
      </c>
      <c r="H56" s="481">
        <v>0</v>
      </c>
      <c r="I56" s="481">
        <v>0</v>
      </c>
      <c r="J56" s="481">
        <v>0</v>
      </c>
      <c r="K56" s="1693">
        <f>SUM(C56:J56)</f>
        <v>0</v>
      </c>
      <c r="L56" s="466">
        <v>0</v>
      </c>
    </row>
    <row r="57" spans="1:14" s="343" customFormat="1" ht="12.75" customHeight="1" thickBot="1" x14ac:dyDescent="0.25">
      <c r="A57" s="1689" t="s">
        <v>281</v>
      </c>
      <c r="B57" s="1694" t="s">
        <v>34</v>
      </c>
      <c r="C57" s="1695">
        <f>SUM(C55:C56)</f>
        <v>189686</v>
      </c>
      <c r="D57" s="1695">
        <f t="shared" ref="D57:K57" si="6">SUM(D55:D56)</f>
        <v>21041</v>
      </c>
      <c r="E57" s="1695">
        <f t="shared" si="6"/>
        <v>233</v>
      </c>
      <c r="F57" s="1695">
        <f t="shared" si="6"/>
        <v>0</v>
      </c>
      <c r="G57" s="1695">
        <f t="shared" si="6"/>
        <v>0</v>
      </c>
      <c r="H57" s="1695">
        <f t="shared" si="6"/>
        <v>770</v>
      </c>
      <c r="I57" s="1695">
        <f t="shared" si="6"/>
        <v>0</v>
      </c>
      <c r="J57" s="1695">
        <f t="shared" si="6"/>
        <v>0</v>
      </c>
      <c r="K57" s="1695">
        <f t="shared" si="6"/>
        <v>211730</v>
      </c>
      <c r="L57" s="1691">
        <f>SUM(L55:L56)</f>
        <v>211731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0</v>
      </c>
      <c r="D59" s="481">
        <v>0</v>
      </c>
      <c r="E59" s="481">
        <v>0</v>
      </c>
      <c r="F59" s="481">
        <v>0</v>
      </c>
      <c r="G59" s="481">
        <v>0</v>
      </c>
      <c r="H59" s="481">
        <v>0</v>
      </c>
      <c r="I59" s="481">
        <v>0</v>
      </c>
      <c r="J59" s="481">
        <v>0</v>
      </c>
      <c r="K59" s="1693">
        <f t="shared" ref="K59:K64" si="7">SUM(C59:J59)</f>
        <v>0</v>
      </c>
      <c r="L59" s="481">
        <v>0</v>
      </c>
      <c r="M59" s="610"/>
      <c r="N59" s="610"/>
    </row>
    <row r="60" spans="1:14" s="343" customFormat="1" x14ac:dyDescent="0.2">
      <c r="A60" s="1525" t="s">
        <v>483</v>
      </c>
      <c r="B60" s="615">
        <v>2520</v>
      </c>
      <c r="C60" s="481">
        <v>42456</v>
      </c>
      <c r="D60" s="481">
        <v>0</v>
      </c>
      <c r="E60" s="481">
        <v>0</v>
      </c>
      <c r="F60" s="481">
        <v>0</v>
      </c>
      <c r="G60" s="481">
        <v>0</v>
      </c>
      <c r="H60" s="481">
        <v>0</v>
      </c>
      <c r="I60" s="481">
        <v>0</v>
      </c>
      <c r="J60" s="481">
        <v>0</v>
      </c>
      <c r="K60" s="1693">
        <f t="shared" si="7"/>
        <v>42456</v>
      </c>
      <c r="L60" s="466">
        <v>42456</v>
      </c>
      <c r="M60" s="610"/>
      <c r="N60" s="610"/>
    </row>
    <row r="61" spans="1:14" s="343" customFormat="1" x14ac:dyDescent="0.2">
      <c r="A61" s="1525" t="s">
        <v>206</v>
      </c>
      <c r="B61" s="615">
        <v>2540</v>
      </c>
      <c r="C61" s="481">
        <v>30365</v>
      </c>
      <c r="D61" s="481">
        <v>0</v>
      </c>
      <c r="E61" s="481">
        <v>21564</v>
      </c>
      <c r="F61" s="481">
        <v>84686</v>
      </c>
      <c r="G61" s="481">
        <v>0</v>
      </c>
      <c r="H61" s="481">
        <v>0</v>
      </c>
      <c r="I61" s="481">
        <v>0</v>
      </c>
      <c r="J61" s="481">
        <v>0</v>
      </c>
      <c r="K61" s="1693">
        <f t="shared" si="7"/>
        <v>136615</v>
      </c>
      <c r="L61" s="466">
        <v>136616</v>
      </c>
      <c r="M61" s="610"/>
      <c r="N61" s="610"/>
    </row>
    <row r="62" spans="1:14" s="343" customFormat="1" x14ac:dyDescent="0.2">
      <c r="A62" s="1525" t="s">
        <v>1010</v>
      </c>
      <c r="B62" s="615">
        <v>2550</v>
      </c>
      <c r="C62" s="481">
        <v>0</v>
      </c>
      <c r="D62" s="481">
        <v>0</v>
      </c>
      <c r="E62" s="481">
        <v>0</v>
      </c>
      <c r="F62" s="481">
        <v>0</v>
      </c>
      <c r="G62" s="481">
        <v>0</v>
      </c>
      <c r="H62" s="481">
        <v>0</v>
      </c>
      <c r="I62" s="481">
        <v>0</v>
      </c>
      <c r="J62" s="481">
        <v>0</v>
      </c>
      <c r="K62" s="1693">
        <f t="shared" si="7"/>
        <v>0</v>
      </c>
      <c r="L62" s="466">
        <v>0</v>
      </c>
      <c r="M62" s="610"/>
      <c r="N62" s="610"/>
    </row>
    <row r="63" spans="1:14" s="610" customFormat="1" x14ac:dyDescent="0.2">
      <c r="A63" s="1525" t="s">
        <v>102</v>
      </c>
      <c r="B63" s="615">
        <v>2560</v>
      </c>
      <c r="C63" s="481">
        <v>75105</v>
      </c>
      <c r="D63" s="481">
        <v>0</v>
      </c>
      <c r="E63" s="481">
        <v>211</v>
      </c>
      <c r="F63" s="481">
        <v>125799</v>
      </c>
      <c r="G63" s="481">
        <v>0</v>
      </c>
      <c r="H63" s="481">
        <v>0</v>
      </c>
      <c r="I63" s="481">
        <v>0</v>
      </c>
      <c r="J63" s="481">
        <v>0</v>
      </c>
      <c r="K63" s="1693">
        <f t="shared" si="7"/>
        <v>201115</v>
      </c>
      <c r="L63" s="466">
        <v>201115</v>
      </c>
    </row>
    <row r="64" spans="1:14" s="610" customFormat="1" x14ac:dyDescent="0.2">
      <c r="A64" s="1530" t="s">
        <v>103</v>
      </c>
      <c r="B64" s="631">
        <v>2570</v>
      </c>
      <c r="C64" s="481">
        <v>0</v>
      </c>
      <c r="D64" s="481">
        <v>0</v>
      </c>
      <c r="E64" s="481">
        <v>0</v>
      </c>
      <c r="F64" s="481">
        <v>0</v>
      </c>
      <c r="G64" s="481">
        <v>0</v>
      </c>
      <c r="H64" s="481">
        <v>0</v>
      </c>
      <c r="I64" s="481">
        <v>0</v>
      </c>
      <c r="J64" s="481">
        <v>0</v>
      </c>
      <c r="K64" s="1693">
        <f t="shared" si="7"/>
        <v>0</v>
      </c>
      <c r="L64" s="481">
        <v>0</v>
      </c>
    </row>
    <row r="65" spans="1:14" s="343" customFormat="1" ht="12.75" customHeight="1" thickBot="1" x14ac:dyDescent="0.25">
      <c r="A65" s="1689" t="s">
        <v>743</v>
      </c>
      <c r="B65" s="1690" t="s">
        <v>35</v>
      </c>
      <c r="C65" s="1691">
        <f>SUM(C59:C64)</f>
        <v>147926</v>
      </c>
      <c r="D65" s="1691">
        <f t="shared" ref="D65:L65" si="8">SUM(D59:D64)</f>
        <v>0</v>
      </c>
      <c r="E65" s="1691">
        <f t="shared" si="8"/>
        <v>21775</v>
      </c>
      <c r="F65" s="1691">
        <f t="shared" si="8"/>
        <v>210485</v>
      </c>
      <c r="G65" s="1691">
        <f t="shared" si="8"/>
        <v>0</v>
      </c>
      <c r="H65" s="1691">
        <f t="shared" si="8"/>
        <v>0</v>
      </c>
      <c r="I65" s="1691">
        <f t="shared" si="8"/>
        <v>0</v>
      </c>
      <c r="J65" s="1691">
        <f t="shared" si="8"/>
        <v>0</v>
      </c>
      <c r="K65" s="1691">
        <f t="shared" si="8"/>
        <v>380186</v>
      </c>
      <c r="L65" s="1691">
        <f t="shared" si="8"/>
        <v>380187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81">
        <v>0</v>
      </c>
      <c r="D67" s="481">
        <v>0</v>
      </c>
      <c r="E67" s="481">
        <v>0</v>
      </c>
      <c r="F67" s="481">
        <v>0</v>
      </c>
      <c r="G67" s="481">
        <v>0</v>
      </c>
      <c r="H67" s="481">
        <v>0</v>
      </c>
      <c r="I67" s="481">
        <v>0</v>
      </c>
      <c r="J67" s="481">
        <v>0</v>
      </c>
      <c r="K67" s="1693">
        <f>SUM(C67:J67)</f>
        <v>0</v>
      </c>
      <c r="L67" s="481">
        <v>0</v>
      </c>
      <c r="M67" s="610"/>
      <c r="N67" s="610"/>
    </row>
    <row r="68" spans="1:14" s="343" customFormat="1" x14ac:dyDescent="0.2">
      <c r="A68" s="1525" t="s">
        <v>628</v>
      </c>
      <c r="B68" s="615">
        <v>2620</v>
      </c>
      <c r="C68" s="481">
        <v>0</v>
      </c>
      <c r="D68" s="481">
        <v>0</v>
      </c>
      <c r="E68" s="481">
        <v>0</v>
      </c>
      <c r="F68" s="481">
        <v>0</v>
      </c>
      <c r="G68" s="481">
        <v>0</v>
      </c>
      <c r="H68" s="481">
        <v>0</v>
      </c>
      <c r="I68" s="481">
        <v>0</v>
      </c>
      <c r="J68" s="481">
        <v>0</v>
      </c>
      <c r="K68" s="1693">
        <f>SUM(C68:J68)</f>
        <v>0</v>
      </c>
      <c r="L68" s="466">
        <v>0</v>
      </c>
      <c r="M68" s="610"/>
      <c r="N68" s="610"/>
    </row>
    <row r="69" spans="1:14" s="343" customFormat="1" x14ac:dyDescent="0.2">
      <c r="A69" s="1525" t="s">
        <v>1121</v>
      </c>
      <c r="B69" s="615">
        <v>2630</v>
      </c>
      <c r="C69" s="481">
        <v>0</v>
      </c>
      <c r="D69" s="481">
        <v>0</v>
      </c>
      <c r="E69" s="481">
        <v>0</v>
      </c>
      <c r="F69" s="481">
        <v>0</v>
      </c>
      <c r="G69" s="481">
        <v>0</v>
      </c>
      <c r="H69" s="481">
        <v>0</v>
      </c>
      <c r="I69" s="481">
        <v>0</v>
      </c>
      <c r="J69" s="481">
        <v>0</v>
      </c>
      <c r="K69" s="1693">
        <f>SUM(C69:J69)</f>
        <v>0</v>
      </c>
      <c r="L69" s="466">
        <v>0</v>
      </c>
      <c r="M69" s="610"/>
      <c r="N69" s="610"/>
    </row>
    <row r="70" spans="1:14" s="343" customFormat="1" x14ac:dyDescent="0.2">
      <c r="A70" s="1525" t="s">
        <v>423</v>
      </c>
      <c r="B70" s="615">
        <v>2640</v>
      </c>
      <c r="C70" s="481">
        <v>0</v>
      </c>
      <c r="D70" s="481">
        <v>0</v>
      </c>
      <c r="E70" s="481">
        <v>0</v>
      </c>
      <c r="F70" s="481">
        <v>0</v>
      </c>
      <c r="G70" s="481">
        <v>0</v>
      </c>
      <c r="H70" s="481">
        <v>0</v>
      </c>
      <c r="I70" s="481">
        <v>0</v>
      </c>
      <c r="J70" s="481">
        <v>0</v>
      </c>
      <c r="K70" s="1693">
        <f>SUM(C70:J70)</f>
        <v>0</v>
      </c>
      <c r="L70" s="466">
        <v>0</v>
      </c>
      <c r="M70" s="610"/>
      <c r="N70" s="610"/>
    </row>
    <row r="71" spans="1:14" s="343" customFormat="1" x14ac:dyDescent="0.2">
      <c r="A71" s="1525" t="s">
        <v>424</v>
      </c>
      <c r="B71" s="615">
        <v>2660</v>
      </c>
      <c r="C71" s="481">
        <v>0</v>
      </c>
      <c r="D71" s="481">
        <v>0</v>
      </c>
      <c r="E71" s="481">
        <v>0</v>
      </c>
      <c r="F71" s="481">
        <v>0</v>
      </c>
      <c r="G71" s="481">
        <v>0</v>
      </c>
      <c r="H71" s="481">
        <v>0</v>
      </c>
      <c r="I71" s="481">
        <v>0</v>
      </c>
      <c r="J71" s="481">
        <v>0</v>
      </c>
      <c r="K71" s="1693">
        <f>SUM(C71:J71)</f>
        <v>0</v>
      </c>
      <c r="L71" s="466">
        <v>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v>0</v>
      </c>
      <c r="D73" s="573">
        <v>0</v>
      </c>
      <c r="E73" s="573">
        <v>0</v>
      </c>
      <c r="F73" s="573">
        <v>0</v>
      </c>
      <c r="G73" s="573">
        <v>0</v>
      </c>
      <c r="H73" s="573">
        <v>0</v>
      </c>
      <c r="I73" s="573">
        <v>0</v>
      </c>
      <c r="J73" s="573">
        <v>0</v>
      </c>
      <c r="K73" s="1691">
        <f>SUM(C73:J73)</f>
        <v>0</v>
      </c>
      <c r="L73" s="576">
        <v>0</v>
      </c>
      <c r="M73" s="610"/>
      <c r="N73" s="610"/>
    </row>
    <row r="74" spans="1:14" ht="12.75" customHeight="1" thickTop="1" thickBot="1" x14ac:dyDescent="0.25">
      <c r="A74" s="1689" t="s">
        <v>865</v>
      </c>
      <c r="B74" s="1697">
        <v>2000</v>
      </c>
      <c r="C74" s="1698">
        <f>SUM(C42,C47,C53,C57,C65,C72,C73)</f>
        <v>572164</v>
      </c>
      <c r="D74" s="1698">
        <f t="shared" ref="D74:K74" si="10">SUM(D42,D47,D53,D57,D65,D72,D73)</f>
        <v>36556</v>
      </c>
      <c r="E74" s="1698">
        <f t="shared" si="10"/>
        <v>141658</v>
      </c>
      <c r="F74" s="1698">
        <f t="shared" si="10"/>
        <v>233163</v>
      </c>
      <c r="G74" s="1698">
        <f t="shared" si="10"/>
        <v>5000</v>
      </c>
      <c r="H74" s="1698">
        <f t="shared" si="10"/>
        <v>1633</v>
      </c>
      <c r="I74" s="1698">
        <f t="shared" si="10"/>
        <v>0</v>
      </c>
      <c r="J74" s="1698">
        <f t="shared" si="10"/>
        <v>0</v>
      </c>
      <c r="K74" s="1698">
        <f t="shared" si="10"/>
        <v>990174</v>
      </c>
      <c r="L74" s="1698">
        <f>SUM(L42,L47,L53,L57,L65,L72,L73)</f>
        <v>989935</v>
      </c>
    </row>
    <row r="75" spans="1:14" s="259" customFormat="1" ht="15.75" customHeight="1" thickTop="1" thickBot="1" x14ac:dyDescent="0.25">
      <c r="A75" s="1631" t="s">
        <v>49</v>
      </c>
      <c r="B75" s="1632" t="s">
        <v>596</v>
      </c>
      <c r="C75" s="573">
        <v>0</v>
      </c>
      <c r="D75" s="573">
        <v>0</v>
      </c>
      <c r="E75" s="573">
        <v>2350</v>
      </c>
      <c r="F75" s="573">
        <v>243</v>
      </c>
      <c r="G75" s="573">
        <v>0</v>
      </c>
      <c r="H75" s="573">
        <v>0</v>
      </c>
      <c r="I75" s="573">
        <v>0</v>
      </c>
      <c r="J75" s="573">
        <v>0</v>
      </c>
      <c r="K75" s="1691">
        <f>SUM(C75:J75)</f>
        <v>2593</v>
      </c>
      <c r="L75" s="576">
        <v>2593</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481">
        <v>312</v>
      </c>
      <c r="I78" s="477"/>
      <c r="J78" s="477"/>
      <c r="K78" s="1692">
        <f t="shared" ref="K78:K83" si="11">SUM(C78:J78)</f>
        <v>312</v>
      </c>
      <c r="L78" s="481">
        <v>312</v>
      </c>
    </row>
    <row r="79" spans="1:14" x14ac:dyDescent="0.2">
      <c r="A79" s="1525" t="s">
        <v>322</v>
      </c>
      <c r="B79" s="615">
        <v>4120</v>
      </c>
      <c r="C79" s="617"/>
      <c r="D79" s="617"/>
      <c r="E79" s="481">
        <v>63706</v>
      </c>
      <c r="F79" s="617"/>
      <c r="G79" s="617"/>
      <c r="H79" s="481">
        <v>0</v>
      </c>
      <c r="I79" s="477"/>
      <c r="J79" s="477"/>
      <c r="K79" s="1692">
        <f t="shared" si="11"/>
        <v>63706</v>
      </c>
      <c r="L79" s="466">
        <v>67216</v>
      </c>
    </row>
    <row r="80" spans="1:14" x14ac:dyDescent="0.2">
      <c r="A80" s="1525" t="s">
        <v>323</v>
      </c>
      <c r="B80" s="615">
        <v>4130</v>
      </c>
      <c r="C80" s="617"/>
      <c r="D80" s="617"/>
      <c r="E80" s="481">
        <v>0</v>
      </c>
      <c r="F80" s="617"/>
      <c r="G80" s="617"/>
      <c r="H80" s="481">
        <v>0</v>
      </c>
      <c r="I80" s="477"/>
      <c r="J80" s="477"/>
      <c r="K80" s="1692">
        <f t="shared" si="11"/>
        <v>0</v>
      </c>
      <c r="L80" s="466">
        <v>0</v>
      </c>
    </row>
    <row r="81" spans="1:12" x14ac:dyDescent="0.2">
      <c r="A81" s="1525" t="s">
        <v>721</v>
      </c>
      <c r="B81" s="615">
        <v>4140</v>
      </c>
      <c r="C81" s="617"/>
      <c r="D81" s="617"/>
      <c r="E81" s="481">
        <v>0</v>
      </c>
      <c r="F81" s="617"/>
      <c r="G81" s="617"/>
      <c r="H81" s="481">
        <v>0</v>
      </c>
      <c r="I81" s="477"/>
      <c r="J81" s="477"/>
      <c r="K81" s="1692">
        <f t="shared" si="11"/>
        <v>0</v>
      </c>
      <c r="L81" s="466">
        <v>0</v>
      </c>
    </row>
    <row r="82" spans="1:12" x14ac:dyDescent="0.2">
      <c r="A82" s="1525" t="s">
        <v>88</v>
      </c>
      <c r="B82" s="615">
        <v>4170</v>
      </c>
      <c r="C82" s="617"/>
      <c r="D82" s="617"/>
      <c r="E82" s="481">
        <v>0</v>
      </c>
      <c r="F82" s="617"/>
      <c r="G82" s="617"/>
      <c r="H82" s="481">
        <v>0</v>
      </c>
      <c r="I82" s="477"/>
      <c r="J82" s="477"/>
      <c r="K82" s="1692">
        <f t="shared" si="11"/>
        <v>0</v>
      </c>
      <c r="L82" s="466">
        <v>0</v>
      </c>
    </row>
    <row r="83" spans="1:12" x14ac:dyDescent="0.2">
      <c r="A83" s="1529" t="s">
        <v>722</v>
      </c>
      <c r="B83" s="629">
        <v>4190</v>
      </c>
      <c r="C83" s="617"/>
      <c r="D83" s="617"/>
      <c r="E83" s="481">
        <v>0</v>
      </c>
      <c r="F83" s="617"/>
      <c r="G83" s="617"/>
      <c r="H83" s="481">
        <v>0</v>
      </c>
      <c r="I83" s="477"/>
      <c r="J83" s="477"/>
      <c r="K83" s="1692">
        <f t="shared" si="11"/>
        <v>0</v>
      </c>
      <c r="L83" s="466">
        <v>0</v>
      </c>
    </row>
    <row r="84" spans="1:12" ht="13.5" thickBot="1" x14ac:dyDescent="0.25">
      <c r="A84" s="1689" t="s">
        <v>1565</v>
      </c>
      <c r="B84" s="1699">
        <v>4100</v>
      </c>
      <c r="C84" s="617"/>
      <c r="D84" s="617"/>
      <c r="E84" s="1691">
        <f>SUM(E78:E83)</f>
        <v>63706</v>
      </c>
      <c r="F84" s="617"/>
      <c r="G84" s="617"/>
      <c r="H84" s="1691">
        <f>SUM(H78:H83)</f>
        <v>312</v>
      </c>
      <c r="I84" s="477"/>
      <c r="J84" s="477"/>
      <c r="K84" s="1691">
        <f>SUM(K78:K83)</f>
        <v>64018</v>
      </c>
      <c r="L84" s="1691">
        <f>SUM(L78:L83)</f>
        <v>67528</v>
      </c>
    </row>
    <row r="85" spans="1:12" ht="12.75" customHeight="1" thickTop="1" thickBot="1" x14ac:dyDescent="0.25">
      <c r="A85" s="1532" t="s">
        <v>273</v>
      </c>
      <c r="B85" s="635">
        <v>4210</v>
      </c>
      <c r="C85" s="617"/>
      <c r="D85" s="617"/>
      <c r="E85" s="636"/>
      <c r="F85" s="617"/>
      <c r="G85" s="617"/>
      <c r="H85" s="535">
        <v>0</v>
      </c>
      <c r="I85" s="477"/>
      <c r="J85" s="477"/>
      <c r="K85" s="1698">
        <f>H85</f>
        <v>0</v>
      </c>
      <c r="L85" s="530">
        <v>0</v>
      </c>
    </row>
    <row r="86" spans="1:12" ht="12.75" customHeight="1" thickTop="1" thickBot="1" x14ac:dyDescent="0.25">
      <c r="A86" s="1533" t="s">
        <v>723</v>
      </c>
      <c r="B86" s="637">
        <v>4220</v>
      </c>
      <c r="C86" s="617"/>
      <c r="D86" s="617"/>
      <c r="E86" s="638"/>
      <c r="F86" s="617"/>
      <c r="G86" s="617"/>
      <c r="H86" s="467">
        <v>109122</v>
      </c>
      <c r="I86" s="477"/>
      <c r="J86" s="477"/>
      <c r="K86" s="1698">
        <f t="shared" ref="K86:K98" si="12">H86</f>
        <v>109122</v>
      </c>
      <c r="L86" s="530">
        <v>109123</v>
      </c>
    </row>
    <row r="87" spans="1:12" ht="14.25" thickTop="1" thickBot="1" x14ac:dyDescent="0.25">
      <c r="A87" s="1534" t="s">
        <v>724</v>
      </c>
      <c r="B87" s="639">
        <v>4230</v>
      </c>
      <c r="C87" s="617"/>
      <c r="D87" s="617"/>
      <c r="E87" s="638"/>
      <c r="F87" s="617"/>
      <c r="G87" s="617"/>
      <c r="H87" s="467">
        <v>0</v>
      </c>
      <c r="I87" s="477"/>
      <c r="J87" s="477"/>
      <c r="K87" s="1698">
        <f t="shared" si="12"/>
        <v>0</v>
      </c>
      <c r="L87" s="530">
        <v>0</v>
      </c>
    </row>
    <row r="88" spans="1:12" ht="12.75" customHeight="1" thickTop="1" thickBot="1" x14ac:dyDescent="0.25">
      <c r="A88" s="1534" t="s">
        <v>789</v>
      </c>
      <c r="B88" s="639">
        <v>4240</v>
      </c>
      <c r="C88" s="617"/>
      <c r="D88" s="617"/>
      <c r="E88" s="638"/>
      <c r="F88" s="617"/>
      <c r="G88" s="617"/>
      <c r="H88" s="467">
        <v>19166</v>
      </c>
      <c r="I88" s="477"/>
      <c r="J88" s="477"/>
      <c r="K88" s="1698">
        <f t="shared" si="12"/>
        <v>19166</v>
      </c>
      <c r="L88" s="530">
        <v>19167</v>
      </c>
    </row>
    <row r="89" spans="1:12" ht="12.75" customHeight="1" thickTop="1" thickBot="1" x14ac:dyDescent="0.25">
      <c r="A89" s="1534" t="s">
        <v>725</v>
      </c>
      <c r="B89" s="639">
        <v>4270</v>
      </c>
      <c r="C89" s="617"/>
      <c r="D89" s="617"/>
      <c r="E89" s="638"/>
      <c r="F89" s="617"/>
      <c r="G89" s="617"/>
      <c r="H89" s="467">
        <v>0</v>
      </c>
      <c r="I89" s="477"/>
      <c r="J89" s="477"/>
      <c r="K89" s="1698">
        <f t="shared" si="12"/>
        <v>0</v>
      </c>
      <c r="L89" s="530">
        <v>0</v>
      </c>
    </row>
    <row r="90" spans="1:12" ht="12.75" customHeight="1" thickTop="1" thickBot="1" x14ac:dyDescent="0.25">
      <c r="A90" s="1534" t="s">
        <v>710</v>
      </c>
      <c r="B90" s="639">
        <v>4280</v>
      </c>
      <c r="C90" s="617"/>
      <c r="D90" s="617"/>
      <c r="E90" s="638"/>
      <c r="F90" s="617"/>
      <c r="G90" s="617"/>
      <c r="H90" s="467">
        <v>0</v>
      </c>
      <c r="I90" s="477"/>
      <c r="J90" s="477"/>
      <c r="K90" s="1698">
        <f t="shared" si="12"/>
        <v>0</v>
      </c>
      <c r="L90" s="530">
        <v>0</v>
      </c>
    </row>
    <row r="91" spans="1:12" ht="12.75" customHeight="1" thickTop="1" thickBot="1" x14ac:dyDescent="0.25">
      <c r="A91" s="1534" t="s">
        <v>711</v>
      </c>
      <c r="B91" s="639">
        <v>4290</v>
      </c>
      <c r="C91" s="617"/>
      <c r="D91" s="617"/>
      <c r="E91" s="638"/>
      <c r="F91" s="617"/>
      <c r="G91" s="617"/>
      <c r="H91" s="467">
        <v>0</v>
      </c>
      <c r="I91" s="477"/>
      <c r="J91" s="477"/>
      <c r="K91" s="1698">
        <f t="shared" si="12"/>
        <v>0</v>
      </c>
      <c r="L91" s="530">
        <v>0</v>
      </c>
    </row>
    <row r="92" spans="1:12" ht="14.25" thickTop="1" thickBot="1" x14ac:dyDescent="0.25">
      <c r="A92" s="1701" t="s">
        <v>1641</v>
      </c>
      <c r="B92" s="1699">
        <v>4200</v>
      </c>
      <c r="C92" s="617"/>
      <c r="D92" s="617"/>
      <c r="E92" s="638"/>
      <c r="F92" s="617"/>
      <c r="G92" s="617"/>
      <c r="H92" s="1691">
        <f>SUM(H85:H91)</f>
        <v>128288</v>
      </c>
      <c r="I92" s="477"/>
      <c r="J92" s="477"/>
      <c r="K92" s="1698">
        <f t="shared" si="12"/>
        <v>128288</v>
      </c>
      <c r="L92" s="1691">
        <f>SUM(L85:L91)</f>
        <v>128290</v>
      </c>
    </row>
    <row r="93" spans="1:12" ht="14.25" thickTop="1" thickBot="1" x14ac:dyDescent="0.25">
      <c r="A93" s="1533" t="s">
        <v>712</v>
      </c>
      <c r="B93" s="640">
        <v>4310</v>
      </c>
      <c r="C93" s="617"/>
      <c r="D93" s="617"/>
      <c r="E93" s="638"/>
      <c r="F93" s="617"/>
      <c r="G93" s="617"/>
      <c r="H93" s="641">
        <v>0</v>
      </c>
      <c r="I93" s="477"/>
      <c r="J93" s="477"/>
      <c r="K93" s="1698">
        <f t="shared" si="12"/>
        <v>0</v>
      </c>
      <c r="L93" s="532">
        <v>0</v>
      </c>
    </row>
    <row r="94" spans="1:12" ht="12.75" customHeight="1" thickTop="1" thickBot="1" x14ac:dyDescent="0.25">
      <c r="A94" s="1534" t="s">
        <v>713</v>
      </c>
      <c r="B94" s="639">
        <v>4320</v>
      </c>
      <c r="C94" s="617"/>
      <c r="D94" s="617"/>
      <c r="E94" s="638"/>
      <c r="F94" s="617"/>
      <c r="G94" s="617"/>
      <c r="H94" s="467">
        <v>0</v>
      </c>
      <c r="I94" s="477"/>
      <c r="J94" s="477"/>
      <c r="K94" s="1698">
        <f t="shared" si="12"/>
        <v>0</v>
      </c>
      <c r="L94" s="530">
        <v>0</v>
      </c>
    </row>
    <row r="95" spans="1:12" ht="15" customHeight="1" thickTop="1" thickBot="1" x14ac:dyDescent="0.25">
      <c r="A95" s="1534" t="s">
        <v>1568</v>
      </c>
      <c r="B95" s="639">
        <v>4330</v>
      </c>
      <c r="C95" s="617"/>
      <c r="D95" s="617"/>
      <c r="E95" s="638"/>
      <c r="F95" s="617"/>
      <c r="G95" s="617"/>
      <c r="H95" s="467">
        <v>0</v>
      </c>
      <c r="I95" s="477"/>
      <c r="J95" s="477"/>
      <c r="K95" s="1698">
        <f t="shared" si="12"/>
        <v>0</v>
      </c>
      <c r="L95" s="530">
        <v>0</v>
      </c>
    </row>
    <row r="96" spans="1:12" ht="14.25" thickTop="1" thickBot="1" x14ac:dyDescent="0.25">
      <c r="A96" s="1534" t="s">
        <v>714</v>
      </c>
      <c r="B96" s="639">
        <v>4340</v>
      </c>
      <c r="C96" s="617"/>
      <c r="D96" s="617"/>
      <c r="E96" s="638"/>
      <c r="F96" s="617"/>
      <c r="G96" s="617"/>
      <c r="H96" s="467">
        <v>0</v>
      </c>
      <c r="I96" s="477"/>
      <c r="J96" s="477"/>
      <c r="K96" s="1698">
        <f t="shared" si="12"/>
        <v>0</v>
      </c>
      <c r="L96" s="530">
        <v>0</v>
      </c>
    </row>
    <row r="97" spans="1:14" ht="12.75" customHeight="1" thickTop="1" thickBot="1" x14ac:dyDescent="0.25">
      <c r="A97" s="1534" t="s">
        <v>787</v>
      </c>
      <c r="B97" s="639">
        <v>4370</v>
      </c>
      <c r="C97" s="617"/>
      <c r="D97" s="617"/>
      <c r="E97" s="638"/>
      <c r="F97" s="617"/>
      <c r="G97" s="617"/>
      <c r="H97" s="467">
        <v>0</v>
      </c>
      <c r="I97" s="477"/>
      <c r="J97" s="477"/>
      <c r="K97" s="1698">
        <f t="shared" si="12"/>
        <v>0</v>
      </c>
      <c r="L97" s="530">
        <v>0</v>
      </c>
    </row>
    <row r="98" spans="1:14" ht="14.25" thickTop="1" thickBot="1" x14ac:dyDescent="0.25">
      <c r="A98" s="1534" t="s">
        <v>788</v>
      </c>
      <c r="B98" s="639">
        <v>4380</v>
      </c>
      <c r="C98" s="617"/>
      <c r="D98" s="617"/>
      <c r="E98" s="642"/>
      <c r="F98" s="617"/>
      <c r="G98" s="617"/>
      <c r="H98" s="467">
        <v>0</v>
      </c>
      <c r="I98" s="477"/>
      <c r="J98" s="477"/>
      <c r="K98" s="1698">
        <f t="shared" si="12"/>
        <v>0</v>
      </c>
      <c r="L98" s="530">
        <v>0</v>
      </c>
    </row>
    <row r="99" spans="1:14" ht="14.25" thickTop="1" thickBot="1" x14ac:dyDescent="0.25">
      <c r="A99" s="1534" t="s">
        <v>385</v>
      </c>
      <c r="B99" s="639">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3"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63706</v>
      </c>
      <c r="F102" s="617"/>
      <c r="G102" s="617"/>
      <c r="H102" s="1698">
        <f>SUM(H84,H92,H100,H101)</f>
        <v>128600</v>
      </c>
      <c r="I102" s="477"/>
      <c r="J102" s="477"/>
      <c r="K102" s="1698">
        <f>SUM(K84,K92,K100,K101)</f>
        <v>192306</v>
      </c>
      <c r="L102" s="1698">
        <f>SUM(L84,L92,L100,L101)</f>
        <v>195818</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7"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2626103</v>
      </c>
      <c r="D114" s="1691">
        <f t="shared" ref="D114:K114" si="13">SUM(D33,D74,D75,D102,D112,D113)</f>
        <v>63922</v>
      </c>
      <c r="E114" s="1691">
        <f t="shared" si="13"/>
        <v>251848</v>
      </c>
      <c r="F114" s="1691">
        <f t="shared" si="13"/>
        <v>319538</v>
      </c>
      <c r="G114" s="1691">
        <f t="shared" si="13"/>
        <v>64605</v>
      </c>
      <c r="H114" s="1691">
        <f>SUM(H33,H74,H75,H102,H112,H113)</f>
        <v>133636</v>
      </c>
      <c r="I114" s="1691">
        <f t="shared" si="13"/>
        <v>0</v>
      </c>
      <c r="J114" s="1691">
        <f t="shared" si="13"/>
        <v>0</v>
      </c>
      <c r="K114" s="1691">
        <f t="shared" si="13"/>
        <v>3459652</v>
      </c>
      <c r="L114" s="1691">
        <f>SUM(L33,L74,L75,L102,L112,L113)</f>
        <v>3442935</v>
      </c>
    </row>
    <row r="115" spans="1:14" ht="13.5" thickTop="1" x14ac:dyDescent="0.2">
      <c r="A115" s="2180" t="s">
        <v>1053</v>
      </c>
      <c r="B115" s="2181"/>
      <c r="C115" s="619"/>
      <c r="D115" s="619"/>
      <c r="E115" s="619"/>
      <c r="F115" s="619"/>
      <c r="G115" s="619"/>
      <c r="H115" s="619"/>
      <c r="I115" s="619"/>
      <c r="J115" s="619"/>
      <c r="K115" s="1705">
        <f>'Revenues 9-14'!C275-'Expenditures 15-22'!K114</f>
        <v>143157</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5" t="s">
        <v>314</v>
      </c>
      <c r="B117" s="2186"/>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2">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6">
        <v>0</v>
      </c>
      <c r="J122" s="466">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6">
        <v>0</v>
      </c>
      <c r="J123" s="466">
        <v>0</v>
      </c>
      <c r="K123" s="1691">
        <f>SUM(C123:J123)</f>
        <v>0</v>
      </c>
      <c r="L123" s="466">
        <v>0</v>
      </c>
    </row>
    <row r="124" spans="1:14" ht="14.25" thickTop="1" thickBot="1" x14ac:dyDescent="0.25">
      <c r="A124" s="1525" t="s">
        <v>206</v>
      </c>
      <c r="B124" s="615">
        <v>2540</v>
      </c>
      <c r="C124" s="466">
        <v>84207</v>
      </c>
      <c r="D124" s="466">
        <v>0</v>
      </c>
      <c r="E124" s="466">
        <v>12110</v>
      </c>
      <c r="F124" s="466">
        <v>43035</v>
      </c>
      <c r="G124" s="466">
        <v>0</v>
      </c>
      <c r="H124" s="466">
        <v>0</v>
      </c>
      <c r="I124" s="466">
        <v>0</v>
      </c>
      <c r="J124" s="466">
        <v>0</v>
      </c>
      <c r="K124" s="1691">
        <f>SUM(C124:J124)</f>
        <v>139352</v>
      </c>
      <c r="L124" s="466">
        <v>139353</v>
      </c>
    </row>
    <row r="125" spans="1:14" ht="14.25" thickTop="1" thickBot="1" x14ac:dyDescent="0.25">
      <c r="A125" s="1525" t="s">
        <v>1010</v>
      </c>
      <c r="B125" s="615">
        <v>2550</v>
      </c>
      <c r="C125" s="466">
        <v>0</v>
      </c>
      <c r="D125" s="466">
        <v>0</v>
      </c>
      <c r="E125" s="466">
        <v>0</v>
      </c>
      <c r="F125" s="466">
        <v>0</v>
      </c>
      <c r="G125" s="466">
        <v>0</v>
      </c>
      <c r="H125" s="466">
        <v>0</v>
      </c>
      <c r="I125" s="466">
        <v>0</v>
      </c>
      <c r="J125" s="466">
        <v>0</v>
      </c>
      <c r="K125" s="1691">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91">
        <f>SUM(C126:J126)</f>
        <v>0</v>
      </c>
      <c r="L126" s="466">
        <v>0</v>
      </c>
    </row>
    <row r="127" spans="1:14" ht="12.75" customHeight="1" thickTop="1" thickBot="1" x14ac:dyDescent="0.25">
      <c r="A127" s="1689" t="s">
        <v>743</v>
      </c>
      <c r="B127" s="1690" t="s">
        <v>35</v>
      </c>
      <c r="C127" s="1691">
        <f>SUM(C122:C126)</f>
        <v>84207</v>
      </c>
      <c r="D127" s="1691">
        <f t="shared" ref="D127:L127" si="14">SUM(D122:D126)</f>
        <v>0</v>
      </c>
      <c r="E127" s="1691">
        <f t="shared" si="14"/>
        <v>12110</v>
      </c>
      <c r="F127" s="1691">
        <f t="shared" si="14"/>
        <v>43035</v>
      </c>
      <c r="G127" s="1691">
        <f t="shared" si="14"/>
        <v>0</v>
      </c>
      <c r="H127" s="1691">
        <f t="shared" si="14"/>
        <v>0</v>
      </c>
      <c r="I127" s="1691">
        <f t="shared" si="14"/>
        <v>0</v>
      </c>
      <c r="J127" s="1691">
        <f t="shared" si="14"/>
        <v>0</v>
      </c>
      <c r="K127" s="1691">
        <f t="shared" si="14"/>
        <v>139352</v>
      </c>
      <c r="L127" s="1691">
        <f t="shared" si="14"/>
        <v>139353</v>
      </c>
    </row>
    <row r="128" spans="1:14" ht="12.75" customHeight="1" thickTop="1" thickBot="1" x14ac:dyDescent="0.25">
      <c r="A128" s="1532" t="s">
        <v>1037</v>
      </c>
      <c r="B128" s="655" t="s">
        <v>595</v>
      </c>
      <c r="C128" s="573">
        <v>0</v>
      </c>
      <c r="D128" s="573">
        <v>0</v>
      </c>
      <c r="E128" s="573">
        <v>0</v>
      </c>
      <c r="F128" s="573">
        <v>0</v>
      </c>
      <c r="G128" s="573">
        <v>0</v>
      </c>
      <c r="H128" s="573">
        <v>0</v>
      </c>
      <c r="I128" s="573">
        <v>0</v>
      </c>
      <c r="J128" s="573">
        <v>0</v>
      </c>
      <c r="K128" s="1706">
        <f>SUM(C128:J128)</f>
        <v>0</v>
      </c>
      <c r="L128" s="656">
        <v>0</v>
      </c>
    </row>
    <row r="129" spans="1:14" ht="12.75" customHeight="1" thickTop="1" thickBot="1" x14ac:dyDescent="0.25">
      <c r="A129" s="1707" t="s">
        <v>865</v>
      </c>
      <c r="B129" s="1708" t="s">
        <v>590</v>
      </c>
      <c r="C129" s="1698">
        <f>SUM(C120,C127,C128)</f>
        <v>84207</v>
      </c>
      <c r="D129" s="1698">
        <f t="shared" ref="D129:L129" si="15">SUM(D120,D127,D128)</f>
        <v>0</v>
      </c>
      <c r="E129" s="1698">
        <f t="shared" si="15"/>
        <v>12110</v>
      </c>
      <c r="F129" s="1698">
        <f t="shared" si="15"/>
        <v>43035</v>
      </c>
      <c r="G129" s="1698">
        <f t="shared" si="15"/>
        <v>0</v>
      </c>
      <c r="H129" s="1698">
        <f t="shared" si="15"/>
        <v>0</v>
      </c>
      <c r="I129" s="1698">
        <f t="shared" si="15"/>
        <v>0</v>
      </c>
      <c r="J129" s="1698">
        <f t="shared" si="15"/>
        <v>0</v>
      </c>
      <c r="K129" s="1698">
        <f t="shared" si="15"/>
        <v>139352</v>
      </c>
      <c r="L129" s="1698">
        <f t="shared" si="15"/>
        <v>139353</v>
      </c>
    </row>
    <row r="130" spans="1:14" ht="15.75" customHeight="1" thickTop="1" thickBot="1" x14ac:dyDescent="0.25">
      <c r="A130" s="1631" t="s">
        <v>1096</v>
      </c>
      <c r="B130" s="1632" t="s">
        <v>596</v>
      </c>
      <c r="C130" s="573">
        <v>0</v>
      </c>
      <c r="D130" s="573">
        <v>0</v>
      </c>
      <c r="E130" s="573">
        <v>0</v>
      </c>
      <c r="F130" s="573">
        <v>0</v>
      </c>
      <c r="G130" s="573">
        <v>0</v>
      </c>
      <c r="H130" s="573">
        <v>0</v>
      </c>
      <c r="I130" s="573">
        <v>0</v>
      </c>
      <c r="J130" s="573">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1" t="s">
        <v>1231</v>
      </c>
      <c r="F133" s="468"/>
      <c r="G133" s="468"/>
      <c r="H133" s="641" t="s">
        <v>1231</v>
      </c>
      <c r="I133" s="468"/>
      <c r="J133" s="468"/>
      <c r="K133" s="1843">
        <f>SUM(E133,H133)</f>
        <v>0</v>
      </c>
      <c r="L133" s="641">
        <v>0</v>
      </c>
      <c r="M133" s="206"/>
      <c r="N133" s="206"/>
    </row>
    <row r="134" spans="1:14" x14ac:dyDescent="0.2">
      <c r="A134" s="1525" t="s">
        <v>322</v>
      </c>
      <c r="B134" s="615">
        <v>4120</v>
      </c>
      <c r="C134" s="617"/>
      <c r="D134" s="617"/>
      <c r="E134" s="641">
        <v>0</v>
      </c>
      <c r="F134" s="617"/>
      <c r="G134" s="617"/>
      <c r="H134" s="641">
        <v>0</v>
      </c>
      <c r="I134" s="477"/>
      <c r="J134" s="617"/>
      <c r="K134" s="1693">
        <f>SUM(E134,H134)</f>
        <v>0</v>
      </c>
      <c r="L134" s="481">
        <v>0</v>
      </c>
    </row>
    <row r="135" spans="1:14" x14ac:dyDescent="0.2">
      <c r="A135" s="1525" t="s">
        <v>721</v>
      </c>
      <c r="B135" s="615">
        <v>4140</v>
      </c>
      <c r="C135" s="617"/>
      <c r="D135" s="617"/>
      <c r="E135" s="641">
        <v>0</v>
      </c>
      <c r="F135" s="617"/>
      <c r="G135" s="617"/>
      <c r="H135" s="641">
        <v>0</v>
      </c>
      <c r="I135" s="477"/>
      <c r="J135" s="617"/>
      <c r="K135" s="1693">
        <f>SUM(E135,H135)</f>
        <v>0</v>
      </c>
      <c r="L135" s="466">
        <v>0</v>
      </c>
    </row>
    <row r="136" spans="1:14" x14ac:dyDescent="0.2">
      <c r="A136" s="1529" t="s">
        <v>722</v>
      </c>
      <c r="B136" s="629">
        <v>4190</v>
      </c>
      <c r="C136" s="617"/>
      <c r="D136" s="617"/>
      <c r="E136" s="641">
        <v>0</v>
      </c>
      <c r="F136" s="617"/>
      <c r="G136" s="617"/>
      <c r="H136" s="641">
        <v>0</v>
      </c>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3" t="s">
        <v>988</v>
      </c>
      <c r="C138" s="617"/>
      <c r="D138" s="617"/>
      <c r="E138" s="576" t="s">
        <v>1231</v>
      </c>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59"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0" t="s">
        <v>1165</v>
      </c>
      <c r="B148" s="661"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2"/>
      <c r="I150" s="521"/>
      <c r="J150" s="617"/>
      <c r="K150" s="624"/>
      <c r="L150" s="573">
        <v>0</v>
      </c>
    </row>
    <row r="151" spans="1:14" ht="12.75" customHeight="1" thickTop="1" thickBot="1" x14ac:dyDescent="0.25">
      <c r="A151" s="2197" t="s">
        <v>641</v>
      </c>
      <c r="B151" s="2177"/>
      <c r="C151" s="1691">
        <f>SUM(C129,C130,C139,C149,C150)</f>
        <v>84207</v>
      </c>
      <c r="D151" s="1691">
        <f t="shared" ref="D151:K151" si="16">SUM(D129,D130,D139,D149,D150)</f>
        <v>0</v>
      </c>
      <c r="E151" s="1691">
        <f t="shared" si="16"/>
        <v>12110</v>
      </c>
      <c r="F151" s="1691">
        <f t="shared" si="16"/>
        <v>43035</v>
      </c>
      <c r="G151" s="1691">
        <f t="shared" si="16"/>
        <v>0</v>
      </c>
      <c r="H151" s="1691">
        <f t="shared" si="16"/>
        <v>0</v>
      </c>
      <c r="I151" s="1691">
        <f t="shared" si="16"/>
        <v>0</v>
      </c>
      <c r="J151" s="1691">
        <f t="shared" si="16"/>
        <v>0</v>
      </c>
      <c r="K151" s="1691">
        <f t="shared" si="16"/>
        <v>139352</v>
      </c>
      <c r="L151" s="1691">
        <f>SUM(L129,L130,L139,L149,L150)</f>
        <v>139353</v>
      </c>
    </row>
    <row r="152" spans="1:14" ht="12.75" customHeight="1" thickTop="1" x14ac:dyDescent="0.2">
      <c r="A152" s="2200" t="s">
        <v>1240</v>
      </c>
      <c r="B152" s="2201"/>
      <c r="C152" s="619"/>
      <c r="D152" s="619"/>
      <c r="E152" s="619"/>
      <c r="F152" s="619"/>
      <c r="G152" s="619"/>
      <c r="H152" s="619"/>
      <c r="I152" s="619"/>
      <c r="J152" s="617"/>
      <c r="K152" s="1705">
        <f>'Revenues 9-14'!D275-'Expenditures 15-22'!K151</f>
        <v>95084</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5" t="s">
        <v>642</v>
      </c>
      <c r="B154" s="2187"/>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1">
        <v>0</v>
      </c>
      <c r="I157" s="617"/>
      <c r="J157" s="617"/>
      <c r="K157" s="1692">
        <f>H157</f>
        <v>0</v>
      </c>
      <c r="L157" s="467">
        <v>0</v>
      </c>
      <c r="M157" s="620"/>
      <c r="N157" s="620"/>
    </row>
    <row r="158" spans="1:14" s="621" customFormat="1" ht="12" x14ac:dyDescent="0.2">
      <c r="A158" s="1848" t="s">
        <v>322</v>
      </c>
      <c r="B158" s="1849" t="s">
        <v>1959</v>
      </c>
      <c r="C158" s="617"/>
      <c r="D158" s="617"/>
      <c r="E158" s="617"/>
      <c r="F158" s="617"/>
      <c r="G158" s="617"/>
      <c r="H158" s="467" t="s">
        <v>1231</v>
      </c>
      <c r="I158" s="617"/>
      <c r="J158" s="617"/>
      <c r="K158" s="1692" t="str">
        <f>H158</f>
        <v xml:space="preserve"> </v>
      </c>
      <c r="L158" s="467">
        <v>0</v>
      </c>
      <c r="M158" s="620"/>
      <c r="N158" s="620"/>
    </row>
    <row r="159" spans="1:14" s="621" customFormat="1" ht="12" x14ac:dyDescent="0.2">
      <c r="A159" s="1848" t="s">
        <v>1960</v>
      </c>
      <c r="B159" s="1849" t="s">
        <v>579</v>
      </c>
      <c r="C159" s="617"/>
      <c r="D159" s="617"/>
      <c r="E159" s="617"/>
      <c r="F159" s="617"/>
      <c r="G159" s="617"/>
      <c r="H159" s="467" t="s">
        <v>1231</v>
      </c>
      <c r="I159" s="617"/>
      <c r="J159" s="617"/>
      <c r="K159" s="1692" t="str">
        <f>H159</f>
        <v xml:space="preserve"> </v>
      </c>
      <c r="L159" s="467">
        <v>0</v>
      </c>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69" t="s">
        <v>85</v>
      </c>
      <c r="B169" s="670" t="s">
        <v>38</v>
      </c>
      <c r="C169" s="617"/>
      <c r="D169" s="617"/>
      <c r="E169" s="617"/>
      <c r="F169" s="617"/>
      <c r="G169" s="617"/>
      <c r="H169" s="656">
        <v>30933</v>
      </c>
      <c r="I169" s="617"/>
      <c r="J169" s="617"/>
      <c r="K169" s="1692">
        <f>SUM(C169:H169)</f>
        <v>30933</v>
      </c>
      <c r="L169" s="656">
        <v>29899</v>
      </c>
    </row>
    <row r="170" spans="1:14" ht="33.75" customHeight="1" x14ac:dyDescent="0.2">
      <c r="A170" s="669" t="s">
        <v>1769</v>
      </c>
      <c r="B170" s="671" t="s">
        <v>31</v>
      </c>
      <c r="C170" s="617"/>
      <c r="D170" s="617"/>
      <c r="E170" s="617"/>
      <c r="F170" s="617"/>
      <c r="G170" s="617"/>
      <c r="H170" s="569">
        <v>73720</v>
      </c>
      <c r="I170" s="617"/>
      <c r="J170" s="617"/>
      <c r="K170" s="1692">
        <f>SUM(C170:J170)</f>
        <v>73720</v>
      </c>
      <c r="L170" s="569">
        <v>70000</v>
      </c>
    </row>
    <row r="171" spans="1:14" ht="15.75" customHeight="1" x14ac:dyDescent="0.2">
      <c r="A171" s="622" t="s">
        <v>790</v>
      </c>
      <c r="B171" s="672" t="s">
        <v>86</v>
      </c>
      <c r="C171" s="617"/>
      <c r="D171" s="617"/>
      <c r="E171" s="466">
        <v>0</v>
      </c>
      <c r="F171" s="617"/>
      <c r="G171" s="617"/>
      <c r="H171" s="569">
        <v>0</v>
      </c>
      <c r="I171" s="477"/>
      <c r="J171" s="617"/>
      <c r="K171" s="1692">
        <f>SUM(C171:J171)</f>
        <v>0</v>
      </c>
      <c r="L171" s="569">
        <v>0</v>
      </c>
    </row>
    <row r="172" spans="1:14" ht="12.75" customHeight="1" thickBot="1" x14ac:dyDescent="0.25">
      <c r="A172" s="1689" t="s">
        <v>659</v>
      </c>
      <c r="B172" s="1690" t="s">
        <v>513</v>
      </c>
      <c r="C172" s="617"/>
      <c r="D172" s="617"/>
      <c r="E172" s="1698">
        <f>SUM(E168,E169,E170,E171)</f>
        <v>0</v>
      </c>
      <c r="F172" s="617"/>
      <c r="G172" s="617"/>
      <c r="H172" s="1698">
        <f>SUM(H168,H169,H170,H171)</f>
        <v>104653</v>
      </c>
      <c r="I172" s="638"/>
      <c r="J172" s="617"/>
      <c r="K172" s="1698">
        <f>SUM(K168,K169,K170,K171)</f>
        <v>104653</v>
      </c>
      <c r="L172" s="1698">
        <f>SUM(L168,L169,L170,L171)</f>
        <v>99899</v>
      </c>
    </row>
    <row r="173" spans="1:14" ht="15.75" customHeight="1" thickTop="1" thickBot="1" x14ac:dyDescent="0.25">
      <c r="A173" s="1640" t="s">
        <v>87</v>
      </c>
      <c r="B173" s="1632" t="s">
        <v>916</v>
      </c>
      <c r="C173" s="617"/>
      <c r="D173" s="617"/>
      <c r="E173" s="624"/>
      <c r="F173" s="617"/>
      <c r="G173" s="617"/>
      <c r="H173" s="627"/>
      <c r="I173" s="638"/>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104653</v>
      </c>
      <c r="I174" s="638"/>
      <c r="J174" s="617"/>
      <c r="K174" s="1698">
        <f>SUM(K160,K172,K173)</f>
        <v>104653</v>
      </c>
      <c r="L174" s="1698">
        <f>SUM(L160,L172,L173)</f>
        <v>99899</v>
      </c>
    </row>
    <row r="175" spans="1:14" ht="13.5" thickTop="1" x14ac:dyDescent="0.2">
      <c r="A175" s="2180" t="s">
        <v>1053</v>
      </c>
      <c r="B175" s="2181"/>
      <c r="C175" s="617"/>
      <c r="D175" s="617"/>
      <c r="E175" s="617"/>
      <c r="F175" s="617"/>
      <c r="G175" s="617"/>
      <c r="H175" s="619"/>
      <c r="I175" s="617"/>
      <c r="J175" s="617"/>
      <c r="K175" s="1705">
        <f>'Revenues 9-14'!E275-'Expenditures 15-22'!K174</f>
        <v>32775</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995</v>
      </c>
      <c r="B178" s="1642"/>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2">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5" t="s">
        <v>1010</v>
      </c>
      <c r="B182" s="615">
        <v>2550</v>
      </c>
      <c r="C182" s="466">
        <v>173144</v>
      </c>
      <c r="D182" s="466">
        <v>823</v>
      </c>
      <c r="E182" s="466">
        <v>21848</v>
      </c>
      <c r="F182" s="466">
        <v>40212</v>
      </c>
      <c r="G182" s="466">
        <v>0</v>
      </c>
      <c r="H182" s="466">
        <v>0</v>
      </c>
      <c r="I182" s="466">
        <v>0</v>
      </c>
      <c r="J182" s="466">
        <v>0</v>
      </c>
      <c r="K182" s="1692">
        <f>SUM(C182:J182)</f>
        <v>236027</v>
      </c>
      <c r="L182" s="466">
        <v>236029</v>
      </c>
    </row>
    <row r="183" spans="1:14" ht="12.75" customHeight="1" thickBot="1" x14ac:dyDescent="0.25">
      <c r="A183" s="1530" t="s">
        <v>1037</v>
      </c>
      <c r="B183" s="677">
        <v>2900</v>
      </c>
      <c r="C183" s="573">
        <v>0</v>
      </c>
      <c r="D183" s="573">
        <v>0</v>
      </c>
      <c r="E183" s="573">
        <v>0</v>
      </c>
      <c r="F183" s="573">
        <v>0</v>
      </c>
      <c r="G183" s="573">
        <v>0</v>
      </c>
      <c r="H183" s="573">
        <v>0</v>
      </c>
      <c r="I183" s="573">
        <v>0</v>
      </c>
      <c r="J183" s="573">
        <v>0</v>
      </c>
      <c r="K183" s="1698">
        <f>SUM(C183:J183)</f>
        <v>0</v>
      </c>
      <c r="L183" s="573">
        <v>0</v>
      </c>
    </row>
    <row r="184" spans="1:14" ht="12.75" customHeight="1" thickTop="1" thickBot="1" x14ac:dyDescent="0.25">
      <c r="A184" s="1712" t="s">
        <v>865</v>
      </c>
      <c r="B184" s="1690" t="s">
        <v>590</v>
      </c>
      <c r="C184" s="1698">
        <f>SUM(C180,C182,C183)</f>
        <v>173144</v>
      </c>
      <c r="D184" s="1698">
        <f t="shared" ref="D184:J184" si="17">SUM(D180,D182,D183)</f>
        <v>823</v>
      </c>
      <c r="E184" s="1698">
        <f t="shared" si="17"/>
        <v>21848</v>
      </c>
      <c r="F184" s="1698">
        <f t="shared" si="17"/>
        <v>40212</v>
      </c>
      <c r="G184" s="1698">
        <f t="shared" si="17"/>
        <v>0</v>
      </c>
      <c r="H184" s="1698">
        <f t="shared" si="17"/>
        <v>0</v>
      </c>
      <c r="I184" s="1698">
        <f t="shared" si="17"/>
        <v>0</v>
      </c>
      <c r="J184" s="1698">
        <f t="shared" si="17"/>
        <v>0</v>
      </c>
      <c r="K184" s="1698">
        <f>SUM(K180,K182,K183)</f>
        <v>236027</v>
      </c>
      <c r="L184" s="1698">
        <f>SUM(L180, L182:L183)</f>
        <v>236029</v>
      </c>
    </row>
    <row r="185" spans="1:14" ht="15.75" customHeight="1" thickTop="1" thickBot="1" x14ac:dyDescent="0.25">
      <c r="A185" s="1643" t="s">
        <v>996</v>
      </c>
      <c r="B185" s="1632">
        <v>3000</v>
      </c>
      <c r="C185" s="573">
        <v>0</v>
      </c>
      <c r="D185" s="573">
        <v>0</v>
      </c>
      <c r="E185" s="573">
        <v>0</v>
      </c>
      <c r="F185" s="573">
        <v>0</v>
      </c>
      <c r="G185" s="573">
        <v>0</v>
      </c>
      <c r="H185" s="573">
        <v>0</v>
      </c>
      <c r="I185" s="573">
        <v>0</v>
      </c>
      <c r="J185" s="573">
        <v>0</v>
      </c>
      <c r="K185" s="1691">
        <f>SUM(C185:J185)</f>
        <v>0</v>
      </c>
      <c r="L185" s="576">
        <v>0</v>
      </c>
    </row>
    <row r="186" spans="1:14" s="674" customFormat="1" ht="15.75" customHeight="1" thickTop="1" x14ac:dyDescent="0.2">
      <c r="A186" s="1627" t="s">
        <v>93</v>
      </c>
      <c r="B186" s="1630"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5" t="s">
        <v>517</v>
      </c>
      <c r="B188" s="615">
        <v>4110</v>
      </c>
      <c r="C188" s="617"/>
      <c r="D188" s="617"/>
      <c r="E188" s="466">
        <v>0</v>
      </c>
      <c r="F188" s="617"/>
      <c r="G188" s="617"/>
      <c r="H188" s="466">
        <v>0</v>
      </c>
      <c r="I188" s="477"/>
      <c r="J188" s="617"/>
      <c r="K188" s="1692">
        <f t="shared" ref="K188:K193" si="18">SUM(E188,H188)</f>
        <v>0</v>
      </c>
      <c r="L188" s="466">
        <v>0</v>
      </c>
    </row>
    <row r="189" spans="1:14" x14ac:dyDescent="0.2">
      <c r="A189" s="1525" t="s">
        <v>322</v>
      </c>
      <c r="B189" s="615">
        <v>4120</v>
      </c>
      <c r="C189" s="617"/>
      <c r="D189" s="617"/>
      <c r="E189" s="466">
        <v>0</v>
      </c>
      <c r="F189" s="617"/>
      <c r="G189" s="617"/>
      <c r="H189" s="466">
        <v>0</v>
      </c>
      <c r="I189" s="477"/>
      <c r="J189" s="617"/>
      <c r="K189" s="1692">
        <f t="shared" si="18"/>
        <v>0</v>
      </c>
      <c r="L189" s="466">
        <v>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69" t="s">
        <v>94</v>
      </c>
      <c r="B195" s="678" t="s">
        <v>988</v>
      </c>
      <c r="C195" s="617"/>
      <c r="D195" s="617"/>
      <c r="E195" s="656">
        <v>0</v>
      </c>
      <c r="F195" s="617"/>
      <c r="G195" s="617"/>
      <c r="H195" s="656">
        <v>0</v>
      </c>
      <c r="I195" s="477"/>
      <c r="J195" s="617"/>
      <c r="K195" s="1706">
        <f>SUM(E195,H195)</f>
        <v>0</v>
      </c>
      <c r="L195" s="656">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4" customFormat="1" ht="15.75" customHeight="1" thickTop="1" x14ac:dyDescent="0.2">
      <c r="A197" s="1633" t="s">
        <v>997</v>
      </c>
      <c r="B197" s="1630"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79" t="s">
        <v>85</v>
      </c>
      <c r="B205" s="680" t="s">
        <v>38</v>
      </c>
      <c r="C205" s="617"/>
      <c r="D205" s="617"/>
      <c r="E205" s="617"/>
      <c r="F205" s="617"/>
      <c r="G205" s="617"/>
      <c r="H205" s="535">
        <v>0</v>
      </c>
      <c r="I205" s="617"/>
      <c r="J205" s="617"/>
      <c r="K205" s="1706">
        <f>SUM(H205)</f>
        <v>0</v>
      </c>
      <c r="L205" s="535">
        <v>0</v>
      </c>
    </row>
    <row r="206" spans="1:14" ht="30" customHeight="1" x14ac:dyDescent="0.2">
      <c r="A206" s="681" t="s">
        <v>1770</v>
      </c>
      <c r="B206" s="672" t="s">
        <v>31</v>
      </c>
      <c r="C206" s="617"/>
      <c r="D206" s="617"/>
      <c r="E206" s="617"/>
      <c r="F206" s="617"/>
      <c r="G206" s="617"/>
      <c r="H206" s="466">
        <v>0</v>
      </c>
      <c r="I206" s="617"/>
      <c r="J206" s="617"/>
      <c r="K206" s="1692">
        <f>SUM(H206)</f>
        <v>0</v>
      </c>
      <c r="L206" s="466">
        <v>0</v>
      </c>
    </row>
    <row r="207" spans="1:14" ht="15.75" customHeight="1" x14ac:dyDescent="0.2">
      <c r="A207" s="622" t="s">
        <v>790</v>
      </c>
      <c r="B207" s="672"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173144</v>
      </c>
      <c r="D210" s="1691">
        <f>SUM(D184,D185)</f>
        <v>823</v>
      </c>
      <c r="E210" s="1691">
        <f>SUM(E184,E185,E196)</f>
        <v>21848</v>
      </c>
      <c r="F210" s="1691">
        <f>SUM(F184,F185)</f>
        <v>40212</v>
      </c>
      <c r="G210" s="1691">
        <f>SUM(G184,G185)</f>
        <v>0</v>
      </c>
      <c r="H210" s="1691">
        <f>SUM(H184,H185,H196,H208,H209)</f>
        <v>0</v>
      </c>
      <c r="I210" s="1691">
        <f>SUM(I184,I185)</f>
        <v>0</v>
      </c>
      <c r="J210" s="1691">
        <f>SUM(J184,J185)</f>
        <v>0</v>
      </c>
      <c r="K210" s="1692">
        <f>SUM(K184,K185,K196,K208,K209)</f>
        <v>236027</v>
      </c>
      <c r="L210" s="1691">
        <f>SUM(L184,L185,L196,L208,L209)</f>
        <v>236029</v>
      </c>
    </row>
    <row r="211" spans="1:14" ht="13.5" thickTop="1" x14ac:dyDescent="0.2">
      <c r="A211" s="2180" t="s">
        <v>1053</v>
      </c>
      <c r="B211" s="2181"/>
      <c r="C211" s="619"/>
      <c r="D211" s="619"/>
      <c r="E211" s="619"/>
      <c r="F211" s="619"/>
      <c r="G211" s="619"/>
      <c r="H211" s="619"/>
      <c r="I211" s="617"/>
      <c r="J211" s="617"/>
      <c r="K211" s="1705">
        <f>'Revenues 9-14'!F275-'Expenditures 15-22'!K210</f>
        <v>79200</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2" t="s">
        <v>1022</v>
      </c>
      <c r="B213" s="2203"/>
      <c r="C213" s="1572"/>
      <c r="D213" s="1573"/>
      <c r="E213" s="1573"/>
      <c r="F213" s="1573"/>
      <c r="G213" s="1573"/>
      <c r="H213" s="1573"/>
      <c r="I213" s="1573"/>
      <c r="J213" s="1573"/>
      <c r="K213" s="1573"/>
      <c r="L213" s="1574"/>
      <c r="M213" s="610"/>
      <c r="N213" s="610"/>
    </row>
    <row r="214" spans="1:14" s="674" customFormat="1" ht="15.75" customHeight="1" x14ac:dyDescent="0.2">
      <c r="A214" s="1644" t="s">
        <v>928</v>
      </c>
      <c r="B214" s="1636" t="s">
        <v>591</v>
      </c>
      <c r="C214" s="617"/>
      <c r="D214" s="624"/>
      <c r="E214" s="617"/>
      <c r="F214" s="617"/>
      <c r="G214" s="617"/>
      <c r="H214" s="617"/>
      <c r="I214" s="617"/>
      <c r="J214" s="617"/>
      <c r="K214" s="624"/>
      <c r="L214" s="624"/>
      <c r="M214" s="665"/>
      <c r="N214" s="665"/>
    </row>
    <row r="215" spans="1:14" x14ac:dyDescent="0.2">
      <c r="A215" s="1525" t="s">
        <v>1018</v>
      </c>
      <c r="B215" s="615">
        <v>1100</v>
      </c>
      <c r="C215" s="617"/>
      <c r="D215" s="466">
        <v>30506</v>
      </c>
      <c r="E215" s="617"/>
      <c r="F215" s="617"/>
      <c r="G215" s="617"/>
      <c r="H215" s="617"/>
      <c r="I215" s="617"/>
      <c r="J215" s="617"/>
      <c r="K215" s="1692">
        <f>D215</f>
        <v>30506</v>
      </c>
      <c r="L215" s="466">
        <v>30508</v>
      </c>
    </row>
    <row r="216" spans="1:14" x14ac:dyDescent="0.2">
      <c r="A216" s="1525" t="s">
        <v>165</v>
      </c>
      <c r="B216" s="615" t="s">
        <v>1024</v>
      </c>
      <c r="C216" s="617"/>
      <c r="D216" s="467">
        <v>2496</v>
      </c>
      <c r="E216" s="617"/>
      <c r="F216" s="617"/>
      <c r="G216" s="617"/>
      <c r="H216" s="617"/>
      <c r="I216" s="617"/>
      <c r="J216" s="617"/>
      <c r="K216" s="1692">
        <f t="shared" ref="K216:K228" si="19">D216</f>
        <v>2496</v>
      </c>
      <c r="L216" s="466">
        <v>2496</v>
      </c>
    </row>
    <row r="217" spans="1:14" x14ac:dyDescent="0.2">
      <c r="A217" s="1525" t="s">
        <v>166</v>
      </c>
      <c r="B217" s="615">
        <v>1200</v>
      </c>
      <c r="C217" s="617"/>
      <c r="D217" s="466">
        <v>5126</v>
      </c>
      <c r="E217" s="617"/>
      <c r="F217" s="617"/>
      <c r="G217" s="617"/>
      <c r="H217" s="617"/>
      <c r="I217" s="617"/>
      <c r="J217" s="617"/>
      <c r="K217" s="1692">
        <f t="shared" si="19"/>
        <v>5126</v>
      </c>
      <c r="L217" s="466">
        <v>5126</v>
      </c>
    </row>
    <row r="218" spans="1:14" x14ac:dyDescent="0.2">
      <c r="A218" s="1525" t="s">
        <v>296</v>
      </c>
      <c r="B218" s="615" t="s">
        <v>1025</v>
      </c>
      <c r="C218" s="617"/>
      <c r="D218" s="467">
        <v>0</v>
      </c>
      <c r="E218" s="617"/>
      <c r="F218" s="617"/>
      <c r="G218" s="617"/>
      <c r="H218" s="617"/>
      <c r="I218" s="617"/>
      <c r="J218" s="617"/>
      <c r="K218" s="1692">
        <f t="shared" si="19"/>
        <v>0</v>
      </c>
      <c r="L218" s="466">
        <v>0</v>
      </c>
    </row>
    <row r="219" spans="1:14" x14ac:dyDescent="0.2">
      <c r="A219" s="1525" t="s">
        <v>297</v>
      </c>
      <c r="B219" s="615">
        <v>1250</v>
      </c>
      <c r="C219" s="617"/>
      <c r="D219" s="466">
        <v>16532</v>
      </c>
      <c r="E219" s="617"/>
      <c r="F219" s="617"/>
      <c r="G219" s="617"/>
      <c r="H219" s="617"/>
      <c r="I219" s="617"/>
      <c r="J219" s="617"/>
      <c r="K219" s="1692">
        <f t="shared" si="19"/>
        <v>16532</v>
      </c>
      <c r="L219" s="466">
        <v>16531</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0</v>
      </c>
      <c r="E222" s="617"/>
      <c r="F222" s="617"/>
      <c r="G222" s="617"/>
      <c r="H222" s="617"/>
      <c r="I222" s="617"/>
      <c r="J222" s="617"/>
      <c r="K222" s="1692">
        <f t="shared" si="19"/>
        <v>0</v>
      </c>
      <c r="L222" s="466">
        <v>0</v>
      </c>
    </row>
    <row r="223" spans="1:14" x14ac:dyDescent="0.2">
      <c r="A223" s="1525" t="s">
        <v>1020</v>
      </c>
      <c r="B223" s="615">
        <v>1500</v>
      </c>
      <c r="C223" s="617"/>
      <c r="D223" s="466">
        <v>2170</v>
      </c>
      <c r="E223" s="617"/>
      <c r="F223" s="617"/>
      <c r="G223" s="617"/>
      <c r="H223" s="617"/>
      <c r="I223" s="617"/>
      <c r="J223" s="617"/>
      <c r="K223" s="1692">
        <f t="shared" si="19"/>
        <v>2170</v>
      </c>
      <c r="L223" s="466">
        <v>2170</v>
      </c>
    </row>
    <row r="224" spans="1:14" x14ac:dyDescent="0.2">
      <c r="A224" s="1525" t="s">
        <v>1021</v>
      </c>
      <c r="B224" s="615">
        <v>1600</v>
      </c>
      <c r="C224" s="617"/>
      <c r="D224" s="466">
        <v>0</v>
      </c>
      <c r="E224" s="617"/>
      <c r="F224" s="617"/>
      <c r="G224" s="617"/>
      <c r="H224" s="617"/>
      <c r="I224" s="617"/>
      <c r="J224" s="617"/>
      <c r="K224" s="1692">
        <f t="shared" si="19"/>
        <v>0</v>
      </c>
      <c r="L224" s="466">
        <v>0</v>
      </c>
    </row>
    <row r="225" spans="1:12" x14ac:dyDescent="0.2">
      <c r="A225" s="1525" t="s">
        <v>1044</v>
      </c>
      <c r="B225" s="615">
        <v>1650</v>
      </c>
      <c r="C225" s="617"/>
      <c r="D225" s="466">
        <v>0</v>
      </c>
      <c r="E225" s="617"/>
      <c r="F225" s="617"/>
      <c r="G225" s="617"/>
      <c r="H225" s="617"/>
      <c r="I225" s="617"/>
      <c r="J225" s="617"/>
      <c r="K225" s="1692">
        <f t="shared" si="19"/>
        <v>0</v>
      </c>
      <c r="L225" s="466">
        <v>0</v>
      </c>
    </row>
    <row r="226" spans="1:12" x14ac:dyDescent="0.2">
      <c r="A226" s="1525" t="s">
        <v>748</v>
      </c>
      <c r="B226" s="615" t="s">
        <v>164</v>
      </c>
      <c r="C226" s="617"/>
      <c r="D226" s="467">
        <v>212</v>
      </c>
      <c r="E226" s="617"/>
      <c r="F226" s="617"/>
      <c r="G226" s="617"/>
      <c r="H226" s="617"/>
      <c r="I226" s="617"/>
      <c r="J226" s="617"/>
      <c r="K226" s="1692">
        <f t="shared" si="19"/>
        <v>212</v>
      </c>
      <c r="L226" s="466">
        <v>211</v>
      </c>
    </row>
    <row r="227" spans="1:12" x14ac:dyDescent="0.2">
      <c r="A227" s="1525" t="s">
        <v>1148</v>
      </c>
      <c r="B227" s="615">
        <v>1800</v>
      </c>
      <c r="C227" s="617"/>
      <c r="D227" s="466">
        <v>0</v>
      </c>
      <c r="E227" s="617"/>
      <c r="F227" s="617"/>
      <c r="G227" s="617"/>
      <c r="H227" s="617"/>
      <c r="I227" s="617"/>
      <c r="J227" s="617"/>
      <c r="K227" s="1692">
        <f t="shared" si="19"/>
        <v>0</v>
      </c>
      <c r="L227" s="466">
        <v>0</v>
      </c>
    </row>
    <row r="228" spans="1:12" x14ac:dyDescent="0.2">
      <c r="A228" s="1525" t="s">
        <v>1149</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57042</v>
      </c>
      <c r="E229" s="617"/>
      <c r="F229" s="617"/>
      <c r="G229" s="617"/>
      <c r="H229" s="617"/>
      <c r="I229" s="617"/>
      <c r="J229" s="617"/>
      <c r="K229" s="1691">
        <f>SUM(K215:K228)</f>
        <v>57042</v>
      </c>
      <c r="L229" s="1691">
        <f>SUM(L215:L228)</f>
        <v>57042</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5" t="s">
        <v>1150</v>
      </c>
      <c r="B232" s="615">
        <v>2110</v>
      </c>
      <c r="C232" s="617"/>
      <c r="D232" s="466">
        <v>7354</v>
      </c>
      <c r="E232" s="617"/>
      <c r="F232" s="617"/>
      <c r="G232" s="617"/>
      <c r="H232" s="617"/>
      <c r="I232" s="617"/>
      <c r="J232" s="617"/>
      <c r="K232" s="1692">
        <f t="shared" ref="K232:K237" si="20">D232</f>
        <v>7354</v>
      </c>
      <c r="L232" s="466">
        <v>7354</v>
      </c>
    </row>
    <row r="233" spans="1:12" x14ac:dyDescent="0.2">
      <c r="A233" s="1525" t="s">
        <v>1151</v>
      </c>
      <c r="B233" s="615">
        <v>2120</v>
      </c>
      <c r="C233" s="617"/>
      <c r="D233" s="466">
        <v>1016</v>
      </c>
      <c r="E233" s="617"/>
      <c r="F233" s="617"/>
      <c r="G233" s="617"/>
      <c r="H233" s="617"/>
      <c r="I233" s="617"/>
      <c r="J233" s="617"/>
      <c r="K233" s="1692">
        <f t="shared" si="20"/>
        <v>1016</v>
      </c>
      <c r="L233" s="466">
        <v>1016</v>
      </c>
    </row>
    <row r="234" spans="1:12" x14ac:dyDescent="0.2">
      <c r="A234" s="1525" t="s">
        <v>207</v>
      </c>
      <c r="B234" s="615">
        <v>2130</v>
      </c>
      <c r="C234" s="617"/>
      <c r="D234" s="466">
        <v>4550</v>
      </c>
      <c r="E234" s="617"/>
      <c r="F234" s="617"/>
      <c r="G234" s="617"/>
      <c r="H234" s="617"/>
      <c r="I234" s="617"/>
      <c r="J234" s="617"/>
      <c r="K234" s="1692">
        <f t="shared" si="20"/>
        <v>4550</v>
      </c>
      <c r="L234" s="466">
        <v>4550</v>
      </c>
    </row>
    <row r="235" spans="1:12" x14ac:dyDescent="0.2">
      <c r="A235" s="1525" t="s">
        <v>208</v>
      </c>
      <c r="B235" s="615">
        <v>2140</v>
      </c>
      <c r="C235" s="617"/>
      <c r="D235" s="466">
        <v>0</v>
      </c>
      <c r="E235" s="617"/>
      <c r="F235" s="617"/>
      <c r="G235" s="617"/>
      <c r="H235" s="617"/>
      <c r="I235" s="617"/>
      <c r="J235" s="617"/>
      <c r="K235" s="1692">
        <f t="shared" si="20"/>
        <v>0</v>
      </c>
      <c r="L235" s="466">
        <v>0</v>
      </c>
    </row>
    <row r="236" spans="1:12" x14ac:dyDescent="0.2">
      <c r="A236" s="1525" t="s">
        <v>209</v>
      </c>
      <c r="B236" s="615">
        <v>2150</v>
      </c>
      <c r="C236" s="617"/>
      <c r="D236" s="466">
        <v>0</v>
      </c>
      <c r="E236" s="617"/>
      <c r="F236" s="617"/>
      <c r="G236" s="617"/>
      <c r="H236" s="617"/>
      <c r="I236" s="617"/>
      <c r="J236" s="617"/>
      <c r="K236" s="1692">
        <f t="shared" si="20"/>
        <v>0</v>
      </c>
      <c r="L236" s="466">
        <v>0</v>
      </c>
    </row>
    <row r="237" spans="1:12" x14ac:dyDescent="0.2">
      <c r="A237" s="1525" t="s">
        <v>167</v>
      </c>
      <c r="B237" s="615">
        <v>2190</v>
      </c>
      <c r="C237" s="617"/>
      <c r="D237" s="466">
        <v>0</v>
      </c>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12920</v>
      </c>
      <c r="E238" s="617"/>
      <c r="F238" s="617"/>
      <c r="G238" s="617"/>
      <c r="H238" s="617"/>
      <c r="I238" s="617"/>
      <c r="J238" s="617"/>
      <c r="K238" s="1691">
        <f>SUM(K232:K237)</f>
        <v>12920</v>
      </c>
      <c r="L238" s="1691">
        <f>SUM(L232:L237)</f>
        <v>12920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30</v>
      </c>
      <c r="E240" s="617"/>
      <c r="F240" s="617"/>
      <c r="G240" s="617"/>
      <c r="H240" s="617"/>
      <c r="I240" s="617"/>
      <c r="J240" s="617"/>
      <c r="K240" s="1693">
        <f>D240</f>
        <v>30</v>
      </c>
      <c r="L240" s="481">
        <v>31</v>
      </c>
    </row>
    <row r="241" spans="1:12" x14ac:dyDescent="0.2">
      <c r="A241" s="1525" t="s">
        <v>869</v>
      </c>
      <c r="B241" s="615">
        <v>2220</v>
      </c>
      <c r="C241" s="617"/>
      <c r="D241" s="466">
        <v>3766</v>
      </c>
      <c r="E241" s="617"/>
      <c r="F241" s="617"/>
      <c r="G241" s="617"/>
      <c r="H241" s="617"/>
      <c r="I241" s="617"/>
      <c r="J241" s="617"/>
      <c r="K241" s="1693">
        <f>D241</f>
        <v>3766</v>
      </c>
      <c r="L241" s="466">
        <v>3766</v>
      </c>
    </row>
    <row r="242" spans="1:12" x14ac:dyDescent="0.2">
      <c r="A242" s="1525" t="s">
        <v>870</v>
      </c>
      <c r="B242" s="615">
        <v>2230</v>
      </c>
      <c r="C242" s="617"/>
      <c r="D242" s="466">
        <v>0</v>
      </c>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3796</v>
      </c>
      <c r="E243" s="617"/>
      <c r="F243" s="617"/>
      <c r="G243" s="617"/>
      <c r="H243" s="617"/>
      <c r="I243" s="617"/>
      <c r="J243" s="617"/>
      <c r="K243" s="1691">
        <f>SUM(K240:K242)</f>
        <v>3796</v>
      </c>
      <c r="L243" s="1691">
        <f>SUM(L240:L242)</f>
        <v>3797</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5" t="s">
        <v>871</v>
      </c>
      <c r="B245" s="615">
        <v>2310</v>
      </c>
      <c r="C245" s="617"/>
      <c r="D245" s="481">
        <v>300</v>
      </c>
      <c r="E245" s="617"/>
      <c r="F245" s="617"/>
      <c r="G245" s="617"/>
      <c r="H245" s="617"/>
      <c r="I245" s="617"/>
      <c r="J245" s="617"/>
      <c r="K245" s="1693">
        <f>D245</f>
        <v>300</v>
      </c>
      <c r="L245" s="481">
        <v>301</v>
      </c>
    </row>
    <row r="246" spans="1:12" x14ac:dyDescent="0.2">
      <c r="A246" s="1525" t="s">
        <v>872</v>
      </c>
      <c r="B246" s="615">
        <v>2320</v>
      </c>
      <c r="C246" s="617"/>
      <c r="D246" s="466">
        <v>1194</v>
      </c>
      <c r="E246" s="617"/>
      <c r="F246" s="617"/>
      <c r="G246" s="617"/>
      <c r="H246" s="617"/>
      <c r="I246" s="617"/>
      <c r="J246" s="617"/>
      <c r="K246" s="1693">
        <f t="shared" ref="K246:K256" si="21">D246</f>
        <v>1194</v>
      </c>
      <c r="L246" s="466">
        <v>1195</v>
      </c>
    </row>
    <row r="247" spans="1:12" x14ac:dyDescent="0.2">
      <c r="A247" s="1525" t="s">
        <v>873</v>
      </c>
      <c r="B247" s="615">
        <v>2330</v>
      </c>
      <c r="C247" s="617"/>
      <c r="D247" s="466">
        <v>0</v>
      </c>
      <c r="E247" s="617"/>
      <c r="F247" s="617"/>
      <c r="G247" s="617"/>
      <c r="H247" s="617"/>
      <c r="I247" s="617"/>
      <c r="J247" s="617"/>
      <c r="K247" s="1693">
        <f t="shared" si="21"/>
        <v>0</v>
      </c>
      <c r="L247" s="466">
        <v>0</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1908</v>
      </c>
      <c r="B249" s="683" t="s">
        <v>300</v>
      </c>
      <c r="C249" s="617"/>
      <c r="D249" s="474">
        <v>0</v>
      </c>
      <c r="E249" s="617"/>
      <c r="F249" s="617"/>
      <c r="G249" s="617"/>
      <c r="H249" s="617"/>
      <c r="I249" s="617"/>
      <c r="J249" s="617"/>
      <c r="K249" s="1693">
        <f t="shared" si="21"/>
        <v>0</v>
      </c>
      <c r="L249" s="466">
        <v>0</v>
      </c>
    </row>
    <row r="250" spans="1:12" x14ac:dyDescent="0.2">
      <c r="A250" s="1526" t="s">
        <v>1909</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3" t="s">
        <v>305</v>
      </c>
      <c r="C254" s="617"/>
      <c r="D254" s="474">
        <v>4491</v>
      </c>
      <c r="E254" s="617"/>
      <c r="F254" s="617"/>
      <c r="G254" s="617"/>
      <c r="H254" s="617"/>
      <c r="I254" s="617"/>
      <c r="J254" s="617"/>
      <c r="K254" s="1693">
        <f t="shared" si="21"/>
        <v>4491</v>
      </c>
      <c r="L254" s="466">
        <v>4491</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5985</v>
      </c>
      <c r="E257" s="617"/>
      <c r="F257" s="617"/>
      <c r="G257" s="617"/>
      <c r="H257" s="617"/>
      <c r="I257" s="617"/>
      <c r="J257" s="617"/>
      <c r="K257" s="1691">
        <f>SUM(K245:K256)</f>
        <v>5985</v>
      </c>
      <c r="L257" s="1691">
        <f>SUM(L245:L256)</f>
        <v>5987</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5" t="s">
        <v>1127</v>
      </c>
      <c r="B259" s="685">
        <v>2410</v>
      </c>
      <c r="C259" s="617"/>
      <c r="D259" s="481">
        <v>6632</v>
      </c>
      <c r="E259" s="617"/>
      <c r="F259" s="617"/>
      <c r="G259" s="617"/>
      <c r="H259" s="617"/>
      <c r="I259" s="617"/>
      <c r="J259" s="617"/>
      <c r="K259" s="1693">
        <f>D259</f>
        <v>6632</v>
      </c>
      <c r="L259" s="481">
        <v>6633</v>
      </c>
    </row>
    <row r="260" spans="1:14" s="598" customFormat="1" x14ac:dyDescent="0.2">
      <c r="A260" s="1543" t="s">
        <v>1907</v>
      </c>
      <c r="B260" s="629">
        <v>2490</v>
      </c>
      <c r="C260" s="617"/>
      <c r="D260" s="466">
        <v>0</v>
      </c>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6632</v>
      </c>
      <c r="E261" s="617"/>
      <c r="F261" s="617"/>
      <c r="G261" s="617"/>
      <c r="H261" s="617"/>
      <c r="I261" s="617"/>
      <c r="J261" s="617"/>
      <c r="K261" s="1691">
        <f>SUM(K259:K260)</f>
        <v>6632</v>
      </c>
      <c r="L261" s="1691">
        <f>SUM(L259:L260)</f>
        <v>6633</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5" t="s">
        <v>1128</v>
      </c>
      <c r="B263" s="685">
        <v>2510</v>
      </c>
      <c r="C263" s="617"/>
      <c r="D263" s="466">
        <v>0</v>
      </c>
      <c r="E263" s="617"/>
      <c r="F263" s="617"/>
      <c r="G263" s="617"/>
      <c r="H263" s="617"/>
      <c r="I263" s="617"/>
      <c r="J263" s="617"/>
      <c r="K263" s="1693">
        <f>D263</f>
        <v>0</v>
      </c>
      <c r="L263" s="481">
        <v>0</v>
      </c>
    </row>
    <row r="264" spans="1:14" x14ac:dyDescent="0.2">
      <c r="A264" s="1525" t="s">
        <v>483</v>
      </c>
      <c r="B264" s="685">
        <v>2520</v>
      </c>
      <c r="C264" s="617"/>
      <c r="D264" s="466">
        <v>8247</v>
      </c>
      <c r="E264" s="617"/>
      <c r="F264" s="617"/>
      <c r="G264" s="617"/>
      <c r="H264" s="617"/>
      <c r="I264" s="617"/>
      <c r="J264" s="617"/>
      <c r="K264" s="1693">
        <f t="shared" ref="K264:K269" si="22">D264</f>
        <v>8247</v>
      </c>
      <c r="L264" s="466">
        <v>8247</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22052</v>
      </c>
      <c r="E266" s="617"/>
      <c r="F266" s="617"/>
      <c r="G266" s="617"/>
      <c r="H266" s="617"/>
      <c r="I266" s="617"/>
      <c r="J266" s="617"/>
      <c r="K266" s="1693">
        <f t="shared" si="22"/>
        <v>22052</v>
      </c>
      <c r="L266" s="466">
        <v>22052</v>
      </c>
    </row>
    <row r="267" spans="1:14" x14ac:dyDescent="0.2">
      <c r="A267" s="1525" t="s">
        <v>1010</v>
      </c>
      <c r="B267" s="615">
        <v>2550</v>
      </c>
      <c r="C267" s="617"/>
      <c r="D267" s="466">
        <v>32122</v>
      </c>
      <c r="E267" s="617"/>
      <c r="F267" s="617"/>
      <c r="G267" s="617"/>
      <c r="H267" s="617"/>
      <c r="I267" s="617"/>
      <c r="J267" s="617"/>
      <c r="K267" s="1693">
        <f t="shared" si="22"/>
        <v>32122</v>
      </c>
      <c r="L267" s="466">
        <v>32122</v>
      </c>
    </row>
    <row r="268" spans="1:14" x14ac:dyDescent="0.2">
      <c r="A268" s="1525" t="s">
        <v>102</v>
      </c>
      <c r="B268" s="615">
        <v>2560</v>
      </c>
      <c r="C268" s="617"/>
      <c r="D268" s="466">
        <v>14383</v>
      </c>
      <c r="E268" s="617"/>
      <c r="F268" s="617"/>
      <c r="G268" s="617"/>
      <c r="H268" s="617"/>
      <c r="I268" s="617"/>
      <c r="J268" s="617"/>
      <c r="K268" s="1693">
        <f t="shared" si="22"/>
        <v>14383</v>
      </c>
      <c r="L268" s="466">
        <v>14383</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76804</v>
      </c>
      <c r="E270" s="617"/>
      <c r="F270" s="617"/>
      <c r="G270" s="617"/>
      <c r="H270" s="617"/>
      <c r="I270" s="617"/>
      <c r="J270" s="617"/>
      <c r="K270" s="1691">
        <f>SUM(K263:K269)</f>
        <v>76804</v>
      </c>
      <c r="L270" s="1691">
        <f>SUM(L263:L269)</f>
        <v>76804</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0</v>
      </c>
      <c r="E274" s="617"/>
      <c r="F274" s="617"/>
      <c r="G274" s="617"/>
      <c r="H274" s="617"/>
      <c r="I274" s="617"/>
      <c r="J274" s="617"/>
      <c r="K274" s="1693">
        <f>D274</f>
        <v>0</v>
      </c>
      <c r="L274" s="466">
        <v>0</v>
      </c>
    </row>
    <row r="275" spans="1:12" x14ac:dyDescent="0.2">
      <c r="A275" s="1525" t="s">
        <v>423</v>
      </c>
      <c r="B275" s="615">
        <v>2640</v>
      </c>
      <c r="C275" s="617"/>
      <c r="D275" s="466">
        <v>0</v>
      </c>
      <c r="E275" s="617"/>
      <c r="F275" s="617"/>
      <c r="G275" s="617"/>
      <c r="H275" s="617"/>
      <c r="I275" s="617"/>
      <c r="J275" s="617"/>
      <c r="K275" s="1693">
        <f>D275</f>
        <v>0</v>
      </c>
      <c r="L275" s="466">
        <v>0</v>
      </c>
    </row>
    <row r="276" spans="1:12" x14ac:dyDescent="0.2">
      <c r="A276" s="1525" t="s">
        <v>424</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5" t="s">
        <v>595</v>
      </c>
      <c r="C278" s="617"/>
      <c r="D278" s="656">
        <v>0</v>
      </c>
      <c r="E278" s="617"/>
      <c r="F278" s="617"/>
      <c r="G278" s="617"/>
      <c r="H278" s="617"/>
      <c r="I278" s="617"/>
      <c r="J278" s="617"/>
      <c r="K278" s="1706">
        <f>D278</f>
        <v>0</v>
      </c>
      <c r="L278" s="656">
        <v>0</v>
      </c>
    </row>
    <row r="279" spans="1:12" ht="12.75" customHeight="1" thickBot="1" x14ac:dyDescent="0.25">
      <c r="A279" s="1719" t="s">
        <v>865</v>
      </c>
      <c r="B279" s="1702">
        <v>2000</v>
      </c>
      <c r="C279" s="617"/>
      <c r="D279" s="1698">
        <f>SUM(D238,D243,D257,D261,D270,D277,D278)</f>
        <v>106137</v>
      </c>
      <c r="E279" s="617"/>
      <c r="F279" s="617"/>
      <c r="G279" s="617"/>
      <c r="H279" s="617"/>
      <c r="I279" s="617"/>
      <c r="J279" s="617"/>
      <c r="K279" s="1698">
        <f>SUM(K238,K243,K257,K261,K270,K277,K278)</f>
        <v>106137</v>
      </c>
      <c r="L279" s="1698">
        <f>SUM(L238,L243,L257,L261,L270,L277,L278)</f>
        <v>106141</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0" t="s">
        <v>1957</v>
      </c>
      <c r="C282" s="617"/>
      <c r="D282" s="467" t="s">
        <v>1231</v>
      </c>
      <c r="E282" s="617"/>
      <c r="F282" s="617"/>
      <c r="G282" s="617"/>
      <c r="H282" s="617"/>
      <c r="I282" s="617"/>
      <c r="J282" s="617"/>
      <c r="K282" s="1692" t="str">
        <f>D282</f>
        <v xml:space="preserve"> </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6"/>
      <c r="I294" s="617"/>
      <c r="J294" s="617"/>
      <c r="K294" s="686"/>
      <c r="L294" s="578">
        <v>0</v>
      </c>
    </row>
    <row r="295" spans="1:14" ht="12.75" customHeight="1" thickTop="1" thickBot="1" x14ac:dyDescent="0.25">
      <c r="A295" s="2198" t="s">
        <v>526</v>
      </c>
      <c r="B295" s="2199"/>
      <c r="C295" s="617"/>
      <c r="D295" s="1691">
        <f>SUM(D229,D279,D280,D285)</f>
        <v>163179</v>
      </c>
      <c r="E295" s="617"/>
      <c r="F295" s="617"/>
      <c r="G295" s="617"/>
      <c r="H295" s="1691">
        <f>H293</f>
        <v>0</v>
      </c>
      <c r="I295" s="617"/>
      <c r="J295" s="617"/>
      <c r="K295" s="1691">
        <f>SUM(K229,K279,K280,K285,K293,K294)</f>
        <v>163179</v>
      </c>
      <c r="L295" s="1691">
        <f>SUM(L229,L279,L280,L285,L293,L294)</f>
        <v>163183</v>
      </c>
    </row>
    <row r="296" spans="1:14" ht="13.5" thickTop="1" x14ac:dyDescent="0.2">
      <c r="A296" s="2180" t="s">
        <v>1053</v>
      </c>
      <c r="B296" s="2181"/>
      <c r="C296" s="617"/>
      <c r="D296" s="619"/>
      <c r="E296" s="617"/>
      <c r="F296" s="617"/>
      <c r="G296" s="617"/>
      <c r="H296" s="687"/>
      <c r="I296" s="617"/>
      <c r="J296" s="617"/>
      <c r="K296" s="1705">
        <f>'Revenues 9-14'!G275-'Expenditures 15-22'!K295</f>
        <v>34902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0" t="s">
        <v>145</v>
      </c>
      <c r="B298" s="2184"/>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8" t="s">
        <v>629</v>
      </c>
      <c r="B301" s="689">
        <v>2530</v>
      </c>
      <c r="C301" s="466">
        <v>0</v>
      </c>
      <c r="D301" s="466">
        <v>0</v>
      </c>
      <c r="E301" s="466">
        <v>0</v>
      </c>
      <c r="F301" s="466">
        <v>0</v>
      </c>
      <c r="G301" s="466">
        <v>0</v>
      </c>
      <c r="H301" s="466">
        <v>0</v>
      </c>
      <c r="I301" s="466">
        <v>0</v>
      </c>
      <c r="J301" s="466">
        <v>0</v>
      </c>
      <c r="K301" s="1692">
        <f>SUM(C301:J301)</f>
        <v>0</v>
      </c>
      <c r="L301" s="467">
        <v>0</v>
      </c>
    </row>
    <row r="302" spans="1:14" ht="13.5" customHeight="1" x14ac:dyDescent="0.2">
      <c r="A302" s="1538" t="s">
        <v>1037</v>
      </c>
      <c r="B302" s="615" t="s">
        <v>595</v>
      </c>
      <c r="C302" s="466">
        <v>0</v>
      </c>
      <c r="D302" s="466">
        <v>0</v>
      </c>
      <c r="E302" s="466">
        <v>0</v>
      </c>
      <c r="F302" s="466">
        <v>0</v>
      </c>
      <c r="G302" s="466">
        <v>0</v>
      </c>
      <c r="H302" s="466">
        <v>0</v>
      </c>
      <c r="I302" s="466">
        <v>0</v>
      </c>
      <c r="J302" s="466">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9" t="s">
        <v>1962</v>
      </c>
      <c r="B306" s="690" t="s">
        <v>1957</v>
      </c>
      <c r="C306" s="617"/>
      <c r="D306" s="617"/>
      <c r="E306" s="467" t="s">
        <v>1231</v>
      </c>
      <c r="F306" s="617"/>
      <c r="G306" s="617"/>
      <c r="H306" s="467" t="s">
        <v>1231</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4" customFormat="1" ht="12.75" customHeight="1" thickTop="1" thickBot="1" x14ac:dyDescent="0.25">
      <c r="A312" s="2195" t="s">
        <v>295</v>
      </c>
      <c r="B312" s="2196"/>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91" t="s">
        <v>1053</v>
      </c>
      <c r="B313" s="2192"/>
      <c r="C313" s="627"/>
      <c r="D313" s="627"/>
      <c r="E313" s="627"/>
      <c r="F313" s="627"/>
      <c r="G313" s="627"/>
      <c r="H313" s="627"/>
      <c r="I313" s="627"/>
      <c r="J313" s="627"/>
      <c r="K313" s="1706">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4" t="s">
        <v>151</v>
      </c>
      <c r="B315" s="2205"/>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6" t="s">
        <v>954</v>
      </c>
      <c r="B317" s="2205"/>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7">
        <v>0</v>
      </c>
      <c r="D319" s="467">
        <v>0</v>
      </c>
      <c r="E319" s="467">
        <v>0</v>
      </c>
      <c r="F319" s="467">
        <v>0</v>
      </c>
      <c r="G319" s="467">
        <v>0</v>
      </c>
      <c r="H319" s="467">
        <v>0</v>
      </c>
      <c r="I319" s="467">
        <v>0</v>
      </c>
      <c r="J319" s="467">
        <v>0</v>
      </c>
      <c r="K319" s="1692">
        <f>SUM(C319:J319)</f>
        <v>0</v>
      </c>
      <c r="L319" s="467">
        <v>0</v>
      </c>
      <c r="M319" s="665"/>
      <c r="N319" s="665"/>
    </row>
    <row r="320" spans="1:14" s="674" customFormat="1" x14ac:dyDescent="0.2">
      <c r="A320" s="1544" t="s">
        <v>1908</v>
      </c>
      <c r="B320" s="698" t="s">
        <v>300</v>
      </c>
      <c r="C320" s="467">
        <v>0</v>
      </c>
      <c r="D320" s="467">
        <v>0</v>
      </c>
      <c r="E320" s="467">
        <v>130</v>
      </c>
      <c r="F320" s="467">
        <v>0</v>
      </c>
      <c r="G320" s="467">
        <v>0</v>
      </c>
      <c r="H320" s="467">
        <v>0</v>
      </c>
      <c r="I320" s="467">
        <v>0</v>
      </c>
      <c r="J320" s="467">
        <v>0</v>
      </c>
      <c r="K320" s="1692">
        <f t="shared" ref="K320:K327" si="24">SUM(C320:J320)</f>
        <v>130</v>
      </c>
      <c r="L320" s="467">
        <v>0</v>
      </c>
      <c r="M320" s="665"/>
      <c r="N320" s="665"/>
    </row>
    <row r="321" spans="1:14" s="674" customFormat="1" x14ac:dyDescent="0.2">
      <c r="A321" s="1540" t="s">
        <v>318</v>
      </c>
      <c r="B321" s="697" t="s">
        <v>301</v>
      </c>
      <c r="C321" s="467">
        <v>0</v>
      </c>
      <c r="D321" s="467">
        <v>0</v>
      </c>
      <c r="E321" s="467">
        <v>0</v>
      </c>
      <c r="F321" s="467">
        <v>0</v>
      </c>
      <c r="G321" s="467">
        <v>0</v>
      </c>
      <c r="H321" s="467">
        <v>0</v>
      </c>
      <c r="I321" s="467">
        <v>0</v>
      </c>
      <c r="J321" s="467">
        <v>0</v>
      </c>
      <c r="K321" s="1692">
        <f t="shared" si="24"/>
        <v>0</v>
      </c>
      <c r="L321" s="467">
        <v>130</v>
      </c>
      <c r="M321" s="665"/>
      <c r="N321" s="665"/>
    </row>
    <row r="322" spans="1:14" s="674" customFormat="1" x14ac:dyDescent="0.2">
      <c r="A322" s="1540" t="s">
        <v>256</v>
      </c>
      <c r="B322" s="697" t="s">
        <v>302</v>
      </c>
      <c r="C322" s="467">
        <v>0</v>
      </c>
      <c r="D322" s="467">
        <v>0</v>
      </c>
      <c r="E322" s="467">
        <v>72648</v>
      </c>
      <c r="F322" s="467">
        <v>0</v>
      </c>
      <c r="G322" s="467">
        <v>0</v>
      </c>
      <c r="H322" s="467">
        <v>0</v>
      </c>
      <c r="I322" s="467">
        <v>0</v>
      </c>
      <c r="J322" s="467">
        <v>0</v>
      </c>
      <c r="K322" s="1692">
        <f t="shared" si="24"/>
        <v>72648</v>
      </c>
      <c r="L322" s="467">
        <v>72648</v>
      </c>
      <c r="M322" s="665"/>
      <c r="N322" s="665"/>
    </row>
    <row r="323" spans="1:14" s="674" customFormat="1" x14ac:dyDescent="0.2">
      <c r="A323" s="1540" t="s">
        <v>726</v>
      </c>
      <c r="B323" s="697" t="s">
        <v>303</v>
      </c>
      <c r="C323" s="467">
        <v>0</v>
      </c>
      <c r="D323" s="467">
        <v>0</v>
      </c>
      <c r="E323" s="467">
        <v>5110</v>
      </c>
      <c r="F323" s="467">
        <v>677</v>
      </c>
      <c r="G323" s="467">
        <v>0</v>
      </c>
      <c r="H323" s="467">
        <v>0</v>
      </c>
      <c r="I323" s="467">
        <v>0</v>
      </c>
      <c r="J323" s="467">
        <v>0</v>
      </c>
      <c r="K323" s="1692">
        <f t="shared" si="24"/>
        <v>5787</v>
      </c>
      <c r="L323" s="467">
        <v>5787</v>
      </c>
      <c r="M323" s="665"/>
      <c r="N323" s="665"/>
    </row>
    <row r="324" spans="1:14" s="674" customFormat="1" x14ac:dyDescent="0.2">
      <c r="A324" s="1540" t="s">
        <v>257</v>
      </c>
      <c r="B324" s="697" t="s">
        <v>304</v>
      </c>
      <c r="C324" s="467">
        <v>0</v>
      </c>
      <c r="D324" s="467">
        <v>0</v>
      </c>
      <c r="E324" s="467">
        <v>0</v>
      </c>
      <c r="F324" s="467">
        <v>0</v>
      </c>
      <c r="G324" s="467">
        <v>0</v>
      </c>
      <c r="H324" s="467">
        <v>0</v>
      </c>
      <c r="I324" s="467">
        <v>0</v>
      </c>
      <c r="J324" s="467">
        <v>0</v>
      </c>
      <c r="K324" s="1692">
        <f t="shared" si="24"/>
        <v>0</v>
      </c>
      <c r="L324" s="467">
        <v>0</v>
      </c>
      <c r="M324" s="665"/>
      <c r="N324" s="665"/>
    </row>
    <row r="325" spans="1:14" s="674" customFormat="1" ht="22.5" x14ac:dyDescent="0.2">
      <c r="A325" s="1540" t="s">
        <v>1087</v>
      </c>
      <c r="B325" s="698" t="s">
        <v>305</v>
      </c>
      <c r="C325" s="467">
        <v>70755</v>
      </c>
      <c r="D325" s="467">
        <v>6533</v>
      </c>
      <c r="E325" s="467">
        <v>1474</v>
      </c>
      <c r="F325" s="467">
        <v>0</v>
      </c>
      <c r="G325" s="467">
        <v>0</v>
      </c>
      <c r="H325" s="467">
        <v>0</v>
      </c>
      <c r="I325" s="467">
        <v>0</v>
      </c>
      <c r="J325" s="467">
        <v>0</v>
      </c>
      <c r="K325" s="1692">
        <f t="shared" si="24"/>
        <v>78762</v>
      </c>
      <c r="L325" s="467">
        <v>78762</v>
      </c>
      <c r="M325" s="665"/>
      <c r="N325" s="665"/>
    </row>
    <row r="326" spans="1:14" s="674" customFormat="1" x14ac:dyDescent="0.2">
      <c r="A326" s="1540" t="s">
        <v>1088</v>
      </c>
      <c r="B326" s="697" t="s">
        <v>306</v>
      </c>
      <c r="C326" s="467">
        <v>0</v>
      </c>
      <c r="D326" s="467">
        <v>0</v>
      </c>
      <c r="E326" s="467">
        <v>0</v>
      </c>
      <c r="F326" s="467">
        <v>0</v>
      </c>
      <c r="G326" s="467">
        <v>0</v>
      </c>
      <c r="H326" s="467">
        <v>0</v>
      </c>
      <c r="I326" s="467">
        <v>0</v>
      </c>
      <c r="J326" s="467">
        <v>0</v>
      </c>
      <c r="K326" s="1692">
        <f t="shared" si="24"/>
        <v>0</v>
      </c>
      <c r="L326" s="467">
        <v>0</v>
      </c>
      <c r="M326" s="665"/>
      <c r="N326" s="665"/>
    </row>
    <row r="327" spans="1:14" s="674" customFormat="1" x14ac:dyDescent="0.2">
      <c r="A327" s="1540" t="s">
        <v>1028</v>
      </c>
      <c r="B327" s="697" t="s">
        <v>307</v>
      </c>
      <c r="C327" s="467">
        <v>0</v>
      </c>
      <c r="D327" s="467">
        <v>0</v>
      </c>
      <c r="E327" s="467">
        <v>3407</v>
      </c>
      <c r="F327" s="467">
        <v>0</v>
      </c>
      <c r="G327" s="467">
        <v>0</v>
      </c>
      <c r="H327" s="467">
        <v>0</v>
      </c>
      <c r="I327" s="467">
        <v>0</v>
      </c>
      <c r="J327" s="467">
        <v>0</v>
      </c>
      <c r="K327" s="1692">
        <f t="shared" si="24"/>
        <v>3407</v>
      </c>
      <c r="L327" s="467">
        <v>4629</v>
      </c>
      <c r="M327" s="665"/>
      <c r="N327" s="665"/>
    </row>
    <row r="328" spans="1:14" s="674" customFormat="1" x14ac:dyDescent="0.2">
      <c r="A328" s="1541" t="s">
        <v>492</v>
      </c>
      <c r="B328" s="690" t="s">
        <v>1194</v>
      </c>
      <c r="C328" s="467">
        <v>0</v>
      </c>
      <c r="D328" s="467">
        <v>0</v>
      </c>
      <c r="E328" s="467">
        <v>0</v>
      </c>
      <c r="F328" s="467">
        <v>0</v>
      </c>
      <c r="G328" s="467">
        <v>0</v>
      </c>
      <c r="H328" s="467">
        <v>0</v>
      </c>
      <c r="I328" s="467">
        <v>0</v>
      </c>
      <c r="J328" s="467">
        <v>0</v>
      </c>
      <c r="K328" s="1720">
        <f>SUM(C328:J328)</f>
        <v>0</v>
      </c>
      <c r="L328" s="474">
        <v>0</v>
      </c>
      <c r="M328" s="665"/>
      <c r="N328" s="665"/>
    </row>
    <row r="329" spans="1:14" s="674" customFormat="1" x14ac:dyDescent="0.2">
      <c r="A329" s="1541" t="s">
        <v>1195</v>
      </c>
      <c r="B329" s="690" t="s">
        <v>1196</v>
      </c>
      <c r="C329" s="467">
        <v>0</v>
      </c>
      <c r="D329" s="467">
        <v>0</v>
      </c>
      <c r="E329" s="467">
        <v>0</v>
      </c>
      <c r="F329" s="467">
        <v>0</v>
      </c>
      <c r="G329" s="467">
        <v>0</v>
      </c>
      <c r="H329" s="467">
        <v>0</v>
      </c>
      <c r="I329" s="467">
        <v>0</v>
      </c>
      <c r="J329" s="467">
        <v>0</v>
      </c>
      <c r="K329" s="1720">
        <f>SUM(C329:J329)</f>
        <v>0</v>
      </c>
      <c r="L329" s="474">
        <v>0</v>
      </c>
      <c r="M329" s="665"/>
      <c r="N329" s="665"/>
    </row>
    <row r="330" spans="1:14" s="674" customFormat="1" ht="12.75" customHeight="1" thickBot="1" x14ac:dyDescent="0.25">
      <c r="A330" s="1721" t="s">
        <v>741</v>
      </c>
      <c r="B330" s="1690" t="s">
        <v>590</v>
      </c>
      <c r="C330" s="1691">
        <f>SUM(C319:C329)</f>
        <v>70755</v>
      </c>
      <c r="D330" s="1691">
        <f t="shared" ref="D330:J330" si="25">SUM(D319:D329)</f>
        <v>6533</v>
      </c>
      <c r="E330" s="1691">
        <f t="shared" si="25"/>
        <v>82769</v>
      </c>
      <c r="F330" s="1691">
        <f t="shared" si="25"/>
        <v>677</v>
      </c>
      <c r="G330" s="1691">
        <f t="shared" si="25"/>
        <v>0</v>
      </c>
      <c r="H330" s="1691">
        <f t="shared" si="25"/>
        <v>0</v>
      </c>
      <c r="I330" s="1691">
        <f t="shared" si="25"/>
        <v>0</v>
      </c>
      <c r="J330" s="1691">
        <f t="shared" si="25"/>
        <v>0</v>
      </c>
      <c r="K330" s="1691">
        <f>SUM(K319:K329)</f>
        <v>160734</v>
      </c>
      <c r="L330" s="1691">
        <f>SUM(L319:L329)</f>
        <v>161956</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7" t="s">
        <v>1231</v>
      </c>
      <c r="I332" s="1855"/>
      <c r="J332" s="1855"/>
      <c r="K332" s="1692" t="str">
        <f>H332</f>
        <v xml:space="preserve"> </v>
      </c>
      <c r="L332" s="467">
        <v>0</v>
      </c>
      <c r="M332" s="665"/>
      <c r="N332" s="665"/>
    </row>
    <row r="333" spans="1:14" s="674" customFormat="1" ht="12.75" customHeight="1" x14ac:dyDescent="0.2">
      <c r="A333" s="1854" t="s">
        <v>322</v>
      </c>
      <c r="B333" s="1849" t="s">
        <v>1959</v>
      </c>
      <c r="C333" s="1855"/>
      <c r="D333" s="1855"/>
      <c r="E333" s="1855"/>
      <c r="F333" s="1855"/>
      <c r="G333" s="1855"/>
      <c r="H333" s="467" t="s">
        <v>1231</v>
      </c>
      <c r="I333" s="1855"/>
      <c r="J333" s="1855"/>
      <c r="K333" s="1692" t="str">
        <f>H333</f>
        <v xml:space="preserve"> </v>
      </c>
      <c r="L333" s="467">
        <v>0</v>
      </c>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9" t="s">
        <v>89</v>
      </c>
      <c r="B337" s="690" t="s">
        <v>956</v>
      </c>
      <c r="C337" s="638"/>
      <c r="D337" s="638"/>
      <c r="E337" s="638"/>
      <c r="F337" s="638"/>
      <c r="G337" s="638"/>
      <c r="H337" s="478">
        <v>0</v>
      </c>
      <c r="I337" s="638"/>
      <c r="J337" s="638"/>
      <c r="K337" s="1692">
        <f>H337</f>
        <v>0</v>
      </c>
      <c r="L337" s="478">
        <v>0</v>
      </c>
    </row>
    <row r="338" spans="1:14" ht="12.75" customHeight="1" x14ac:dyDescent="0.2">
      <c r="A338" s="1539" t="s">
        <v>1232</v>
      </c>
      <c r="B338" s="690" t="s">
        <v>638</v>
      </c>
      <c r="C338" s="638"/>
      <c r="D338" s="638"/>
      <c r="E338" s="638"/>
      <c r="F338" s="638"/>
      <c r="G338" s="638"/>
      <c r="H338" s="478">
        <v>0</v>
      </c>
      <c r="I338" s="638"/>
      <c r="J338" s="638"/>
      <c r="K338" s="1692">
        <f>H338</f>
        <v>0</v>
      </c>
      <c r="L338" s="478">
        <v>0</v>
      </c>
    </row>
    <row r="339" spans="1:14" x14ac:dyDescent="0.2">
      <c r="A339" s="1525" t="s">
        <v>957</v>
      </c>
      <c r="B339" s="629">
        <v>5150</v>
      </c>
      <c r="C339" s="638"/>
      <c r="D339" s="638"/>
      <c r="E339" s="638"/>
      <c r="F339" s="638"/>
      <c r="G339" s="638"/>
      <c r="H339" s="467">
        <v>0</v>
      </c>
      <c r="I339" s="638"/>
      <c r="J339" s="638"/>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70755</v>
      </c>
      <c r="D342" s="1691">
        <f>SUM(D330)</f>
        <v>6533</v>
      </c>
      <c r="E342" s="1691">
        <f>SUM(E330)</f>
        <v>82769</v>
      </c>
      <c r="F342" s="1691">
        <f>SUM(F330)</f>
        <v>677</v>
      </c>
      <c r="G342" s="1691">
        <f>SUM(G330)</f>
        <v>0</v>
      </c>
      <c r="H342" s="1691">
        <f>SUM(H330,H334,H340)</f>
        <v>0</v>
      </c>
      <c r="I342" s="1691">
        <f>SUM(I330)</f>
        <v>0</v>
      </c>
      <c r="J342" s="1691">
        <f>SUM(J330)</f>
        <v>0</v>
      </c>
      <c r="K342" s="1691">
        <f>SUM(K330,K334,K340)</f>
        <v>160734</v>
      </c>
      <c r="L342" s="1698">
        <f>SUM(L330,L340,L341)</f>
        <v>161956</v>
      </c>
    </row>
    <row r="343" spans="1:14" ht="12.75" customHeight="1" thickTop="1" x14ac:dyDescent="0.2">
      <c r="A343" s="2193" t="s">
        <v>1053</v>
      </c>
      <c r="B343" s="2194"/>
      <c r="C343" s="617"/>
      <c r="D343" s="617"/>
      <c r="E343" s="617"/>
      <c r="F343" s="617"/>
      <c r="G343" s="617"/>
      <c r="H343" s="617"/>
      <c r="I343" s="617"/>
      <c r="J343" s="617"/>
      <c r="K343" s="1705">
        <f>'Revenues 9-14'!J275-'Expenditures 15-22'!K342</f>
        <v>31684</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3" t="s">
        <v>1023</v>
      </c>
      <c r="B345" s="2184"/>
      <c r="C345" s="1572"/>
      <c r="D345" s="1573"/>
      <c r="E345" s="1573"/>
      <c r="F345" s="1573"/>
      <c r="G345" s="1573"/>
      <c r="H345" s="1573"/>
      <c r="I345" s="1573"/>
      <c r="J345" s="1573"/>
      <c r="K345" s="1573"/>
      <c r="L345" s="1574"/>
      <c r="M345" s="667"/>
      <c r="N345" s="667"/>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92">
        <f>SUM(C348:J348)</f>
        <v>0</v>
      </c>
      <c r="L348" s="466">
        <v>0</v>
      </c>
    </row>
    <row r="349" spans="1:14" x14ac:dyDescent="0.2">
      <c r="A349" s="1525" t="s">
        <v>206</v>
      </c>
      <c r="B349" s="615">
        <v>2540</v>
      </c>
      <c r="C349" s="466">
        <v>0</v>
      </c>
      <c r="D349" s="466">
        <v>0</v>
      </c>
      <c r="E349" s="466">
        <v>0</v>
      </c>
      <c r="F349" s="466">
        <v>0</v>
      </c>
      <c r="G349" s="466">
        <v>0</v>
      </c>
      <c r="H349" s="466">
        <v>0</v>
      </c>
      <c r="I349" s="466">
        <v>0</v>
      </c>
      <c r="J349" s="466">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3" t="s">
        <v>1957</v>
      </c>
      <c r="C354" s="617"/>
      <c r="D354" s="617"/>
      <c r="E354" s="617"/>
      <c r="F354" s="617"/>
      <c r="G354" s="617"/>
      <c r="H354" s="474" t="s">
        <v>1231</v>
      </c>
      <c r="I354" s="701"/>
      <c r="J354" s="617"/>
      <c r="K354" s="1720" t="str">
        <f>H354</f>
        <v xml:space="preserve"> </v>
      </c>
      <c r="L354" s="471">
        <v>0</v>
      </c>
    </row>
    <row r="355" spans="1:14" ht="12.75" customHeight="1" x14ac:dyDescent="0.2">
      <c r="A355" s="1534" t="s">
        <v>1966</v>
      </c>
      <c r="B355" s="690" t="s">
        <v>1959</v>
      </c>
      <c r="C355" s="617"/>
      <c r="D355" s="617"/>
      <c r="E355" s="617"/>
      <c r="F355" s="617"/>
      <c r="G355" s="617"/>
      <c r="H355" s="467" t="s">
        <v>1231</v>
      </c>
      <c r="I355" s="701"/>
      <c r="J355" s="617"/>
      <c r="K355" s="1764" t="str">
        <f>H355</f>
        <v xml:space="preserve"> </v>
      </c>
      <c r="L355" s="467">
        <v>0</v>
      </c>
    </row>
    <row r="356" spans="1:14" ht="12.75" customHeight="1" x14ac:dyDescent="0.2">
      <c r="A356" s="1856" t="s">
        <v>722</v>
      </c>
      <c r="B356" s="683" t="s">
        <v>579</v>
      </c>
      <c r="C356" s="617"/>
      <c r="D356" s="617"/>
      <c r="E356" s="617"/>
      <c r="F356" s="617"/>
      <c r="G356" s="617"/>
      <c r="H356" s="479">
        <v>0</v>
      </c>
      <c r="I356" s="701"/>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1"/>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9">
        <v>0</v>
      </c>
      <c r="I363" s="638"/>
      <c r="J363" s="638"/>
      <c r="K363" s="1720">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92">
        <f>SUM(C364:J364)</f>
        <v>0</v>
      </c>
      <c r="L364" s="707">
        <v>0</v>
      </c>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80" t="s">
        <v>1053</v>
      </c>
      <c r="B368" s="2181"/>
      <c r="C368" s="654"/>
      <c r="D368" s="654"/>
      <c r="E368" s="627"/>
      <c r="F368" s="627"/>
      <c r="G368" s="627"/>
      <c r="H368" s="627"/>
      <c r="I368" s="627"/>
      <c r="J368" s="624"/>
      <c r="K368" s="1692">
        <f>'Revenues 9-14'!K275-'Expenditures 15-22'!K367</f>
        <v>15875</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7"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7" t="s">
        <v>1905</v>
      </c>
      <c r="B2" s="1549" t="s">
        <v>2037</v>
      </c>
      <c r="C2" s="714" t="s">
        <v>1910</v>
      </c>
      <c r="D2" s="714" t="s">
        <v>1911</v>
      </c>
      <c r="E2" s="714" t="s">
        <v>1912</v>
      </c>
      <c r="F2" s="714" t="s">
        <v>1913</v>
      </c>
    </row>
    <row r="3" spans="1:6" ht="12" customHeight="1" x14ac:dyDescent="0.2">
      <c r="A3" s="2208"/>
      <c r="B3" s="1546"/>
      <c r="C3" s="1547"/>
      <c r="D3" s="1548" t="s">
        <v>274</v>
      </c>
      <c r="E3" s="1547"/>
      <c r="F3" s="1548" t="s">
        <v>275</v>
      </c>
    </row>
    <row r="4" spans="1:6" ht="13.7" customHeight="1" x14ac:dyDescent="0.2">
      <c r="A4" s="715" t="s">
        <v>1217</v>
      </c>
      <c r="B4" s="1770">
        <f>'Revenues 9-14'!C5</f>
        <v>574121</v>
      </c>
      <c r="C4" s="1545"/>
      <c r="D4" s="1773">
        <f>B4-C4</f>
        <v>574121</v>
      </c>
      <c r="E4" s="1545">
        <v>531190</v>
      </c>
      <c r="F4" s="1773">
        <f>E4-C4</f>
        <v>531190</v>
      </c>
    </row>
    <row r="5" spans="1:6" ht="13.7" customHeight="1" x14ac:dyDescent="0.2">
      <c r="A5" s="715" t="s">
        <v>925</v>
      </c>
      <c r="B5" s="1771">
        <f>'Revenues 9-14'!D5</f>
        <v>156020</v>
      </c>
      <c r="C5" s="585"/>
      <c r="D5" s="1774">
        <f t="shared" ref="D5:D18" si="0">B5-C5</f>
        <v>156020</v>
      </c>
      <c r="E5" s="585">
        <v>144346</v>
      </c>
      <c r="F5" s="1774">
        <f>E5-C5</f>
        <v>144346</v>
      </c>
    </row>
    <row r="6" spans="1:6" ht="13.7" customHeight="1" x14ac:dyDescent="0.2">
      <c r="A6" s="715" t="s">
        <v>431</v>
      </c>
      <c r="B6" s="1771">
        <f>'Revenues 9-14'!E5</f>
        <v>77834</v>
      </c>
      <c r="C6" s="585"/>
      <c r="D6" s="1774">
        <f t="shared" si="0"/>
        <v>77834</v>
      </c>
      <c r="E6" s="585">
        <v>72308</v>
      </c>
      <c r="F6" s="1774">
        <f t="shared" ref="F6:F18" si="1">E6-C6</f>
        <v>72308</v>
      </c>
    </row>
    <row r="7" spans="1:6" ht="13.7" customHeight="1" x14ac:dyDescent="0.2">
      <c r="A7" s="715" t="s">
        <v>157</v>
      </c>
      <c r="B7" s="1771">
        <f>'Revenues 9-14'!F5</f>
        <v>62413</v>
      </c>
      <c r="C7" s="585"/>
      <c r="D7" s="1774">
        <f t="shared" si="0"/>
        <v>62413</v>
      </c>
      <c r="E7" s="585">
        <v>57735</v>
      </c>
      <c r="F7" s="1774">
        <f t="shared" si="1"/>
        <v>57735</v>
      </c>
    </row>
    <row r="8" spans="1:6" ht="13.7" customHeight="1" x14ac:dyDescent="0.2">
      <c r="A8" s="715" t="s">
        <v>1241</v>
      </c>
      <c r="B8" s="1771">
        <f>'Revenues 9-14'!G5</f>
        <v>94198</v>
      </c>
      <c r="C8" s="585"/>
      <c r="D8" s="1774">
        <f t="shared" si="0"/>
        <v>94198</v>
      </c>
      <c r="E8" s="585">
        <v>82991</v>
      </c>
      <c r="F8" s="1774">
        <f t="shared" si="1"/>
        <v>82991</v>
      </c>
    </row>
    <row r="9" spans="1:6" ht="13.7" customHeight="1" x14ac:dyDescent="0.2">
      <c r="A9" s="715" t="s">
        <v>428</v>
      </c>
      <c r="B9" s="1771">
        <f>'Revenues 9-14'!H5</f>
        <v>0</v>
      </c>
      <c r="C9" s="585"/>
      <c r="D9" s="1774">
        <f t="shared" si="0"/>
        <v>0</v>
      </c>
      <c r="E9" s="585"/>
      <c r="F9" s="1774">
        <f t="shared" si="1"/>
        <v>0</v>
      </c>
    </row>
    <row r="10" spans="1:6" ht="13.7" customHeight="1" x14ac:dyDescent="0.2">
      <c r="A10" s="715" t="s">
        <v>427</v>
      </c>
      <c r="B10" s="1771">
        <f>'Revenues 9-14'!I5</f>
        <v>15601</v>
      </c>
      <c r="C10" s="585"/>
      <c r="D10" s="1774">
        <f t="shared" si="0"/>
        <v>15601</v>
      </c>
      <c r="E10" s="585">
        <v>14433</v>
      </c>
      <c r="F10" s="1774">
        <f t="shared" si="1"/>
        <v>14433</v>
      </c>
    </row>
    <row r="11" spans="1:6" x14ac:dyDescent="0.2">
      <c r="A11" s="715" t="s">
        <v>429</v>
      </c>
      <c r="B11" s="1771">
        <f>'Revenues 9-14'!J5</f>
        <v>191101</v>
      </c>
      <c r="C11" s="585"/>
      <c r="D11" s="1774">
        <f t="shared" si="0"/>
        <v>191101</v>
      </c>
      <c r="E11" s="585">
        <v>168412</v>
      </c>
      <c r="F11" s="1774">
        <f t="shared" si="1"/>
        <v>168412</v>
      </c>
    </row>
    <row r="12" spans="1:6" ht="13.7" customHeight="1" x14ac:dyDescent="0.2">
      <c r="A12" s="715" t="s">
        <v>159</v>
      </c>
      <c r="B12" s="1771">
        <f>'Revenues 9-14'!K5</f>
        <v>15601</v>
      </c>
      <c r="C12" s="585"/>
      <c r="D12" s="1774">
        <f t="shared" si="0"/>
        <v>15601</v>
      </c>
      <c r="E12" s="585">
        <v>14433</v>
      </c>
      <c r="F12" s="1774">
        <f t="shared" si="1"/>
        <v>14433</v>
      </c>
    </row>
    <row r="13" spans="1:6" ht="13.7" customHeight="1" x14ac:dyDescent="0.2">
      <c r="A13" s="715" t="s">
        <v>993</v>
      </c>
      <c r="B13" s="1771">
        <f>SUM('Revenues 9-14'!C6:D6)</f>
        <v>15625</v>
      </c>
      <c r="C13" s="585"/>
      <c r="D13" s="1774">
        <f t="shared" si="0"/>
        <v>15625</v>
      </c>
      <c r="E13" s="585">
        <v>14433</v>
      </c>
      <c r="F13" s="1774">
        <f t="shared" si="1"/>
        <v>14433</v>
      </c>
    </row>
    <row r="14" spans="1:6" ht="13.7" customHeight="1" x14ac:dyDescent="0.2">
      <c r="A14" s="715" t="s">
        <v>430</v>
      </c>
      <c r="B14" s="1771">
        <f>SUM('Revenues 9-14'!C7:D7,'Revenues 9-14'!F7:H7)</f>
        <v>12500</v>
      </c>
      <c r="C14" s="585"/>
      <c r="D14" s="1774">
        <f t="shared" si="0"/>
        <v>12500</v>
      </c>
      <c r="E14" s="585">
        <v>11546</v>
      </c>
      <c r="F14" s="1774">
        <f t="shared" si="1"/>
        <v>11546</v>
      </c>
    </row>
    <row r="15" spans="1:6" ht="13.7" customHeight="1" x14ac:dyDescent="0.2">
      <c r="A15" s="715" t="s">
        <v>1220</v>
      </c>
      <c r="B15" s="1771">
        <f>'Revenues 9-14'!E9</f>
        <v>0</v>
      </c>
      <c r="C15" s="585"/>
      <c r="D15" s="1774">
        <f t="shared" si="0"/>
        <v>0</v>
      </c>
      <c r="E15" s="585"/>
      <c r="F15" s="1774">
        <f t="shared" si="1"/>
        <v>0</v>
      </c>
    </row>
    <row r="16" spans="1:6" ht="13.7" customHeight="1" x14ac:dyDescent="0.2">
      <c r="A16" s="715" t="s">
        <v>1221</v>
      </c>
      <c r="B16" s="1771">
        <f>'Revenues 9-14'!G8</f>
        <v>94319</v>
      </c>
      <c r="C16" s="585"/>
      <c r="D16" s="1774">
        <f t="shared" si="0"/>
        <v>94319</v>
      </c>
      <c r="E16" s="585">
        <v>82991</v>
      </c>
      <c r="F16" s="1774">
        <f t="shared" si="1"/>
        <v>82991</v>
      </c>
    </row>
    <row r="17" spans="1:6" ht="13.7" customHeight="1" x14ac:dyDescent="0.2">
      <c r="A17" s="715" t="s">
        <v>1222</v>
      </c>
      <c r="B17" s="1771">
        <f>'Revenues 9-14'!C10</f>
        <v>0</v>
      </c>
      <c r="C17" s="585"/>
      <c r="D17" s="1774">
        <f t="shared" si="0"/>
        <v>0</v>
      </c>
      <c r="E17" s="585"/>
      <c r="F17" s="1774">
        <f t="shared" si="1"/>
        <v>0</v>
      </c>
    </row>
    <row r="18" spans="1:6" ht="13.7" customHeight="1" x14ac:dyDescent="0.2">
      <c r="A18" s="715" t="s">
        <v>786</v>
      </c>
      <c r="B18" s="1771">
        <f>SUM('Revenues 9-14'!C11:K11)</f>
        <v>0</v>
      </c>
      <c r="C18" s="585"/>
      <c r="D18" s="1774">
        <f t="shared" si="0"/>
        <v>0</v>
      </c>
      <c r="E18" s="585"/>
      <c r="F18" s="1774">
        <f t="shared" si="1"/>
        <v>0</v>
      </c>
    </row>
    <row r="19" spans="1:6" ht="13.7" customHeight="1" thickBot="1" x14ac:dyDescent="0.25">
      <c r="A19" s="1775" t="s">
        <v>1223</v>
      </c>
      <c r="B19" s="1772">
        <f>SUM(B4:B18)</f>
        <v>1309333</v>
      </c>
      <c r="C19" s="1772">
        <f>SUM(C4:C18)</f>
        <v>0</v>
      </c>
      <c r="D19" s="1772">
        <f>SUM(D4:D18)</f>
        <v>1309333</v>
      </c>
      <c r="E19" s="1772">
        <f>SUM(E4:E18)</f>
        <v>1194818</v>
      </c>
      <c r="F19" s="1772">
        <f>SUM(F4:F18)</f>
        <v>1194818</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40"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9" t="s">
        <v>650</v>
      </c>
      <c r="B1" s="2227"/>
      <c r="C1" s="721"/>
    </row>
    <row r="2" spans="1:7" ht="33.75" x14ac:dyDescent="0.2">
      <c r="A2" s="2234" t="s">
        <v>1905</v>
      </c>
      <c r="B2" s="2235"/>
      <c r="C2" s="1908" t="s">
        <v>2038</v>
      </c>
      <c r="D2" s="723" t="s">
        <v>2045</v>
      </c>
      <c r="E2" s="723" t="s">
        <v>2046</v>
      </c>
      <c r="F2" s="1908" t="s">
        <v>2039</v>
      </c>
    </row>
    <row r="3" spans="1:7" ht="15.75" customHeight="1" x14ac:dyDescent="0.2">
      <c r="A3" s="2236" t="s">
        <v>1176</v>
      </c>
      <c r="B3" s="2237"/>
      <c r="C3" s="2230"/>
      <c r="D3" s="2231"/>
      <c r="E3" s="2231"/>
      <c r="F3" s="2232"/>
    </row>
    <row r="4" spans="1:7" ht="12.75" customHeight="1" thickBot="1" x14ac:dyDescent="0.25">
      <c r="A4" s="2224" t="s">
        <v>651</v>
      </c>
      <c r="B4" s="2225"/>
      <c r="C4" s="581"/>
      <c r="D4" s="581"/>
      <c r="E4" s="581"/>
      <c r="F4" s="1776">
        <f>SUM(C4+D4)-E4</f>
        <v>0</v>
      </c>
    </row>
    <row r="5" spans="1:7" ht="15.75" customHeight="1" thickTop="1" x14ac:dyDescent="0.2">
      <c r="A5" s="2228" t="s">
        <v>1172</v>
      </c>
      <c r="B5" s="2223"/>
      <c r="C5" s="2217"/>
      <c r="D5" s="2218"/>
      <c r="E5" s="2218"/>
      <c r="F5" s="2219"/>
    </row>
    <row r="6" spans="1:7" ht="12.75" customHeight="1" thickBot="1" x14ac:dyDescent="0.25">
      <c r="A6" s="724" t="s">
        <v>66</v>
      </c>
      <c r="B6" s="725"/>
      <c r="C6" s="726"/>
      <c r="D6" s="585"/>
      <c r="E6" s="726"/>
      <c r="F6" s="1776">
        <f t="shared" ref="F6:F14" si="0">SUM(C6+D6)-E6</f>
        <v>0</v>
      </c>
    </row>
    <row r="7" spans="1:7" ht="12.75" customHeight="1" thickTop="1" thickBot="1" x14ac:dyDescent="0.25">
      <c r="A7" s="724" t="s">
        <v>6</v>
      </c>
      <c r="B7" s="725"/>
      <c r="C7" s="726"/>
      <c r="D7" s="585"/>
      <c r="E7" s="726"/>
      <c r="F7" s="1776">
        <f t="shared" si="0"/>
        <v>0</v>
      </c>
    </row>
    <row r="8" spans="1:7" ht="12.75" customHeight="1" thickTop="1" thickBot="1" x14ac:dyDescent="0.25">
      <c r="A8" s="724" t="s">
        <v>529</v>
      </c>
      <c r="B8" s="725"/>
      <c r="C8" s="726"/>
      <c r="D8" s="585"/>
      <c r="E8" s="726"/>
      <c r="F8" s="1776">
        <f t="shared" si="0"/>
        <v>0</v>
      </c>
    </row>
    <row r="9" spans="1:7" ht="12.75" customHeight="1" thickTop="1" thickBot="1" x14ac:dyDescent="0.25">
      <c r="A9" s="724" t="s">
        <v>530</v>
      </c>
      <c r="B9" s="725"/>
      <c r="C9" s="726"/>
      <c r="D9" s="585"/>
      <c r="E9" s="726"/>
      <c r="F9" s="1776">
        <f t="shared" si="0"/>
        <v>0</v>
      </c>
    </row>
    <row r="10" spans="1:7" ht="12.75" customHeight="1" thickTop="1" thickBot="1" x14ac:dyDescent="0.25">
      <c r="A10" s="724" t="s">
        <v>531</v>
      </c>
      <c r="B10" s="725"/>
      <c r="C10" s="726"/>
      <c r="D10" s="585"/>
      <c r="E10" s="726"/>
      <c r="F10" s="1776">
        <f t="shared" si="0"/>
        <v>0</v>
      </c>
    </row>
    <row r="11" spans="1:7" ht="12.75" customHeight="1" thickTop="1" thickBot="1" x14ac:dyDescent="0.25">
      <c r="A11" s="724" t="s">
        <v>359</v>
      </c>
      <c r="B11" s="725"/>
      <c r="C11" s="726"/>
      <c r="D11" s="585"/>
      <c r="E11" s="726"/>
      <c r="F11" s="1776">
        <f t="shared" si="0"/>
        <v>0</v>
      </c>
    </row>
    <row r="12" spans="1:7" ht="12.75" customHeight="1" thickTop="1" thickBot="1" x14ac:dyDescent="0.25">
      <c r="A12" s="724" t="s">
        <v>1219</v>
      </c>
      <c r="B12" s="725"/>
      <c r="C12" s="726"/>
      <c r="D12" s="585"/>
      <c r="E12" s="726"/>
      <c r="F12" s="1776">
        <f t="shared" si="0"/>
        <v>0</v>
      </c>
    </row>
    <row r="13" spans="1:7" ht="12.75" customHeight="1" thickTop="1" thickBot="1" x14ac:dyDescent="0.25">
      <c r="A13" s="724" t="s">
        <v>406</v>
      </c>
      <c r="B13" s="725"/>
      <c r="C13" s="726"/>
      <c r="D13" s="585"/>
      <c r="E13" s="726"/>
      <c r="F13" s="1776">
        <f t="shared" si="0"/>
        <v>0</v>
      </c>
    </row>
    <row r="14" spans="1:7" ht="12.75" customHeight="1" thickTop="1" thickBot="1" x14ac:dyDescent="0.25">
      <c r="A14" s="724" t="s">
        <v>468</v>
      </c>
      <c r="B14" s="725"/>
      <c r="C14" s="726"/>
      <c r="D14" s="585"/>
      <c r="E14" s="726"/>
      <c r="F14" s="1776">
        <f t="shared" si="0"/>
        <v>0</v>
      </c>
    </row>
    <row r="15" spans="1:7" ht="14.25" thickTop="1" thickBot="1" x14ac:dyDescent="0.25">
      <c r="A15" s="2220" t="s">
        <v>652</v>
      </c>
      <c r="B15" s="2221"/>
      <c r="C15" s="1776">
        <f>SUM(C6:C14)</f>
        <v>0</v>
      </c>
      <c r="D15" s="1776">
        <f>SUM(D6:D14)</f>
        <v>0</v>
      </c>
      <c r="E15" s="1776">
        <f>SUM(E6:E14)</f>
        <v>0</v>
      </c>
      <c r="F15" s="1776">
        <f>SUM(F6:F14)</f>
        <v>0</v>
      </c>
      <c r="G15" s="552"/>
    </row>
    <row r="16" spans="1:7" s="202" customFormat="1" ht="15.75" customHeight="1" thickTop="1" x14ac:dyDescent="0.2">
      <c r="A16" s="2233" t="s">
        <v>1173</v>
      </c>
      <c r="B16" s="2223"/>
      <c r="C16" s="2217"/>
      <c r="D16" s="2218"/>
      <c r="E16" s="2218"/>
      <c r="F16" s="2219"/>
    </row>
    <row r="17" spans="1:11" ht="12.75" customHeight="1" thickBot="1" x14ac:dyDescent="0.25">
      <c r="A17" s="2215" t="s">
        <v>66</v>
      </c>
      <c r="B17" s="2216"/>
      <c r="C17" s="726"/>
      <c r="D17" s="585"/>
      <c r="E17" s="726"/>
      <c r="F17" s="1776">
        <f>SUM(C17+D17)-E17</f>
        <v>0</v>
      </c>
    </row>
    <row r="18" spans="1:11" ht="12.75" customHeight="1" thickTop="1" thickBot="1" x14ac:dyDescent="0.25">
      <c r="A18" s="2215" t="s">
        <v>6</v>
      </c>
      <c r="B18" s="2216"/>
      <c r="C18" s="726"/>
      <c r="D18" s="585"/>
      <c r="E18" s="726"/>
      <c r="F18" s="1776">
        <f>SUM(C18+D18)-E18</f>
        <v>0</v>
      </c>
    </row>
    <row r="19" spans="1:11" ht="12.75" customHeight="1" thickTop="1" thickBot="1" x14ac:dyDescent="0.25">
      <c r="A19" s="2215" t="s">
        <v>406</v>
      </c>
      <c r="B19" s="2216"/>
      <c r="C19" s="726"/>
      <c r="D19" s="585"/>
      <c r="E19" s="726"/>
      <c r="F19" s="1776">
        <f>SUM(C19+D19)-E19</f>
        <v>0</v>
      </c>
    </row>
    <row r="20" spans="1:11" ht="12.75" customHeight="1" thickTop="1" thickBot="1" x14ac:dyDescent="0.25">
      <c r="A20" s="2215" t="s">
        <v>468</v>
      </c>
      <c r="B20" s="2216"/>
      <c r="C20" s="726"/>
      <c r="D20" s="585"/>
      <c r="E20" s="726"/>
      <c r="F20" s="1776">
        <f>SUM(C20+D20)-E20</f>
        <v>0</v>
      </c>
    </row>
    <row r="21" spans="1:11" ht="14.25" thickTop="1" thickBot="1" x14ac:dyDescent="0.25">
      <c r="A21" s="2220" t="s">
        <v>653</v>
      </c>
      <c r="B21" s="2221"/>
      <c r="C21" s="1776">
        <f>SUM(C17:C20)</f>
        <v>0</v>
      </c>
      <c r="D21" s="1776">
        <f>SUM(D17:D20)</f>
        <v>0</v>
      </c>
      <c r="E21" s="1776">
        <f>SUM(E17:E20)</f>
        <v>0</v>
      </c>
      <c r="F21" s="1776">
        <f>SUM(F17:F20)</f>
        <v>0</v>
      </c>
      <c r="G21" s="552"/>
    </row>
    <row r="22" spans="1:11" ht="15.75" customHeight="1" thickTop="1" x14ac:dyDescent="0.2">
      <c r="A22" s="2222" t="s">
        <v>1174</v>
      </c>
      <c r="B22" s="2223"/>
      <c r="C22" s="2217"/>
      <c r="D22" s="2218"/>
      <c r="E22" s="2218"/>
      <c r="F22" s="2219"/>
    </row>
    <row r="23" spans="1:11" ht="13.5" thickBot="1" x14ac:dyDescent="0.25">
      <c r="A23" s="2224" t="s">
        <v>654</v>
      </c>
      <c r="B23" s="2225"/>
      <c r="C23" s="581"/>
      <c r="D23" s="581"/>
      <c r="E23" s="581"/>
      <c r="F23" s="1776">
        <f>SUM(C23+D23)-E23</f>
        <v>0</v>
      </c>
      <c r="G23" s="552"/>
    </row>
    <row r="24" spans="1:11" ht="15.75" customHeight="1" thickTop="1" x14ac:dyDescent="0.2">
      <c r="A24" s="2222" t="s">
        <v>1175</v>
      </c>
      <c r="B24" s="2223"/>
      <c r="C24" s="2217"/>
      <c r="D24" s="2218"/>
      <c r="E24" s="2218"/>
      <c r="F24" s="2219"/>
    </row>
    <row r="25" spans="1:11" ht="13.5" thickBot="1" x14ac:dyDescent="0.25">
      <c r="A25" s="2224" t="s">
        <v>655</v>
      </c>
      <c r="B25" s="2225"/>
      <c r="C25" s="581"/>
      <c r="D25" s="581"/>
      <c r="E25" s="581"/>
      <c r="F25" s="1776">
        <f>SUM(C25+D25)-E25</f>
        <v>0</v>
      </c>
      <c r="G25" s="552"/>
    </row>
    <row r="26" spans="1:11" ht="15.75" customHeight="1" thickTop="1" x14ac:dyDescent="0.2">
      <c r="A26" s="2228" t="s">
        <v>678</v>
      </c>
      <c r="B26" s="2223"/>
      <c r="C26" s="727"/>
      <c r="D26" s="727"/>
      <c r="E26" s="727"/>
      <c r="F26" s="728"/>
    </row>
    <row r="27" spans="1:11" ht="13.5" thickBot="1" x14ac:dyDescent="0.25">
      <c r="A27" s="2220" t="s">
        <v>1130</v>
      </c>
      <c r="B27" s="2221"/>
      <c r="C27" s="585"/>
      <c r="D27" s="585"/>
      <c r="E27" s="585"/>
      <c r="F27" s="1776">
        <f>SUM(C27+D27)-E27</f>
        <v>0</v>
      </c>
      <c r="G27" s="552"/>
    </row>
    <row r="28" spans="1:11" ht="7.5" customHeight="1" thickTop="1" x14ac:dyDescent="0.2">
      <c r="A28" s="594"/>
    </row>
    <row r="29" spans="1:11" ht="23.25" customHeight="1" x14ac:dyDescent="0.2">
      <c r="A29" s="2226" t="s">
        <v>603</v>
      </c>
      <c r="B29" s="2227"/>
      <c r="C29" s="729"/>
      <c r="D29" s="729"/>
      <c r="E29" s="729"/>
      <c r="F29" s="729"/>
      <c r="G29" s="729"/>
      <c r="H29" s="729"/>
      <c r="I29" s="729"/>
      <c r="J29" s="729"/>
    </row>
    <row r="30" spans="1:11" ht="33.75" x14ac:dyDescent="0.2">
      <c r="A30" s="1550" t="s">
        <v>1131</v>
      </c>
      <c r="B30" s="730" t="s">
        <v>1186</v>
      </c>
      <c r="C30" s="1909" t="s">
        <v>604</v>
      </c>
      <c r="D30" s="1909" t="s">
        <v>1772</v>
      </c>
      <c r="E30" s="1909" t="s">
        <v>2040</v>
      </c>
      <c r="F30" s="1909" t="s">
        <v>2041</v>
      </c>
      <c r="G30" s="1909" t="s">
        <v>2044</v>
      </c>
      <c r="H30" s="1909" t="s">
        <v>2042</v>
      </c>
      <c r="I30" s="1909" t="s">
        <v>2043</v>
      </c>
      <c r="J30" s="1910" t="s">
        <v>2</v>
      </c>
      <c r="K30" s="731"/>
    </row>
    <row r="31" spans="1:11" ht="12" customHeight="1" x14ac:dyDescent="0.2">
      <c r="A31" s="732" t="s">
        <v>2097</v>
      </c>
      <c r="B31" s="733">
        <v>38995</v>
      </c>
      <c r="C31" s="734">
        <v>1000000</v>
      </c>
      <c r="D31" s="735">
        <v>7</v>
      </c>
      <c r="E31" s="734">
        <v>1000000</v>
      </c>
      <c r="F31" s="734"/>
      <c r="G31" s="734"/>
      <c r="H31" s="734"/>
      <c r="I31" s="1777">
        <f>((E31+F31)-H31)+G31</f>
        <v>1000000</v>
      </c>
      <c r="J31" s="734">
        <v>105354</v>
      </c>
      <c r="K31" s="736"/>
    </row>
    <row r="32" spans="1:11" ht="12" customHeight="1" x14ac:dyDescent="0.2">
      <c r="A32" s="732" t="s">
        <v>2098</v>
      </c>
      <c r="B32" s="733">
        <v>40374</v>
      </c>
      <c r="C32" s="734">
        <v>487500</v>
      </c>
      <c r="D32" s="735">
        <v>7</v>
      </c>
      <c r="E32" s="734">
        <v>281000</v>
      </c>
      <c r="F32" s="734"/>
      <c r="G32" s="734"/>
      <c r="H32" s="734">
        <v>35000</v>
      </c>
      <c r="I32" s="1777">
        <f>((E32+F32)-H32)+G32</f>
        <v>246000</v>
      </c>
      <c r="J32" s="734">
        <v>246000</v>
      </c>
      <c r="K32" s="736"/>
    </row>
    <row r="33" spans="1:11" ht="12" customHeight="1" x14ac:dyDescent="0.2">
      <c r="A33" s="732" t="s">
        <v>2099</v>
      </c>
      <c r="B33" s="733">
        <v>40374</v>
      </c>
      <c r="C33" s="734">
        <v>487500</v>
      </c>
      <c r="D33" s="735">
        <v>7</v>
      </c>
      <c r="E33" s="734">
        <v>281000</v>
      </c>
      <c r="F33" s="734"/>
      <c r="G33" s="734"/>
      <c r="H33" s="734">
        <v>35000</v>
      </c>
      <c r="I33" s="1777">
        <f t="shared" ref="I33:I48" si="1">((E33+F33)-H33)+G33</f>
        <v>246000</v>
      </c>
      <c r="J33" s="734">
        <v>246000</v>
      </c>
      <c r="K33" s="736"/>
    </row>
    <row r="34" spans="1:11" ht="12" customHeight="1" x14ac:dyDescent="0.2">
      <c r="A34" s="732" t="s">
        <v>2100</v>
      </c>
      <c r="B34" s="733">
        <v>42937</v>
      </c>
      <c r="C34" s="734">
        <v>25000</v>
      </c>
      <c r="D34" s="735">
        <v>8</v>
      </c>
      <c r="E34" s="734"/>
      <c r="F34" s="734">
        <v>25000</v>
      </c>
      <c r="G34" s="734"/>
      <c r="H34" s="734">
        <v>3720</v>
      </c>
      <c r="I34" s="1777">
        <f t="shared" si="1"/>
        <v>21280</v>
      </c>
      <c r="J34" s="734">
        <v>21280</v>
      </c>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7"/>
      <c r="D37" s="740"/>
      <c r="E37" s="467"/>
      <c r="F37" s="467"/>
      <c r="G37" s="467"/>
      <c r="H37" s="467"/>
      <c r="I37" s="1777">
        <f t="shared" si="1"/>
        <v>0</v>
      </c>
      <c r="J37" s="467"/>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2000000</v>
      </c>
      <c r="D49" s="745"/>
      <c r="E49" s="1777">
        <f t="shared" ref="E49:J49" si="2">SUM(E31:E48)</f>
        <v>1562000</v>
      </c>
      <c r="F49" s="1777">
        <f t="shared" si="2"/>
        <v>25000</v>
      </c>
      <c r="G49" s="1777">
        <f t="shared" si="2"/>
        <v>0</v>
      </c>
      <c r="H49" s="1777">
        <f t="shared" si="2"/>
        <v>73720</v>
      </c>
      <c r="I49" s="1777">
        <f t="shared" si="2"/>
        <v>1513280</v>
      </c>
      <c r="J49" s="1777">
        <f t="shared" si="2"/>
        <v>618634</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09" t="s">
        <v>605</v>
      </c>
      <c r="C52" s="2210"/>
      <c r="D52" s="2210"/>
      <c r="E52" s="749" t="s">
        <v>900</v>
      </c>
      <c r="F52" s="2211" t="s">
        <v>2102</v>
      </c>
      <c r="G52" s="2212"/>
      <c r="H52" s="736"/>
      <c r="I52" s="736"/>
      <c r="J52" s="746"/>
    </row>
    <row r="53" spans="1:11" ht="11.25" customHeight="1" x14ac:dyDescent="0.2">
      <c r="A53" s="750" t="s">
        <v>969</v>
      </c>
      <c r="B53" s="751" t="s">
        <v>1008</v>
      </c>
      <c r="C53" s="746"/>
      <c r="D53" s="737"/>
      <c r="E53" s="749" t="s">
        <v>518</v>
      </c>
      <c r="F53" s="2213" t="s">
        <v>2101</v>
      </c>
      <c r="G53" s="2214"/>
      <c r="H53" s="736"/>
      <c r="I53" s="736"/>
      <c r="J53" s="746"/>
    </row>
    <row r="54" spans="1:11" ht="11.25" customHeight="1" x14ac:dyDescent="0.2">
      <c r="A54" s="752" t="s">
        <v>970</v>
      </c>
      <c r="B54" s="747" t="s">
        <v>1009</v>
      </c>
      <c r="C54" s="746"/>
      <c r="D54" s="737"/>
      <c r="E54" s="749" t="s">
        <v>519</v>
      </c>
      <c r="F54" s="2213"/>
      <c r="G54" s="221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90" zoomScaleNormal="9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911</v>
      </c>
      <c r="B1" s="2239"/>
      <c r="C1" s="2239"/>
      <c r="D1" s="2239"/>
      <c r="E1" s="2239"/>
      <c r="F1" s="2239"/>
      <c r="G1" s="2240"/>
      <c r="H1" s="1551"/>
      <c r="I1" s="760"/>
      <c r="J1" s="433"/>
    </row>
    <row r="2" spans="1:11" ht="26.25" x14ac:dyDescent="0.2">
      <c r="A2" s="2257" t="s">
        <v>1776</v>
      </c>
      <c r="B2" s="2258"/>
      <c r="C2" s="2258"/>
      <c r="D2" s="2258"/>
      <c r="E2" s="2259"/>
      <c r="F2" s="761" t="s">
        <v>960</v>
      </c>
      <c r="G2" s="762" t="s">
        <v>1773</v>
      </c>
      <c r="H2" s="762" t="s">
        <v>430</v>
      </c>
      <c r="I2" s="762" t="s">
        <v>1220</v>
      </c>
      <c r="J2" s="762" t="s">
        <v>1919</v>
      </c>
      <c r="K2" s="762" t="s">
        <v>140</v>
      </c>
    </row>
    <row r="3" spans="1:11" x14ac:dyDescent="0.2">
      <c r="A3" s="2260" t="s">
        <v>1698</v>
      </c>
      <c r="B3" s="2261"/>
      <c r="C3" s="2261"/>
      <c r="D3" s="2261"/>
      <c r="E3" s="2262"/>
      <c r="F3" s="763"/>
      <c r="G3" s="764"/>
      <c r="H3" s="764"/>
      <c r="I3" s="764"/>
      <c r="J3" s="765"/>
      <c r="K3" s="765"/>
    </row>
    <row r="4" spans="1:11" x14ac:dyDescent="0.2">
      <c r="A4" s="2263" t="s">
        <v>387</v>
      </c>
      <c r="B4" s="2264"/>
      <c r="C4" s="2264"/>
      <c r="D4" s="2264"/>
      <c r="E4" s="2210"/>
      <c r="F4" s="766"/>
      <c r="G4" s="767"/>
      <c r="H4" s="768"/>
      <c r="I4" s="767"/>
      <c r="J4" s="769"/>
      <c r="K4" s="769"/>
    </row>
    <row r="5" spans="1:11" x14ac:dyDescent="0.2">
      <c r="A5" s="2241" t="s">
        <v>1129</v>
      </c>
      <c r="B5" s="2242"/>
      <c r="C5" s="2242"/>
      <c r="D5" s="2242"/>
      <c r="E5" s="2243"/>
      <c r="F5" s="770" t="s">
        <v>903</v>
      </c>
      <c r="G5" s="771"/>
      <c r="H5" s="764">
        <v>12520</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2050</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v>5636</v>
      </c>
    </row>
    <row r="10" spans="1:11" x14ac:dyDescent="0.2">
      <c r="A10" s="2241" t="s">
        <v>1920</v>
      </c>
      <c r="B10" s="2242"/>
      <c r="C10" s="2242"/>
      <c r="D10" s="2242"/>
      <c r="E10" s="2244"/>
      <c r="F10" s="783" t="s">
        <v>917</v>
      </c>
      <c r="G10" s="782"/>
      <c r="H10" s="784"/>
      <c r="I10" s="764"/>
      <c r="J10" s="765"/>
      <c r="K10" s="765"/>
    </row>
    <row r="11" spans="1:11" x14ac:dyDescent="0.2">
      <c r="A11" s="2241" t="s">
        <v>162</v>
      </c>
      <c r="B11" s="2242"/>
      <c r="C11" s="2242"/>
      <c r="D11" s="2242"/>
      <c r="E11" s="2243"/>
      <c r="F11" s="770" t="s">
        <v>907</v>
      </c>
      <c r="G11" s="771"/>
      <c r="H11" s="764"/>
      <c r="I11" s="764"/>
      <c r="J11" s="765"/>
      <c r="K11" s="773"/>
    </row>
    <row r="12" spans="1:11" ht="13.5" thickBot="1" x14ac:dyDescent="0.25">
      <c r="A12" s="2268" t="s">
        <v>961</v>
      </c>
      <c r="B12" s="2269"/>
      <c r="C12" s="2269"/>
      <c r="D12" s="2269"/>
      <c r="E12" s="2270"/>
      <c r="F12" s="1778"/>
      <c r="G12" s="1779">
        <f>SUM(G5:G11)</f>
        <v>0</v>
      </c>
      <c r="H12" s="1779">
        <f>SUM(H5:H11)</f>
        <v>12520</v>
      </c>
      <c r="I12" s="1779">
        <f>SUM(I5:I11)</f>
        <v>0</v>
      </c>
      <c r="J12" s="1779">
        <f>SUM(J5:J11)</f>
        <v>0</v>
      </c>
      <c r="K12" s="1779">
        <f>SUM(K5:K11)</f>
        <v>7686</v>
      </c>
    </row>
    <row r="13" spans="1:11" ht="13.5" thickTop="1" x14ac:dyDescent="0.2">
      <c r="A13" s="2265" t="s">
        <v>388</v>
      </c>
      <c r="B13" s="2266"/>
      <c r="C13" s="2266"/>
      <c r="D13" s="2266"/>
      <c r="E13" s="2267"/>
      <c r="F13" s="785"/>
      <c r="G13" s="786"/>
      <c r="H13" s="787"/>
      <c r="I13" s="788"/>
      <c r="J13" s="788"/>
      <c r="K13" s="788"/>
    </row>
    <row r="14" spans="1:11" x14ac:dyDescent="0.2">
      <c r="A14" s="2248" t="s">
        <v>476</v>
      </c>
      <c r="B14" s="2248"/>
      <c r="C14" s="2248"/>
      <c r="D14" s="2248"/>
      <c r="E14" s="2249"/>
      <c r="F14" s="789" t="s">
        <v>909</v>
      </c>
      <c r="G14" s="782"/>
      <c r="H14" s="764">
        <v>12520</v>
      </c>
      <c r="I14" s="771"/>
      <c r="J14" s="773"/>
      <c r="K14" s="765">
        <v>7686</v>
      </c>
    </row>
    <row r="15" spans="1:11" x14ac:dyDescent="0.2">
      <c r="A15" s="2242" t="s">
        <v>4</v>
      </c>
      <c r="B15" s="2242"/>
      <c r="C15" s="2242"/>
      <c r="D15" s="2242"/>
      <c r="E15" s="2243"/>
      <c r="F15" s="789" t="s">
        <v>910</v>
      </c>
      <c r="G15" s="771"/>
      <c r="H15" s="764"/>
      <c r="I15" s="764"/>
      <c r="J15" s="765"/>
      <c r="K15" s="765"/>
    </row>
    <row r="16" spans="1:11" x14ac:dyDescent="0.2">
      <c r="A16" s="2242" t="s">
        <v>316</v>
      </c>
      <c r="B16" s="2242"/>
      <c r="C16" s="2242"/>
      <c r="D16" s="2242"/>
      <c r="E16" s="2243"/>
      <c r="F16" s="789" t="s">
        <v>980</v>
      </c>
      <c r="G16" s="772"/>
      <c r="H16" s="767"/>
      <c r="I16" s="767"/>
      <c r="J16" s="769"/>
      <c r="K16" s="769"/>
    </row>
    <row r="17" spans="1:11" x14ac:dyDescent="0.2">
      <c r="A17" s="2273" t="s">
        <v>992</v>
      </c>
      <c r="B17" s="2273"/>
      <c r="C17" s="2273"/>
      <c r="D17" s="2273"/>
      <c r="E17" s="2274"/>
      <c r="F17" s="790"/>
      <c r="G17" s="791"/>
      <c r="H17" s="792"/>
      <c r="I17" s="792"/>
      <c r="J17" s="793"/>
      <c r="K17" s="794"/>
    </row>
    <row r="18" spans="1:11" x14ac:dyDescent="0.2">
      <c r="A18" s="2252" t="s">
        <v>386</v>
      </c>
      <c r="B18" s="2253"/>
      <c r="C18" s="2253"/>
      <c r="D18" s="2253"/>
      <c r="E18" s="2254"/>
      <c r="F18" s="789" t="s">
        <v>989</v>
      </c>
      <c r="G18" s="782"/>
      <c r="H18" s="782"/>
      <c r="I18" s="782"/>
      <c r="J18" s="765"/>
      <c r="K18" s="795"/>
    </row>
    <row r="19" spans="1:11" ht="21.75" customHeight="1" x14ac:dyDescent="0.2">
      <c r="A19" s="2250" t="s">
        <v>1916</v>
      </c>
      <c r="B19" s="2250"/>
      <c r="C19" s="2250"/>
      <c r="D19" s="2250"/>
      <c r="E19" s="2251"/>
      <c r="F19" s="789" t="s">
        <v>990</v>
      </c>
      <c r="G19" s="782"/>
      <c r="H19" s="782"/>
      <c r="I19" s="782"/>
      <c r="J19" s="765"/>
      <c r="K19" s="795"/>
    </row>
    <row r="20" spans="1:11" x14ac:dyDescent="0.2">
      <c r="A20" s="2252" t="s">
        <v>1921</v>
      </c>
      <c r="B20" s="2253"/>
      <c r="C20" s="2253"/>
      <c r="D20" s="2253"/>
      <c r="E20" s="2254"/>
      <c r="F20" s="789" t="s">
        <v>991</v>
      </c>
      <c r="G20" s="782"/>
      <c r="H20" s="782"/>
      <c r="I20" s="782"/>
      <c r="J20" s="765"/>
      <c r="K20" s="795"/>
    </row>
    <row r="21" spans="1:11" ht="13.5" thickBot="1" x14ac:dyDescent="0.25">
      <c r="A21" s="2271" t="s">
        <v>659</v>
      </c>
      <c r="B21" s="2271"/>
      <c r="C21" s="2271"/>
      <c r="D21" s="2271"/>
      <c r="E21" s="2271"/>
      <c r="F21" s="1780"/>
      <c r="G21" s="792"/>
      <c r="H21" s="796"/>
      <c r="I21" s="796"/>
      <c r="J21" s="1781">
        <f>SUM(J18:J20)</f>
        <v>0</v>
      </c>
      <c r="K21" s="793"/>
    </row>
    <row r="22" spans="1:11" ht="13.5" thickTop="1" x14ac:dyDescent="0.2">
      <c r="A22" s="2242" t="s">
        <v>1922</v>
      </c>
      <c r="B22" s="2242"/>
      <c r="C22" s="2242"/>
      <c r="D22" s="2242"/>
      <c r="E22" s="2243"/>
      <c r="F22" s="789" t="s">
        <v>917</v>
      </c>
      <c r="G22" s="782"/>
      <c r="H22" s="764"/>
      <c r="I22" s="764"/>
      <c r="J22" s="797"/>
      <c r="K22" s="765"/>
    </row>
    <row r="23" spans="1:11" ht="13.5" thickBot="1" x14ac:dyDescent="0.25">
      <c r="A23" s="2272" t="s">
        <v>962</v>
      </c>
      <c r="B23" s="2271"/>
      <c r="C23" s="2271"/>
      <c r="D23" s="2271"/>
      <c r="E23" s="2271"/>
      <c r="F23" s="1782"/>
      <c r="G23" s="1779">
        <f>SUM(G14:G16,G21,G22)</f>
        <v>0</v>
      </c>
      <c r="H23" s="1779">
        <f>SUM(H14:H16,H21,H22)</f>
        <v>12520</v>
      </c>
      <c r="I23" s="1779">
        <f>SUM(I14:I16,I21,I22)</f>
        <v>0</v>
      </c>
      <c r="J23" s="1779">
        <f>SUM(J14:J16,J21,J22)</f>
        <v>0</v>
      </c>
      <c r="K23" s="1779">
        <f>SUM(K14:K16,K21,K22)</f>
        <v>7686</v>
      </c>
    </row>
    <row r="24" spans="1:11" ht="14.25" thickTop="1" thickBot="1" x14ac:dyDescent="0.25">
      <c r="A24" s="2272" t="s">
        <v>2026</v>
      </c>
      <c r="B24" s="2271"/>
      <c r="C24" s="2271"/>
      <c r="D24" s="2271"/>
      <c r="E24" s="2271"/>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2036</v>
      </c>
      <c r="B28" s="1905"/>
      <c r="C28" s="1905"/>
      <c r="D28" s="1905"/>
      <c r="E28" s="1906"/>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45"/>
      <c r="I31" s="2246"/>
      <c r="J31" s="2246"/>
      <c r="K31" s="2246"/>
    </row>
    <row r="32" spans="1:11" x14ac:dyDescent="0.2">
      <c r="A32" s="809"/>
      <c r="B32" s="237"/>
      <c r="C32" s="237"/>
      <c r="D32" s="237"/>
      <c r="E32" s="805"/>
      <c r="F32" s="811" t="s">
        <v>561</v>
      </c>
      <c r="G32" s="764"/>
      <c r="H32" s="2247"/>
      <c r="I32" s="2246"/>
      <c r="J32" s="2246"/>
      <c r="K32" s="2246"/>
    </row>
    <row r="33" spans="1:11" ht="1.5" customHeight="1" x14ac:dyDescent="0.2">
      <c r="A33" s="812" t="s">
        <v>1231</v>
      </c>
      <c r="B33" s="364"/>
      <c r="C33" s="364"/>
      <c r="D33" s="364"/>
      <c r="E33" s="364"/>
      <c r="F33" s="364"/>
      <c r="G33" s="813"/>
      <c r="H33" s="2247"/>
      <c r="I33" s="2246"/>
      <c r="J33" s="2246"/>
      <c r="K33" s="2246"/>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42" t="s">
        <v>562</v>
      </c>
      <c r="B41" s="2255"/>
      <c r="C41" s="2255"/>
      <c r="D41" s="2255"/>
      <c r="E41" s="2255"/>
      <c r="F41" s="225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8" t="s">
        <v>1774</v>
      </c>
    </row>
    <row r="47" spans="1:11" s="823" customFormat="1" ht="12.75" customHeight="1" x14ac:dyDescent="0.2">
      <c r="A47" s="821"/>
      <c r="B47" s="822" t="s">
        <v>1775</v>
      </c>
      <c r="E47" s="822"/>
      <c r="K47" s="824"/>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80" zoomScaleNormal="8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2035</v>
      </c>
      <c r="B1" s="2278"/>
      <c r="C1" s="2279"/>
      <c r="D1" s="826"/>
      <c r="E1" s="827"/>
      <c r="F1" s="827"/>
      <c r="G1" s="828"/>
      <c r="H1" s="829"/>
      <c r="I1" s="830"/>
      <c r="J1" s="2275"/>
      <c r="K1" s="2276"/>
      <c r="L1" s="2276"/>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47503</v>
      </c>
      <c r="D5" s="841"/>
      <c r="E5" s="841"/>
      <c r="F5" s="1781">
        <f>(C5+D5)-E5</f>
        <v>47503</v>
      </c>
      <c r="G5" s="837"/>
      <c r="H5" s="842"/>
      <c r="I5" s="842"/>
      <c r="J5" s="842"/>
      <c r="K5" s="793"/>
      <c r="L5" s="1790">
        <f>F5-K5</f>
        <v>47503</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8294159</v>
      </c>
      <c r="D8" s="844"/>
      <c r="E8" s="844"/>
      <c r="F8" s="1781">
        <f>(C8+D8)-E8</f>
        <v>8294159</v>
      </c>
      <c r="G8" s="843">
        <v>50</v>
      </c>
      <c r="H8" s="765">
        <v>3521558</v>
      </c>
      <c r="I8" s="765">
        <v>130212</v>
      </c>
      <c r="J8" s="765"/>
      <c r="K8" s="1790">
        <f>(H8+I8)-J8</f>
        <v>3651770</v>
      </c>
      <c r="L8" s="1790">
        <f>F8-K8</f>
        <v>4642389</v>
      </c>
    </row>
    <row r="9" spans="1:14" ht="14.25" thickTop="1" thickBot="1" x14ac:dyDescent="0.25">
      <c r="A9" s="778" t="s">
        <v>1181</v>
      </c>
      <c r="B9" s="840">
        <v>232</v>
      </c>
      <c r="C9" s="765"/>
      <c r="D9" s="765"/>
      <c r="E9" s="765"/>
      <c r="F9" s="1781">
        <f>(C9+D9)-E9</f>
        <v>0</v>
      </c>
      <c r="G9" s="843">
        <v>20</v>
      </c>
      <c r="H9" s="765">
        <v>0</v>
      </c>
      <c r="I9" s="765"/>
      <c r="J9" s="765"/>
      <c r="K9" s="1790">
        <f>(H9+I9)-J9</f>
        <v>0</v>
      </c>
      <c r="L9" s="1790">
        <f>F9-K9</f>
        <v>0</v>
      </c>
    </row>
    <row r="10" spans="1:14" ht="24" thickTop="1" thickBot="1" x14ac:dyDescent="0.25">
      <c r="A10" s="845" t="s">
        <v>1182</v>
      </c>
      <c r="B10" s="840">
        <v>240</v>
      </c>
      <c r="C10" s="846">
        <v>143747</v>
      </c>
      <c r="D10" s="846"/>
      <c r="E10" s="846"/>
      <c r="F10" s="1785">
        <f>(C10+D10)-E10</f>
        <v>143747</v>
      </c>
      <c r="G10" s="843">
        <v>20</v>
      </c>
      <c r="H10" s="847">
        <v>64110</v>
      </c>
      <c r="I10" s="847">
        <v>5489</v>
      </c>
      <c r="J10" s="847"/>
      <c r="K10" s="1790">
        <f>(H10+I10)-J10</f>
        <v>69599</v>
      </c>
      <c r="L10" s="1790">
        <f>F10-K10</f>
        <v>74148</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387021</v>
      </c>
      <c r="D12" s="844">
        <v>64605</v>
      </c>
      <c r="E12" s="844">
        <v>30447</v>
      </c>
      <c r="F12" s="1781">
        <f>(C12+D12)-E12</f>
        <v>421179</v>
      </c>
      <c r="G12" s="843">
        <v>10</v>
      </c>
      <c r="H12" s="765">
        <v>221398</v>
      </c>
      <c r="I12" s="765">
        <v>42118</v>
      </c>
      <c r="J12" s="765">
        <v>30447</v>
      </c>
      <c r="K12" s="1790">
        <f>(H12+I12)-J12</f>
        <v>233069</v>
      </c>
      <c r="L12" s="1790">
        <f>F12-K12</f>
        <v>188110</v>
      </c>
    </row>
    <row r="13" spans="1:14" ht="14.25" thickTop="1" thickBot="1" x14ac:dyDescent="0.25">
      <c r="A13" s="848" t="s">
        <v>1184</v>
      </c>
      <c r="B13" s="840">
        <v>252</v>
      </c>
      <c r="C13" s="844">
        <v>514002</v>
      </c>
      <c r="D13" s="844"/>
      <c r="E13" s="844"/>
      <c r="F13" s="1781">
        <f>(C13+D13)-E13</f>
        <v>514002</v>
      </c>
      <c r="G13" s="843">
        <v>5</v>
      </c>
      <c r="H13" s="765">
        <v>462766</v>
      </c>
      <c r="I13" s="765">
        <v>24313</v>
      </c>
      <c r="J13" s="765"/>
      <c r="K13" s="1790">
        <f>(H13+I13)-J13</f>
        <v>487079</v>
      </c>
      <c r="L13" s="1790">
        <f>F13-K13</f>
        <v>26923</v>
      </c>
    </row>
    <row r="14" spans="1:14" ht="14.25" thickTop="1" thickBot="1" x14ac:dyDescent="0.25">
      <c r="A14" s="848" t="s">
        <v>1185</v>
      </c>
      <c r="B14" s="840">
        <v>253</v>
      </c>
      <c r="C14" s="765">
        <v>15038</v>
      </c>
      <c r="D14" s="765"/>
      <c r="E14" s="765"/>
      <c r="F14" s="1781">
        <f>(C14+D14)-E14</f>
        <v>15038</v>
      </c>
      <c r="G14" s="843">
        <v>3</v>
      </c>
      <c r="H14" s="765">
        <v>15038</v>
      </c>
      <c r="I14" s="765"/>
      <c r="J14" s="765"/>
      <c r="K14" s="1790">
        <f>(H14+I14)-J14</f>
        <v>15038</v>
      </c>
      <c r="L14" s="1790">
        <f>F14-K14</f>
        <v>0</v>
      </c>
    </row>
    <row r="15" spans="1:14" ht="15" customHeight="1" thickTop="1" thickBot="1" x14ac:dyDescent="0.25">
      <c r="A15" s="1652" t="s">
        <v>549</v>
      </c>
      <c r="B15" s="1651">
        <v>260</v>
      </c>
      <c r="C15" s="844">
        <v>0</v>
      </c>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9401470</v>
      </c>
      <c r="D16" s="1781">
        <f>SUM(D3,D5:D6,D8:D10,D12:D15)</f>
        <v>64605</v>
      </c>
      <c r="E16" s="1781">
        <f>SUM(E3,E5:E6,E8:E10,E12:E15)</f>
        <v>30447</v>
      </c>
      <c r="F16" s="1781">
        <f>SUM(F3,F5:F6,F8:F10,F12:F15)</f>
        <v>9435628</v>
      </c>
      <c r="G16" s="843"/>
      <c r="H16" s="1781">
        <f>SUM(H3,H6,H8:H10,H12:H14,)</f>
        <v>4284870</v>
      </c>
      <c r="I16" s="1781">
        <f>SUM(I3,I6,I8:I10,I12:I14,)</f>
        <v>202132</v>
      </c>
      <c r="J16" s="1781">
        <f>SUM(J3,J6,J8:J10,J12:J14,)</f>
        <v>30447</v>
      </c>
      <c r="K16" s="1781">
        <f>(H16+I16)-J16</f>
        <v>4456555</v>
      </c>
      <c r="L16" s="1781">
        <f>F16-K16</f>
        <v>4979073</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202132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pane="bottomLeft"/>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3" t="s">
        <v>1699</v>
      </c>
      <c r="B1" s="2284"/>
      <c r="C1" s="2284"/>
      <c r="D1" s="2284"/>
      <c r="E1" s="2284"/>
      <c r="F1" s="2285"/>
      <c r="G1" s="855"/>
    </row>
    <row r="2" spans="1:7" ht="15" customHeight="1" thickBot="1" x14ac:dyDescent="0.25">
      <c r="A2" s="2286" t="s">
        <v>498</v>
      </c>
      <c r="B2" s="2287"/>
      <c r="C2" s="2287"/>
      <c r="D2" s="2287"/>
      <c r="E2" s="2287"/>
      <c r="F2" s="228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9"/>
      <c r="B5" s="2290"/>
      <c r="C5" s="2290"/>
      <c r="D5" s="2290"/>
      <c r="E5" s="2290"/>
      <c r="F5" s="2290"/>
    </row>
    <row r="6" spans="1:7" ht="13.5" customHeight="1" thickBot="1" x14ac:dyDescent="0.25">
      <c r="A6" s="2280" t="s">
        <v>1166</v>
      </c>
      <c r="B6" s="2281"/>
      <c r="C6" s="2281"/>
      <c r="D6" s="2281"/>
      <c r="E6" s="2281"/>
      <c r="F6" s="2282"/>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3459652</v>
      </c>
      <c r="G8" s="865"/>
    </row>
    <row r="9" spans="1:7" x14ac:dyDescent="0.2">
      <c r="A9" s="869" t="s">
        <v>480</v>
      </c>
      <c r="B9" s="870" t="s">
        <v>1989</v>
      </c>
      <c r="C9" s="871"/>
      <c r="D9" s="869" t="s">
        <v>522</v>
      </c>
      <c r="E9" s="868"/>
      <c r="F9" s="1934">
        <f>'Expenditures 15-22'!K151</f>
        <v>139352</v>
      </c>
      <c r="G9" s="872"/>
    </row>
    <row r="10" spans="1:7" x14ac:dyDescent="0.2">
      <c r="A10" s="869" t="s">
        <v>520</v>
      </c>
      <c r="B10" s="870" t="s">
        <v>1990</v>
      </c>
      <c r="C10" s="871"/>
      <c r="D10" s="869" t="s">
        <v>522</v>
      </c>
      <c r="E10" s="868"/>
      <c r="F10" s="1934">
        <f>'Expenditures 15-22'!K174</f>
        <v>104653</v>
      </c>
      <c r="G10" s="872"/>
    </row>
    <row r="11" spans="1:7" x14ac:dyDescent="0.2">
      <c r="A11" s="869" t="s">
        <v>481</v>
      </c>
      <c r="B11" s="870" t="s">
        <v>1991</v>
      </c>
      <c r="C11" s="871"/>
      <c r="D11" s="869" t="s">
        <v>522</v>
      </c>
      <c r="E11" s="868"/>
      <c r="F11" s="1934">
        <f>'Expenditures 15-22'!K210</f>
        <v>236027</v>
      </c>
      <c r="G11" s="872"/>
    </row>
    <row r="12" spans="1:7" x14ac:dyDescent="0.2">
      <c r="A12" s="869" t="s">
        <v>482</v>
      </c>
      <c r="B12" s="870" t="s">
        <v>1992</v>
      </c>
      <c r="C12" s="871"/>
      <c r="D12" s="869" t="s">
        <v>522</v>
      </c>
      <c r="E12" s="868"/>
      <c r="F12" s="1934">
        <f>'Expenditures 15-22'!K295</f>
        <v>163179</v>
      </c>
      <c r="G12" s="872"/>
    </row>
    <row r="13" spans="1:7" x14ac:dyDescent="0.2">
      <c r="A13" s="869" t="s">
        <v>108</v>
      </c>
      <c r="B13" s="870" t="s">
        <v>1993</v>
      </c>
      <c r="C13" s="871"/>
      <c r="D13" s="869" t="s">
        <v>522</v>
      </c>
      <c r="E13" s="868"/>
      <c r="F13" s="1934">
        <f>'Expenditures 15-22'!K342</f>
        <v>160734</v>
      </c>
      <c r="G13" s="873"/>
    </row>
    <row r="14" spans="1:7" ht="12" customHeight="1" thickBot="1" x14ac:dyDescent="0.25">
      <c r="A14" s="1791"/>
      <c r="B14" s="1792"/>
      <c r="C14" s="1793"/>
      <c r="D14" s="1794" t="s">
        <v>522</v>
      </c>
      <c r="E14" s="1795" t="s">
        <v>1015</v>
      </c>
      <c r="F14" s="1796">
        <f>SUM(F8:F13)</f>
        <v>4263597</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48672</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2593</v>
      </c>
      <c r="G52" s="865"/>
    </row>
    <row r="53" spans="1:7" x14ac:dyDescent="0.2">
      <c r="A53" s="869" t="s">
        <v>479</v>
      </c>
      <c r="B53" s="869" t="s">
        <v>1551</v>
      </c>
      <c r="C53" s="889">
        <f>'Expenditures 15-22'!B102</f>
        <v>4000</v>
      </c>
      <c r="D53" s="888" t="str">
        <f>'Expenditures 15-22'!A102</f>
        <v>Total Payments to Other Govt Units</v>
      </c>
      <c r="E53" s="868"/>
      <c r="F53" s="1938">
        <f>'Expenditures 15-22'!K102</f>
        <v>192306</v>
      </c>
      <c r="G53" s="865"/>
    </row>
    <row r="54" spans="1:7" x14ac:dyDescent="0.2">
      <c r="A54" s="869" t="s">
        <v>479</v>
      </c>
      <c r="B54" s="869" t="s">
        <v>1552</v>
      </c>
      <c r="C54" s="889" t="s">
        <v>1039</v>
      </c>
      <c r="D54" s="885" t="s">
        <v>1157</v>
      </c>
      <c r="E54" s="868"/>
      <c r="F54" s="1938">
        <f>'Expenditures 15-22'!G114</f>
        <v>64605</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8">
        <f>'Expenditures 15-22'!K139</f>
        <v>0</v>
      </c>
      <c r="G57" s="865"/>
    </row>
    <row r="58" spans="1:7" x14ac:dyDescent="0.2">
      <c r="A58" s="869" t="s">
        <v>480</v>
      </c>
      <c r="B58" s="869" t="s">
        <v>1995</v>
      </c>
      <c r="C58" s="886" t="s">
        <v>1039</v>
      </c>
      <c r="D58" s="885" t="s">
        <v>1157</v>
      </c>
      <c r="E58" s="868"/>
      <c r="F58" s="1940">
        <f>'Expenditures 15-22'!G151</f>
        <v>0</v>
      </c>
      <c r="G58" s="865"/>
    </row>
    <row r="59" spans="1:7" x14ac:dyDescent="0.2">
      <c r="A59" s="893" t="s">
        <v>480</v>
      </c>
      <c r="B59" s="856" t="s">
        <v>1996</v>
      </c>
      <c r="C59" s="894" t="s">
        <v>1039</v>
      </c>
      <c r="D59" s="856" t="s">
        <v>309</v>
      </c>
      <c r="F59" s="1941">
        <f>'Expenditures 15-22'!I151</f>
        <v>0</v>
      </c>
      <c r="G59" s="865"/>
    </row>
    <row r="60" spans="1:7" x14ac:dyDescent="0.2">
      <c r="A60" s="893" t="s">
        <v>520</v>
      </c>
      <c r="B60" s="856" t="s">
        <v>1997</v>
      </c>
      <c r="C60" s="894">
        <v>4000</v>
      </c>
      <c r="D60" s="856" t="s">
        <v>330</v>
      </c>
      <c r="F60" s="1939">
        <f>'Expenditures 15-22'!K160</f>
        <v>0</v>
      </c>
      <c r="G60" s="865"/>
    </row>
    <row r="61" spans="1:7" x14ac:dyDescent="0.2">
      <c r="A61" s="895" t="s">
        <v>520</v>
      </c>
      <c r="B61" s="895" t="s">
        <v>1998</v>
      </c>
      <c r="C61" s="896" t="str">
        <f>'Expenditures 15-22'!B170</f>
        <v>5300</v>
      </c>
      <c r="D61" s="897" t="s">
        <v>329</v>
      </c>
      <c r="E61" s="879"/>
      <c r="F61" s="1938">
        <f>'Expenditures 15-22'!K170</f>
        <v>73720</v>
      </c>
      <c r="G61" s="865"/>
    </row>
    <row r="62" spans="1:7" x14ac:dyDescent="0.2">
      <c r="A62" s="869" t="s">
        <v>481</v>
      </c>
      <c r="B62" s="869" t="s">
        <v>1999</v>
      </c>
      <c r="C62" s="886">
        <f>'Expenditures 15-22'!B185</f>
        <v>3000</v>
      </c>
      <c r="D62" s="876" t="s">
        <v>469</v>
      </c>
      <c r="E62" s="868"/>
      <c r="F62" s="1938">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8">
        <f>'Expenditures 15-22'!K196</f>
        <v>0</v>
      </c>
      <c r="G63" s="865"/>
    </row>
    <row r="64" spans="1:7" x14ac:dyDescent="0.2">
      <c r="A64" s="895" t="s">
        <v>481</v>
      </c>
      <c r="B64" s="895" t="s">
        <v>2001</v>
      </c>
      <c r="C64" s="896" t="str">
        <f>'Expenditures 15-22'!B206</f>
        <v>5300</v>
      </c>
      <c r="D64" s="892" t="s">
        <v>329</v>
      </c>
      <c r="E64" s="868"/>
      <c r="F64" s="1938">
        <f>'Expenditures 15-22'!K206</f>
        <v>0</v>
      </c>
      <c r="G64" s="865"/>
    </row>
    <row r="65" spans="1:8" x14ac:dyDescent="0.2">
      <c r="A65" s="869" t="s">
        <v>481</v>
      </c>
      <c r="B65" s="869" t="s">
        <v>2002</v>
      </c>
      <c r="C65" s="886" t="s">
        <v>1039</v>
      </c>
      <c r="D65" s="885" t="s">
        <v>1157</v>
      </c>
      <c r="E65" s="868"/>
      <c r="F65" s="1938">
        <f>'Expenditures 15-22'!G210</f>
        <v>0</v>
      </c>
      <c r="G65" s="865"/>
    </row>
    <row r="66" spans="1:8" x14ac:dyDescent="0.2">
      <c r="A66" s="869" t="s">
        <v>481</v>
      </c>
      <c r="B66" s="869" t="s">
        <v>2003</v>
      </c>
      <c r="C66" s="886" t="s">
        <v>1039</v>
      </c>
      <c r="D66" s="885" t="s">
        <v>309</v>
      </c>
      <c r="E66" s="868"/>
      <c r="F66" s="1938">
        <f>'Expenditures 15-22'!I210</f>
        <v>0</v>
      </c>
      <c r="G66" s="865"/>
    </row>
    <row r="67" spans="1:8" x14ac:dyDescent="0.2">
      <c r="A67" s="869" t="s">
        <v>482</v>
      </c>
      <c r="B67" s="869" t="s">
        <v>2004</v>
      </c>
      <c r="C67" s="886" t="str">
        <f>'Expenditures 15-22'!B216</f>
        <v>1125</v>
      </c>
      <c r="D67" s="892" t="str">
        <f>'Expenditures 15-22'!A216</f>
        <v>Pre-K Programs</v>
      </c>
      <c r="E67" s="868"/>
      <c r="F67" s="1938">
        <f>'Expenditures 15-22'!K216</f>
        <v>2496</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2006</v>
      </c>
      <c r="C70" s="886">
        <f>'Expenditures 15-22'!B221</f>
        <v>1300</v>
      </c>
      <c r="D70" s="887" t="str">
        <f>'Expenditures 15-22'!A221</f>
        <v>Adult/Continuing Education Programs</v>
      </c>
      <c r="E70" s="868"/>
      <c r="F70" s="1938">
        <f>'Expenditures 15-22'!K221</f>
        <v>0</v>
      </c>
      <c r="G70" s="865"/>
    </row>
    <row r="71" spans="1:8" x14ac:dyDescent="0.2">
      <c r="A71" s="869" t="s">
        <v>482</v>
      </c>
      <c r="B71" s="869" t="s">
        <v>2007</v>
      </c>
      <c r="C71" s="886">
        <f>'Expenditures 15-22'!B224</f>
        <v>1600</v>
      </c>
      <c r="D71" s="887" t="str">
        <f>'Expenditures 15-22'!A224</f>
        <v>Summer School Programs</v>
      </c>
      <c r="E71" s="868"/>
      <c r="F71" s="1938">
        <f>'Expenditures 15-22'!K224</f>
        <v>0</v>
      </c>
      <c r="G71" s="865"/>
    </row>
    <row r="72" spans="1:8" x14ac:dyDescent="0.2">
      <c r="A72" s="869" t="s">
        <v>482</v>
      </c>
      <c r="B72" s="869" t="s">
        <v>2008</v>
      </c>
      <c r="C72" s="886">
        <f>'Expenditures 15-22'!B280</f>
        <v>3000</v>
      </c>
      <c r="D72" s="876" t="s">
        <v>469</v>
      </c>
      <c r="E72" s="868"/>
      <c r="F72" s="1938">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8">
        <f>'Expenditures 15-22'!K285</f>
        <v>0</v>
      </c>
      <c r="G73" s="865"/>
    </row>
    <row r="74" spans="1:8" x14ac:dyDescent="0.2">
      <c r="A74" s="869" t="s">
        <v>456</v>
      </c>
      <c r="B74" s="869" t="s">
        <v>2010</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384392</v>
      </c>
      <c r="G76" s="865"/>
    </row>
    <row r="77" spans="1:8" s="893" customFormat="1" ht="12" customHeight="1" thickTop="1" thickBot="1" x14ac:dyDescent="0.25">
      <c r="A77" s="1800"/>
      <c r="B77" s="1797"/>
      <c r="C77" s="1793"/>
      <c r="D77" s="1798" t="s">
        <v>2012</v>
      </c>
      <c r="E77" s="1795"/>
      <c r="F77" s="1801">
        <f>(F14-F76)</f>
        <v>3879205</v>
      </c>
      <c r="G77" s="869"/>
    </row>
    <row r="78" spans="1:8" s="893" customFormat="1" ht="12" customHeight="1" thickTop="1" x14ac:dyDescent="0.2">
      <c r="A78" s="1802"/>
      <c r="B78" s="1797"/>
      <c r="C78" s="1793"/>
      <c r="D78" s="1798" t="s">
        <v>2059</v>
      </c>
      <c r="E78" s="1795"/>
      <c r="F78" s="898">
        <v>415.49</v>
      </c>
      <c r="G78" s="899"/>
      <c r="H78" s="869"/>
    </row>
    <row r="79" spans="1:8" s="893" customFormat="1" ht="12" customHeight="1" thickBot="1" x14ac:dyDescent="0.25">
      <c r="A79" s="1803"/>
      <c r="B79" s="1797"/>
      <c r="C79" s="1793"/>
      <c r="D79" s="1798" t="s">
        <v>2013</v>
      </c>
      <c r="E79" s="1795" t="s">
        <v>1015</v>
      </c>
      <c r="F79" s="1804">
        <f>IF(F78&gt;0,F77/F78," Complete Line 78")</f>
        <v>9336.4581578377329</v>
      </c>
      <c r="G79" s="869"/>
    </row>
    <row r="80" spans="1:8" s="893" customFormat="1" ht="8.25" customHeight="1" thickTop="1" x14ac:dyDescent="0.2">
      <c r="A80" s="900"/>
      <c r="B80" s="869"/>
      <c r="C80" s="871"/>
      <c r="D80" s="901"/>
      <c r="E80" s="868"/>
      <c r="F80" s="902"/>
      <c r="G80" s="869"/>
    </row>
    <row r="81" spans="1:7" s="893" customFormat="1" ht="12" thickBot="1" x14ac:dyDescent="0.25">
      <c r="A81" s="2280" t="s">
        <v>1167</v>
      </c>
      <c r="B81" s="2281"/>
      <c r="C81" s="2281"/>
      <c r="D81" s="2281"/>
      <c r="E81" s="2281"/>
      <c r="F81" s="228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10932</v>
      </c>
      <c r="G94" s="912"/>
    </row>
    <row r="95" spans="1:7" x14ac:dyDescent="0.2">
      <c r="A95" s="908" t="s">
        <v>142</v>
      </c>
      <c r="B95" s="908" t="s">
        <v>177</v>
      </c>
      <c r="C95" s="910">
        <v>1700</v>
      </c>
      <c r="D95" s="918" t="str">
        <f>'Revenues 9-14'!A82</f>
        <v>Total District/School Activity Income</v>
      </c>
      <c r="E95" s="906"/>
      <c r="F95" s="1810">
        <f>SUM('Revenues 9-14'!C82,'Revenues 9-14'!D82)</f>
        <v>35967</v>
      </c>
      <c r="G95" s="912"/>
    </row>
    <row r="96" spans="1:7" x14ac:dyDescent="0.2">
      <c r="A96" s="908" t="s">
        <v>479</v>
      </c>
      <c r="B96" s="908" t="s">
        <v>178</v>
      </c>
      <c r="C96" s="910">
        <f>'Revenues 9-14'!B84</f>
        <v>1811</v>
      </c>
      <c r="D96" s="911" t="str">
        <f>'Revenues 9-14'!A84</f>
        <v>Rentals - Regular Textbooks</v>
      </c>
      <c r="E96" s="906"/>
      <c r="F96" s="1810">
        <f>'Revenues 9-14'!C84</f>
        <v>11769</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0</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72719</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4685</v>
      </c>
      <c r="G106" s="912"/>
    </row>
    <row r="107" spans="1:7" x14ac:dyDescent="0.2">
      <c r="A107" s="921" t="s">
        <v>685</v>
      </c>
      <c r="B107" s="908" t="s">
        <v>843</v>
      </c>
      <c r="C107" s="920">
        <v>3300</v>
      </c>
      <c r="D107" s="911" t="str">
        <f>'Revenues 9-14'!A144</f>
        <v>Total Bilingual Ed</v>
      </c>
      <c r="E107" s="906"/>
      <c r="F107" s="1810">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10">
        <f>'Revenues 9-14'!C145</f>
        <v>3954</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5636</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249699</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5645</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226768</v>
      </c>
      <c r="G129" s="930"/>
    </row>
    <row r="130" spans="1:7" x14ac:dyDescent="0.2">
      <c r="A130" s="927" t="s">
        <v>689</v>
      </c>
      <c r="B130" s="927" t="s">
        <v>804</v>
      </c>
      <c r="C130" s="932">
        <v>4300</v>
      </c>
      <c r="D130" s="933" t="str">
        <f>'Revenues 9-14'!A211</f>
        <v>Total Title I</v>
      </c>
      <c r="E130" s="906"/>
      <c r="F130" s="1810">
        <f>SUM('Revenues 9-14'!C211,'Revenues 9-14'!D211,'Revenues 9-14'!F211,'Revenues 9-14'!G211)</f>
        <v>177745</v>
      </c>
      <c r="G130" s="930"/>
    </row>
    <row r="131" spans="1:7" x14ac:dyDescent="0.2">
      <c r="A131" s="927" t="s">
        <v>689</v>
      </c>
      <c r="B131" s="927" t="s">
        <v>805</v>
      </c>
      <c r="C131" s="932">
        <v>4400</v>
      </c>
      <c r="D131" s="933" t="str">
        <f>'Revenues 9-14'!A216</f>
        <v>Total Title IV</v>
      </c>
      <c r="E131" s="906"/>
      <c r="F131" s="1810">
        <f>SUM('Revenues 9-14'!C216,'Revenues 9-14'!D216,'Revenues 9-14'!F216,'Revenues 9-14'!G216)</f>
        <v>3469</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64909</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665</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27880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27880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25979</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4113</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4398</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2058</v>
      </c>
      <c r="C175" s="1945">
        <v>3100</v>
      </c>
      <c r="D175" s="1946" t="s">
        <v>2061</v>
      </c>
      <c r="E175" s="906"/>
      <c r="F175" s="1930">
        <v>112126</v>
      </c>
      <c r="G175" s="927"/>
    </row>
    <row r="176" spans="1:7" x14ac:dyDescent="0.2">
      <c r="A176" s="1943" t="s">
        <v>685</v>
      </c>
      <c r="B176" s="1944" t="s">
        <v>2058</v>
      </c>
      <c r="C176" s="1945">
        <v>3300</v>
      </c>
      <c r="D176" s="1946" t="s">
        <v>2062</v>
      </c>
      <c r="E176" s="906"/>
      <c r="F176" s="1930">
        <v>0</v>
      </c>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1050558</v>
      </c>
    </row>
    <row r="179" spans="1:7" ht="12" customHeight="1" x14ac:dyDescent="0.2">
      <c r="A179" s="1791"/>
      <c r="B179" s="1805"/>
      <c r="C179" s="1806"/>
      <c r="D179" s="1807" t="s">
        <v>2015</v>
      </c>
      <c r="E179" s="1808"/>
      <c r="F179" s="1810">
        <f>'PCTC-OEPP 27-28'!F77-F178</f>
        <v>2828647</v>
      </c>
    </row>
    <row r="180" spans="1:7" ht="12" customHeight="1" x14ac:dyDescent="0.2">
      <c r="A180" s="1791"/>
      <c r="B180" s="1805"/>
      <c r="C180" s="1806"/>
      <c r="D180" s="1807" t="s">
        <v>1924</v>
      </c>
      <c r="E180" s="1808"/>
      <c r="F180" s="1810">
        <f>'Cap Outlay Deprec 26'!I18</f>
        <v>202132</v>
      </c>
    </row>
    <row r="181" spans="1:7" ht="12" customHeight="1" x14ac:dyDescent="0.2">
      <c r="A181" s="1791"/>
      <c r="B181" s="1805"/>
      <c r="C181" s="1806"/>
      <c r="D181" s="1807" t="s">
        <v>2016</v>
      </c>
      <c r="E181" s="1808"/>
      <c r="F181" s="1810">
        <f>F179+F180</f>
        <v>3030779</v>
      </c>
    </row>
    <row r="182" spans="1:7" ht="12" customHeight="1" x14ac:dyDescent="0.2">
      <c r="A182" s="1791"/>
      <c r="B182" s="1811"/>
      <c r="C182" s="1806"/>
      <c r="D182" s="1807" t="str">
        <f>D78</f>
        <v>9 Month ADA from District Average Daily Attendance/Prior General State Aid Inquiry 2017-2018</v>
      </c>
      <c r="E182" s="1808"/>
      <c r="F182" s="1812">
        <f>'PCTC-OEPP 27-28'!F78</f>
        <v>415.49</v>
      </c>
      <c r="G182" s="930"/>
    </row>
    <row r="183" spans="1:7" ht="12" customHeight="1" thickBot="1" x14ac:dyDescent="0.25">
      <c r="A183" s="1791"/>
      <c r="B183" s="1811"/>
      <c r="C183" s="1806"/>
      <c r="D183" s="1807" t="s">
        <v>2017</v>
      </c>
      <c r="E183" s="1808" t="s">
        <v>1626</v>
      </c>
      <c r="F183" s="1813">
        <f>F181/F182</f>
        <v>7294.4691809670512</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49"/>
      <c r="D188" s="930"/>
      <c r="E188" s="949"/>
      <c r="F188" s="930"/>
      <c r="G188" s="930"/>
    </row>
    <row r="189" spans="1:7" x14ac:dyDescent="0.2">
      <c r="A189" s="1951" t="s">
        <v>2064</v>
      </c>
      <c r="B189" s="1952"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pane ySplit="16" topLeftCell="A17" activePane="bottomLeft" state="frozen"/>
      <selection pane="bottomLeft" activeCell="A19" sqref="A19"/>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4" t="s">
        <v>1925</v>
      </c>
      <c r="B4" s="2295"/>
      <c r="C4" s="2295"/>
      <c r="D4" s="2295"/>
      <c r="E4" s="2295"/>
      <c r="F4" s="2295"/>
      <c r="G4" s="2296"/>
    </row>
    <row r="5" spans="1:7" x14ac:dyDescent="0.25">
      <c r="A5" s="2297"/>
      <c r="B5" s="2298"/>
      <c r="C5" s="2298"/>
      <c r="D5" s="2298"/>
      <c r="E5" s="2298"/>
      <c r="F5" s="2298"/>
      <c r="G5" s="2299"/>
    </row>
    <row r="6" spans="1:7" ht="18.75" x14ac:dyDescent="0.25">
      <c r="A6" s="1555" t="s">
        <v>1926</v>
      </c>
      <c r="B6" s="1556"/>
      <c r="C6" s="1556"/>
      <c r="D6" s="1556"/>
      <c r="E6" s="1556"/>
      <c r="F6" s="1556"/>
      <c r="G6" s="1557"/>
    </row>
    <row r="7" spans="1:7" ht="30.75" customHeight="1" x14ac:dyDescent="0.25">
      <c r="A7" s="2300" t="s">
        <v>2075</v>
      </c>
      <c r="B7" s="2301"/>
      <c r="C7" s="2301"/>
      <c r="D7" s="2301"/>
      <c r="E7" s="2301"/>
      <c r="F7" s="2301"/>
      <c r="G7" s="2302"/>
    </row>
    <row r="8" spans="1:7" ht="15.75" customHeight="1" x14ac:dyDescent="0.25">
      <c r="A8" s="2303" t="s">
        <v>2024</v>
      </c>
      <c r="B8" s="2304"/>
      <c r="C8" s="2304"/>
      <c r="D8" s="2304"/>
      <c r="E8" s="2304"/>
      <c r="F8" s="2304"/>
      <c r="G8" s="2305"/>
    </row>
    <row r="9" spans="1:7" ht="35.25" customHeight="1" x14ac:dyDescent="0.25">
      <c r="A9" s="2300" t="s">
        <v>2023</v>
      </c>
      <c r="B9" s="2301"/>
      <c r="C9" s="2301"/>
      <c r="D9" s="2301"/>
      <c r="E9" s="2301"/>
      <c r="F9" s="2301"/>
      <c r="G9" s="2302"/>
    </row>
    <row r="10" spans="1:7" ht="15" customHeight="1" x14ac:dyDescent="0.25">
      <c r="A10" s="1558" t="s">
        <v>1927</v>
      </c>
      <c r="B10" s="1559"/>
      <c r="C10" s="1559"/>
      <c r="D10" s="1559"/>
      <c r="E10" s="1559"/>
      <c r="F10" s="1559"/>
      <c r="G10" s="1560"/>
    </row>
    <row r="11" spans="1:7" ht="17.25" customHeight="1" x14ac:dyDescent="0.25">
      <c r="A11" s="2300" t="s">
        <v>1941</v>
      </c>
      <c r="B11" s="2301"/>
      <c r="C11" s="2301"/>
      <c r="D11" s="2301"/>
      <c r="E11" s="2301"/>
      <c r="F11" s="2301"/>
      <c r="G11" s="2302"/>
    </row>
    <row r="12" spans="1:7" ht="15" customHeight="1" x14ac:dyDescent="0.25">
      <c r="A12" s="1558" t="s">
        <v>1932</v>
      </c>
      <c r="B12" s="1559"/>
      <c r="C12" s="1559"/>
      <c r="D12" s="1559"/>
      <c r="E12" s="1559"/>
      <c r="F12" s="1559"/>
      <c r="G12" s="1560"/>
    </row>
    <row r="13" spans="1:7" ht="32.25" customHeight="1" x14ac:dyDescent="0.25">
      <c r="A13" s="2291" t="s">
        <v>1933</v>
      </c>
      <c r="B13" s="2292"/>
      <c r="C13" s="2292"/>
      <c r="D13" s="2292"/>
      <c r="E13" s="2292"/>
      <c r="F13" s="2292"/>
      <c r="G13" s="2293"/>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hidden="1" x14ac:dyDescent="0.25">
      <c r="A17" s="1955"/>
      <c r="B17" s="1959"/>
      <c r="C17" s="1957"/>
      <c r="D17" s="1866"/>
      <c r="E17" s="1561">
        <f t="shared" ref="E17:E141" si="1">IF(D17&lt;=25000,D17,IF(D17&gt;25000,25000,0))</f>
        <v>0</v>
      </c>
      <c r="F17" s="1814">
        <f t="shared" si="0"/>
        <v>0</v>
      </c>
      <c r="G17" s="1815">
        <f>IF(F17=0,0,D17-F17)</f>
        <v>0</v>
      </c>
      <c r="H17" s="1668"/>
    </row>
    <row r="18" spans="1:8" hidden="1" x14ac:dyDescent="0.25">
      <c r="A18" s="1955"/>
      <c r="B18" s="1959"/>
      <c r="C18" s="195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962" t="s">
        <v>2147</v>
      </c>
      <c r="B19" s="1963" t="s">
        <v>2145</v>
      </c>
      <c r="C19" s="1957" t="s">
        <v>2103</v>
      </c>
      <c r="D19" s="1866">
        <v>1602</v>
      </c>
      <c r="E19" s="1561">
        <f t="shared" si="2"/>
        <v>1602</v>
      </c>
      <c r="F19" s="1814">
        <f t="shared" si="3"/>
        <v>1602</v>
      </c>
      <c r="G19" s="1815">
        <f t="shared" si="4"/>
        <v>0</v>
      </c>
    </row>
    <row r="20" spans="1:8" hidden="1" x14ac:dyDescent="0.25">
      <c r="A20" s="1955"/>
      <c r="B20" s="1959"/>
      <c r="C20" s="1957"/>
      <c r="D20" s="1866"/>
      <c r="E20" s="1561">
        <f t="shared" si="2"/>
        <v>0</v>
      </c>
      <c r="F20" s="1814">
        <f t="shared" si="3"/>
        <v>0</v>
      </c>
      <c r="G20" s="1815">
        <f t="shared" si="4"/>
        <v>0</v>
      </c>
    </row>
    <row r="21" spans="1:8" x14ac:dyDescent="0.25">
      <c r="A21" s="1962" t="s">
        <v>2144</v>
      </c>
      <c r="B21" s="1963" t="s">
        <v>2146</v>
      </c>
      <c r="C21" s="1957" t="s">
        <v>2104</v>
      </c>
      <c r="D21" s="1866">
        <v>7123.12</v>
      </c>
      <c r="E21" s="1561">
        <f t="shared" si="2"/>
        <v>7123.12</v>
      </c>
      <c r="F21" s="1814">
        <f t="shared" si="3"/>
        <v>7123.12</v>
      </c>
      <c r="G21" s="1815">
        <f t="shared" si="4"/>
        <v>0</v>
      </c>
    </row>
    <row r="22" spans="1:8" x14ac:dyDescent="0.25">
      <c r="A22" s="1962" t="s">
        <v>2148</v>
      </c>
      <c r="B22" s="1963" t="s">
        <v>2149</v>
      </c>
      <c r="C22" s="1957" t="s">
        <v>2104</v>
      </c>
      <c r="D22" s="1866">
        <v>23577</v>
      </c>
      <c r="E22" s="1561">
        <f t="shared" si="2"/>
        <v>23577</v>
      </c>
      <c r="F22" s="1814">
        <f t="shared" si="3"/>
        <v>23577</v>
      </c>
      <c r="G22" s="1815">
        <f t="shared" si="4"/>
        <v>0</v>
      </c>
    </row>
    <row r="23" spans="1:8" ht="30" x14ac:dyDescent="0.25">
      <c r="A23" s="1964" t="s">
        <v>2150</v>
      </c>
      <c r="B23" s="1959" t="s">
        <v>2126</v>
      </c>
      <c r="C23" s="1960" t="s">
        <v>2105</v>
      </c>
      <c r="D23" s="1866">
        <v>32115</v>
      </c>
      <c r="E23" s="1561">
        <f t="shared" si="2"/>
        <v>25000</v>
      </c>
      <c r="F23" s="1814">
        <f t="shared" si="3"/>
        <v>25000</v>
      </c>
      <c r="G23" s="1815">
        <f t="shared" si="4"/>
        <v>7115</v>
      </c>
    </row>
    <row r="24" spans="1:8" x14ac:dyDescent="0.25">
      <c r="A24" s="1955"/>
      <c r="B24" s="1956"/>
      <c r="C24" s="195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hidden="1" x14ac:dyDescent="0.25">
      <c r="A26" s="1674"/>
      <c r="B26" s="1868"/>
      <c r="C26" s="1675"/>
      <c r="D26" s="1866"/>
      <c r="E26" s="1561">
        <f t="shared" si="2"/>
        <v>0</v>
      </c>
      <c r="F26" s="1814">
        <f t="shared" si="3"/>
        <v>0</v>
      </c>
      <c r="G26" s="1815">
        <f t="shared" si="4"/>
        <v>0</v>
      </c>
    </row>
    <row r="27" spans="1:8" hidden="1" x14ac:dyDescent="0.25">
      <c r="A27" s="1674"/>
      <c r="B27" s="1868"/>
      <c r="C27" s="1675"/>
      <c r="D27" s="1866"/>
      <c r="E27" s="1561">
        <f t="shared" si="2"/>
        <v>0</v>
      </c>
      <c r="F27" s="1814">
        <f t="shared" si="3"/>
        <v>0</v>
      </c>
      <c r="G27" s="1815">
        <f t="shared" si="4"/>
        <v>0</v>
      </c>
    </row>
    <row r="28" spans="1:8" hidden="1" x14ac:dyDescent="0.25">
      <c r="A28" s="1674"/>
      <c r="B28" s="1868"/>
      <c r="C28" s="1675"/>
      <c r="D28" s="1866"/>
      <c r="E28" s="1561">
        <f t="shared" si="2"/>
        <v>0</v>
      </c>
      <c r="F28" s="1814">
        <f t="shared" si="3"/>
        <v>0</v>
      </c>
      <c r="G28" s="1815">
        <f t="shared" si="4"/>
        <v>0</v>
      </c>
    </row>
    <row r="29" spans="1:8" hidden="1" x14ac:dyDescent="0.25">
      <c r="A29" s="1674"/>
      <c r="B29" s="1868"/>
      <c r="C29" s="1675"/>
      <c r="D29" s="1866"/>
      <c r="E29" s="1561">
        <f t="shared" si="2"/>
        <v>0</v>
      </c>
      <c r="F29" s="1814">
        <f t="shared" si="3"/>
        <v>0</v>
      </c>
      <c r="G29" s="1815">
        <f t="shared" si="4"/>
        <v>0</v>
      </c>
    </row>
    <row r="30" spans="1:8" hidden="1" x14ac:dyDescent="0.25">
      <c r="A30" s="1674"/>
      <c r="B30" s="1868"/>
      <c r="C30" s="1675"/>
      <c r="D30" s="1866"/>
      <c r="E30" s="1561">
        <f t="shared" si="2"/>
        <v>0</v>
      </c>
      <c r="F30" s="1814">
        <f t="shared" si="3"/>
        <v>0</v>
      </c>
      <c r="G30" s="1815">
        <f t="shared" si="4"/>
        <v>0</v>
      </c>
    </row>
    <row r="31" spans="1:8" hidden="1" x14ac:dyDescent="0.25">
      <c r="A31" s="1674"/>
      <c r="B31" s="1868"/>
      <c r="C31" s="1675"/>
      <c r="D31" s="1866"/>
      <c r="E31" s="1561">
        <f t="shared" si="2"/>
        <v>0</v>
      </c>
      <c r="F31" s="1814">
        <f t="shared" si="3"/>
        <v>0</v>
      </c>
      <c r="G31" s="1815">
        <f t="shared" si="4"/>
        <v>0</v>
      </c>
    </row>
    <row r="32" spans="1:8" hidden="1" x14ac:dyDescent="0.25">
      <c r="A32" s="1674"/>
      <c r="B32" s="1868"/>
      <c r="C32" s="1675"/>
      <c r="D32" s="1866"/>
      <c r="E32" s="1561">
        <f t="shared" si="2"/>
        <v>0</v>
      </c>
      <c r="F32" s="1814">
        <f t="shared" si="3"/>
        <v>0</v>
      </c>
      <c r="G32" s="1815">
        <f t="shared" si="4"/>
        <v>0</v>
      </c>
    </row>
    <row r="33" spans="1:7" hidden="1" x14ac:dyDescent="0.25">
      <c r="A33" s="1674"/>
      <c r="B33" s="1868"/>
      <c r="C33" s="1675"/>
      <c r="D33" s="1866"/>
      <c r="E33" s="1561">
        <f t="shared" si="2"/>
        <v>0</v>
      </c>
      <c r="F33" s="1814">
        <f t="shared" si="3"/>
        <v>0</v>
      </c>
      <c r="G33" s="1815">
        <f t="shared" si="4"/>
        <v>0</v>
      </c>
    </row>
    <row r="34" spans="1:7" hidden="1" x14ac:dyDescent="0.25">
      <c r="A34" s="1674"/>
      <c r="B34" s="1868"/>
      <c r="C34" s="1675"/>
      <c r="D34" s="1866"/>
      <c r="E34" s="1561">
        <f t="shared" si="2"/>
        <v>0</v>
      </c>
      <c r="F34" s="1814">
        <f t="shared" si="3"/>
        <v>0</v>
      </c>
      <c r="G34" s="1815">
        <f t="shared" si="4"/>
        <v>0</v>
      </c>
    </row>
    <row r="35" spans="1:7" hidden="1" x14ac:dyDescent="0.25">
      <c r="A35" s="1674"/>
      <c r="B35" s="1868"/>
      <c r="C35" s="1675"/>
      <c r="D35" s="1866"/>
      <c r="E35" s="1561">
        <f t="shared" si="2"/>
        <v>0</v>
      </c>
      <c r="F35" s="1814">
        <f t="shared" si="3"/>
        <v>0</v>
      </c>
      <c r="G35" s="1815">
        <f t="shared" si="4"/>
        <v>0</v>
      </c>
    </row>
    <row r="36" spans="1:7" hidden="1" x14ac:dyDescent="0.25">
      <c r="A36" s="1674"/>
      <c r="B36" s="1868"/>
      <c r="C36" s="1675"/>
      <c r="D36" s="1866"/>
      <c r="E36" s="1561">
        <f t="shared" si="2"/>
        <v>0</v>
      </c>
      <c r="F36" s="1814">
        <f t="shared" si="3"/>
        <v>0</v>
      </c>
      <c r="G36" s="1815">
        <f t="shared" si="4"/>
        <v>0</v>
      </c>
    </row>
    <row r="37" spans="1:7" hidden="1" x14ac:dyDescent="0.25">
      <c r="A37" s="1674"/>
      <c r="B37" s="1868"/>
      <c r="C37" s="1675"/>
      <c r="D37" s="1866"/>
      <c r="E37" s="1561">
        <f t="shared" si="2"/>
        <v>0</v>
      </c>
      <c r="F37" s="1814">
        <f t="shared" si="3"/>
        <v>0</v>
      </c>
      <c r="G37" s="1815">
        <f t="shared" si="4"/>
        <v>0</v>
      </c>
    </row>
    <row r="38" spans="1:7" hidden="1" x14ac:dyDescent="0.25">
      <c r="A38" s="1674"/>
      <c r="B38" s="1688"/>
      <c r="C38" s="1675"/>
      <c r="D38" s="1866"/>
      <c r="E38" s="1561">
        <f t="shared" si="2"/>
        <v>0</v>
      </c>
      <c r="F38" s="1814">
        <f t="shared" si="3"/>
        <v>0</v>
      </c>
      <c r="G38" s="1815">
        <f t="shared" si="4"/>
        <v>0</v>
      </c>
    </row>
    <row r="39" spans="1:7" hidden="1" x14ac:dyDescent="0.25">
      <c r="A39" s="1674"/>
      <c r="B39" s="1688"/>
      <c r="C39" s="1675"/>
      <c r="D39" s="1866"/>
      <c r="E39" s="1561">
        <f t="shared" si="2"/>
        <v>0</v>
      </c>
      <c r="F39" s="1814">
        <f t="shared" si="3"/>
        <v>0</v>
      </c>
      <c r="G39" s="1815">
        <f t="shared" si="4"/>
        <v>0</v>
      </c>
    </row>
    <row r="40" spans="1:7" hidden="1" x14ac:dyDescent="0.25">
      <c r="A40" s="1674"/>
      <c r="B40" s="1688"/>
      <c r="C40" s="1675"/>
      <c r="D40" s="1866"/>
      <c r="E40" s="1561">
        <f t="shared" si="2"/>
        <v>0</v>
      </c>
      <c r="F40" s="1814">
        <f t="shared" si="3"/>
        <v>0</v>
      </c>
      <c r="G40" s="1815">
        <f t="shared" si="4"/>
        <v>0</v>
      </c>
    </row>
    <row r="41" spans="1:7" hidden="1" x14ac:dyDescent="0.25">
      <c r="A41" s="1674"/>
      <c r="B41" s="1688"/>
      <c r="C41" s="1675"/>
      <c r="D41" s="1866"/>
      <c r="E41" s="1561">
        <f t="shared" si="2"/>
        <v>0</v>
      </c>
      <c r="F41" s="1814">
        <f t="shared" si="3"/>
        <v>0</v>
      </c>
      <c r="G41" s="1815">
        <f t="shared" si="4"/>
        <v>0</v>
      </c>
    </row>
    <row r="42" spans="1:7" hidden="1" x14ac:dyDescent="0.25">
      <c r="A42" s="1674"/>
      <c r="B42" s="1688"/>
      <c r="C42" s="1675"/>
      <c r="D42" s="1866"/>
      <c r="E42" s="1561">
        <f t="shared" si="2"/>
        <v>0</v>
      </c>
      <c r="F42" s="1814">
        <f t="shared" si="3"/>
        <v>0</v>
      </c>
      <c r="G42" s="1815">
        <f t="shared" si="4"/>
        <v>0</v>
      </c>
    </row>
    <row r="43" spans="1:7" hidden="1" x14ac:dyDescent="0.25">
      <c r="A43" s="1674"/>
      <c r="B43" s="1688"/>
      <c r="C43" s="1675"/>
      <c r="D43" s="1866"/>
      <c r="E43" s="1561">
        <f t="shared" si="2"/>
        <v>0</v>
      </c>
      <c r="F43" s="1814">
        <f t="shared" si="3"/>
        <v>0</v>
      </c>
      <c r="G43" s="1815">
        <f t="shared" si="4"/>
        <v>0</v>
      </c>
    </row>
    <row r="44" spans="1:7" hidden="1" x14ac:dyDescent="0.25">
      <c r="A44" s="1674"/>
      <c r="B44" s="1688"/>
      <c r="C44" s="1675"/>
      <c r="D44" s="1866"/>
      <c r="E44" s="1561">
        <f t="shared" si="2"/>
        <v>0</v>
      </c>
      <c r="F44" s="1814">
        <f t="shared" si="3"/>
        <v>0</v>
      </c>
      <c r="G44" s="1815">
        <f t="shared" si="4"/>
        <v>0</v>
      </c>
    </row>
    <row r="45" spans="1:7" hidden="1" x14ac:dyDescent="0.25">
      <c r="A45" s="1674"/>
      <c r="B45" s="1688"/>
      <c r="C45" s="1675"/>
      <c r="D45" s="1866"/>
      <c r="E45" s="1561">
        <f t="shared" si="2"/>
        <v>0</v>
      </c>
      <c r="F45" s="1814">
        <f t="shared" si="3"/>
        <v>0</v>
      </c>
      <c r="G45" s="1815">
        <f t="shared" si="4"/>
        <v>0</v>
      </c>
    </row>
    <row r="46" spans="1:7" hidden="1" x14ac:dyDescent="0.25">
      <c r="A46" s="1674"/>
      <c r="B46" s="1688"/>
      <c r="C46" s="1675"/>
      <c r="D46" s="1866"/>
      <c r="E46" s="1561">
        <f t="shared" si="2"/>
        <v>0</v>
      </c>
      <c r="F46" s="1814">
        <f t="shared" si="3"/>
        <v>0</v>
      </c>
      <c r="G46" s="1815">
        <f t="shared" si="4"/>
        <v>0</v>
      </c>
    </row>
    <row r="47" spans="1:7" hidden="1" x14ac:dyDescent="0.25">
      <c r="A47" s="1674"/>
      <c r="B47" s="1688"/>
      <c r="C47" s="1675"/>
      <c r="D47" s="1866"/>
      <c r="E47" s="1561">
        <f t="shared" si="2"/>
        <v>0</v>
      </c>
      <c r="F47" s="1814">
        <f t="shared" si="3"/>
        <v>0</v>
      </c>
      <c r="G47" s="1815">
        <f t="shared" si="4"/>
        <v>0</v>
      </c>
    </row>
    <row r="48" spans="1:7" hidden="1" x14ac:dyDescent="0.25">
      <c r="A48" s="1674"/>
      <c r="B48" s="1688"/>
      <c r="C48" s="1675"/>
      <c r="D48" s="1866"/>
      <c r="E48" s="1561">
        <f t="shared" si="2"/>
        <v>0</v>
      </c>
      <c r="F48" s="1814">
        <f t="shared" si="3"/>
        <v>0</v>
      </c>
      <c r="G48" s="1815">
        <f t="shared" si="4"/>
        <v>0</v>
      </c>
    </row>
    <row r="49" spans="1:7" hidden="1" x14ac:dyDescent="0.25">
      <c r="A49" s="1674"/>
      <c r="B49" s="1688"/>
      <c r="C49" s="1675"/>
      <c r="D49" s="1866"/>
      <c r="E49" s="1561">
        <f t="shared" si="2"/>
        <v>0</v>
      </c>
      <c r="F49" s="1814">
        <f t="shared" si="3"/>
        <v>0</v>
      </c>
      <c r="G49" s="1815">
        <f t="shared" si="4"/>
        <v>0</v>
      </c>
    </row>
    <row r="50" spans="1:7" hidden="1" x14ac:dyDescent="0.25">
      <c r="A50" s="1674"/>
      <c r="B50" s="1688"/>
      <c r="C50" s="1675"/>
      <c r="D50" s="1866"/>
      <c r="E50" s="1561">
        <f t="shared" si="2"/>
        <v>0</v>
      </c>
      <c r="F50" s="1814">
        <f t="shared" si="3"/>
        <v>0</v>
      </c>
      <c r="G50" s="1815">
        <f t="shared" si="4"/>
        <v>0</v>
      </c>
    </row>
    <row r="51" spans="1:7" hidden="1" x14ac:dyDescent="0.25">
      <c r="A51" s="1674"/>
      <c r="B51" s="1688"/>
      <c r="C51" s="1675"/>
      <c r="D51" s="1866"/>
      <c r="E51" s="1561">
        <f t="shared" si="2"/>
        <v>0</v>
      </c>
      <c r="F51" s="1814">
        <f t="shared" si="3"/>
        <v>0</v>
      </c>
      <c r="G51" s="1815">
        <f t="shared" si="4"/>
        <v>0</v>
      </c>
    </row>
    <row r="52" spans="1:7" hidden="1" x14ac:dyDescent="0.25">
      <c r="A52" s="1674"/>
      <c r="B52" s="1688"/>
      <c r="C52" s="1675"/>
      <c r="D52" s="1866"/>
      <c r="E52" s="1561">
        <f t="shared" si="2"/>
        <v>0</v>
      </c>
      <c r="F52" s="1814">
        <f t="shared" si="3"/>
        <v>0</v>
      </c>
      <c r="G52" s="1815">
        <f t="shared" si="4"/>
        <v>0</v>
      </c>
    </row>
    <row r="53" spans="1:7" hidden="1" x14ac:dyDescent="0.25">
      <c r="A53" s="1674"/>
      <c r="B53" s="1688"/>
      <c r="C53" s="1675"/>
      <c r="D53" s="1866"/>
      <c r="E53" s="1561">
        <f t="shared" si="2"/>
        <v>0</v>
      </c>
      <c r="F53" s="1814">
        <f t="shared" si="3"/>
        <v>0</v>
      </c>
      <c r="G53" s="1815">
        <f t="shared" si="4"/>
        <v>0</v>
      </c>
    </row>
    <row r="54" spans="1:7" hidden="1" x14ac:dyDescent="0.25">
      <c r="A54" s="1674"/>
      <c r="B54" s="1688"/>
      <c r="C54" s="1675"/>
      <c r="D54" s="1866"/>
      <c r="E54" s="1561">
        <f t="shared" si="2"/>
        <v>0</v>
      </c>
      <c r="F54" s="1814">
        <f t="shared" si="3"/>
        <v>0</v>
      </c>
      <c r="G54" s="1815">
        <f t="shared" si="4"/>
        <v>0</v>
      </c>
    </row>
    <row r="55" spans="1:7" hidden="1" x14ac:dyDescent="0.25">
      <c r="A55" s="1674"/>
      <c r="B55" s="1688"/>
      <c r="C55" s="1675"/>
      <c r="D55" s="1866"/>
      <c r="E55" s="1561">
        <f t="shared" si="2"/>
        <v>0</v>
      </c>
      <c r="F55" s="1814">
        <f t="shared" si="3"/>
        <v>0</v>
      </c>
      <c r="G55" s="1815">
        <f t="shared" si="4"/>
        <v>0</v>
      </c>
    </row>
    <row r="56" spans="1:7" hidden="1" x14ac:dyDescent="0.25">
      <c r="A56" s="1674"/>
      <c r="B56" s="1688"/>
      <c r="C56" s="1675"/>
      <c r="D56" s="1866"/>
      <c r="E56" s="1561">
        <f t="shared" si="2"/>
        <v>0</v>
      </c>
      <c r="F56" s="1814">
        <f t="shared" si="3"/>
        <v>0</v>
      </c>
      <c r="G56" s="1815">
        <f t="shared" si="4"/>
        <v>0</v>
      </c>
    </row>
    <row r="57" spans="1:7" hidden="1" x14ac:dyDescent="0.25">
      <c r="A57" s="1674"/>
      <c r="B57" s="1688"/>
      <c r="C57" s="1675"/>
      <c r="D57" s="1866"/>
      <c r="E57" s="1561">
        <f t="shared" si="2"/>
        <v>0</v>
      </c>
      <c r="F57" s="1814">
        <f t="shared" si="3"/>
        <v>0</v>
      </c>
      <c r="G57" s="1815">
        <f t="shared" si="4"/>
        <v>0</v>
      </c>
    </row>
    <row r="58" spans="1:7" hidden="1" x14ac:dyDescent="0.25">
      <c r="A58" s="1674"/>
      <c r="B58" s="1688"/>
      <c r="C58" s="1675"/>
      <c r="D58" s="1866"/>
      <c r="E58" s="1561">
        <f t="shared" si="2"/>
        <v>0</v>
      </c>
      <c r="F58" s="1814">
        <f t="shared" si="3"/>
        <v>0</v>
      </c>
      <c r="G58" s="1815">
        <f t="shared" si="4"/>
        <v>0</v>
      </c>
    </row>
    <row r="59" spans="1:7" hidden="1" x14ac:dyDescent="0.25">
      <c r="A59" s="1674"/>
      <c r="B59" s="1688"/>
      <c r="C59" s="1675"/>
      <c r="D59" s="1866"/>
      <c r="E59" s="1561">
        <f t="shared" si="2"/>
        <v>0</v>
      </c>
      <c r="F59" s="1814">
        <f t="shared" si="3"/>
        <v>0</v>
      </c>
      <c r="G59" s="1815">
        <f t="shared" si="4"/>
        <v>0</v>
      </c>
    </row>
    <row r="60" spans="1:7" hidden="1" x14ac:dyDescent="0.25">
      <c r="A60" s="1674"/>
      <c r="B60" s="1688"/>
      <c r="C60" s="1675"/>
      <c r="D60" s="1866"/>
      <c r="E60" s="1561">
        <f t="shared" si="2"/>
        <v>0</v>
      </c>
      <c r="F60" s="1814">
        <f t="shared" si="3"/>
        <v>0</v>
      </c>
      <c r="G60" s="1815">
        <f t="shared" si="4"/>
        <v>0</v>
      </c>
    </row>
    <row r="61" spans="1:7" hidden="1" x14ac:dyDescent="0.25">
      <c r="A61" s="1674"/>
      <c r="B61" s="1688"/>
      <c r="C61" s="1675"/>
      <c r="D61" s="1866"/>
      <c r="E61" s="1561">
        <f t="shared" si="2"/>
        <v>0</v>
      </c>
      <c r="F61" s="1814">
        <f t="shared" si="3"/>
        <v>0</v>
      </c>
      <c r="G61" s="1815">
        <f t="shared" si="4"/>
        <v>0</v>
      </c>
    </row>
    <row r="62" spans="1:7" hidden="1" x14ac:dyDescent="0.25">
      <c r="A62" s="1674"/>
      <c r="B62" s="1688"/>
      <c r="C62" s="1675"/>
      <c r="D62" s="1866"/>
      <c r="E62" s="1561">
        <f t="shared" si="2"/>
        <v>0</v>
      </c>
      <c r="F62" s="1814">
        <f t="shared" si="3"/>
        <v>0</v>
      </c>
      <c r="G62" s="1815">
        <f t="shared" si="4"/>
        <v>0</v>
      </c>
    </row>
    <row r="63" spans="1:7" hidden="1" x14ac:dyDescent="0.25">
      <c r="A63" s="1674"/>
      <c r="B63" s="1688"/>
      <c r="C63" s="1675"/>
      <c r="D63" s="1866"/>
      <c r="E63" s="1561">
        <f t="shared" si="2"/>
        <v>0</v>
      </c>
      <c r="F63" s="1814">
        <f t="shared" si="3"/>
        <v>0</v>
      </c>
      <c r="G63" s="1815">
        <f t="shared" si="4"/>
        <v>0</v>
      </c>
    </row>
    <row r="64" spans="1:7" hidden="1" x14ac:dyDescent="0.25">
      <c r="A64" s="1676"/>
      <c r="B64" s="1688"/>
      <c r="C64" s="1677"/>
      <c r="D64" s="1866"/>
      <c r="E64" s="1561">
        <f t="shared" si="2"/>
        <v>0</v>
      </c>
      <c r="F64" s="1814">
        <f t="shared" si="3"/>
        <v>0</v>
      </c>
      <c r="G64" s="1815">
        <f t="shared" si="4"/>
        <v>0</v>
      </c>
    </row>
    <row r="65" spans="1:7" hidden="1" x14ac:dyDescent="0.25">
      <c r="A65" s="1674"/>
      <c r="B65" s="1688"/>
      <c r="C65" s="1675"/>
      <c r="D65" s="1866"/>
      <c r="E65" s="1561">
        <f t="shared" si="2"/>
        <v>0</v>
      </c>
      <c r="F65" s="1814">
        <f t="shared" si="3"/>
        <v>0</v>
      </c>
      <c r="G65" s="1815">
        <f t="shared" si="4"/>
        <v>0</v>
      </c>
    </row>
    <row r="66" spans="1:7" hidden="1" x14ac:dyDescent="0.25">
      <c r="A66" s="1674"/>
      <c r="B66" s="1688"/>
      <c r="C66" s="1675"/>
      <c r="D66" s="1866"/>
      <c r="E66" s="1561">
        <f t="shared" si="2"/>
        <v>0</v>
      </c>
      <c r="F66" s="1814">
        <f t="shared" si="3"/>
        <v>0</v>
      </c>
      <c r="G66" s="1815">
        <f t="shared" si="4"/>
        <v>0</v>
      </c>
    </row>
    <row r="67" spans="1:7" hidden="1" x14ac:dyDescent="0.25">
      <c r="A67" s="1674"/>
      <c r="B67" s="1688"/>
      <c r="C67" s="1675"/>
      <c r="D67" s="1866"/>
      <c r="E67" s="1561">
        <f t="shared" si="2"/>
        <v>0</v>
      </c>
      <c r="F67" s="1814">
        <f t="shared" si="3"/>
        <v>0</v>
      </c>
      <c r="G67" s="1815">
        <f t="shared" si="4"/>
        <v>0</v>
      </c>
    </row>
    <row r="68" spans="1:7" hidden="1" x14ac:dyDescent="0.25">
      <c r="A68" s="1674"/>
      <c r="B68" s="1688"/>
      <c r="C68" s="1675"/>
      <c r="D68" s="1866"/>
      <c r="E68" s="1561">
        <f t="shared" si="2"/>
        <v>0</v>
      </c>
      <c r="F68" s="1814">
        <f t="shared" si="3"/>
        <v>0</v>
      </c>
      <c r="G68" s="1815">
        <f t="shared" si="4"/>
        <v>0</v>
      </c>
    </row>
    <row r="69" spans="1:7" hidden="1" x14ac:dyDescent="0.25">
      <c r="A69" s="1674"/>
      <c r="B69" s="1688"/>
      <c r="C69" s="1675"/>
      <c r="D69" s="1866"/>
      <c r="E69" s="1561">
        <f t="shared" si="2"/>
        <v>0</v>
      </c>
      <c r="F69" s="1814">
        <f t="shared" si="3"/>
        <v>0</v>
      </c>
      <c r="G69" s="1815">
        <f t="shared" si="4"/>
        <v>0</v>
      </c>
    </row>
    <row r="70" spans="1:7" hidden="1" x14ac:dyDescent="0.25">
      <c r="A70" s="1674"/>
      <c r="B70" s="1688"/>
      <c r="C70" s="1675"/>
      <c r="D70" s="1866"/>
      <c r="E70" s="1561">
        <f t="shared" si="2"/>
        <v>0</v>
      </c>
      <c r="F70" s="1814">
        <f t="shared" si="3"/>
        <v>0</v>
      </c>
      <c r="G70" s="1815">
        <f t="shared" si="4"/>
        <v>0</v>
      </c>
    </row>
    <row r="71" spans="1:7" hidden="1" x14ac:dyDescent="0.25">
      <c r="A71" s="1674"/>
      <c r="B71" s="1688"/>
      <c r="C71" s="1675"/>
      <c r="D71" s="1866"/>
      <c r="E71" s="1561">
        <f t="shared" si="2"/>
        <v>0</v>
      </c>
      <c r="F71" s="1814">
        <f t="shared" si="3"/>
        <v>0</v>
      </c>
      <c r="G71" s="1815">
        <f t="shared" si="4"/>
        <v>0</v>
      </c>
    </row>
    <row r="72" spans="1:7" hidden="1" x14ac:dyDescent="0.25">
      <c r="A72" s="1674"/>
      <c r="B72" s="1688"/>
      <c r="C72" s="1675"/>
      <c r="D72" s="1866"/>
      <c r="E72" s="1561">
        <f t="shared" si="2"/>
        <v>0</v>
      </c>
      <c r="F72" s="1814">
        <f t="shared" si="3"/>
        <v>0</v>
      </c>
      <c r="G72" s="1815">
        <f t="shared" si="4"/>
        <v>0</v>
      </c>
    </row>
    <row r="73" spans="1:7" hidden="1"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hidden="1" x14ac:dyDescent="0.25">
      <c r="A74" s="1674"/>
      <c r="B74" s="1688"/>
      <c r="C74" s="1675"/>
      <c r="D74" s="1866"/>
      <c r="E74" s="1561">
        <f t="shared" si="5"/>
        <v>0</v>
      </c>
      <c r="F74" s="1814">
        <f t="shared" si="6"/>
        <v>0</v>
      </c>
      <c r="G74" s="1815">
        <f t="shared" si="7"/>
        <v>0</v>
      </c>
    </row>
    <row r="75" spans="1:7" hidden="1" x14ac:dyDescent="0.25">
      <c r="A75" s="1674"/>
      <c r="B75" s="1688"/>
      <c r="C75" s="1675"/>
      <c r="D75" s="1866"/>
      <c r="E75" s="1561">
        <f t="shared" si="5"/>
        <v>0</v>
      </c>
      <c r="F75" s="1814">
        <f t="shared" si="6"/>
        <v>0</v>
      </c>
      <c r="G75" s="1815">
        <f t="shared" si="7"/>
        <v>0</v>
      </c>
    </row>
    <row r="76" spans="1:7" hidden="1" x14ac:dyDescent="0.25">
      <c r="A76" s="1674"/>
      <c r="B76" s="1688"/>
      <c r="C76" s="1675"/>
      <c r="D76" s="1866"/>
      <c r="E76" s="1561">
        <f t="shared" si="5"/>
        <v>0</v>
      </c>
      <c r="F76" s="1814">
        <f t="shared" si="6"/>
        <v>0</v>
      </c>
      <c r="G76" s="1815">
        <f t="shared" si="7"/>
        <v>0</v>
      </c>
    </row>
    <row r="77" spans="1:7" hidden="1" x14ac:dyDescent="0.25">
      <c r="A77" s="1674"/>
      <c r="B77" s="1688"/>
      <c r="C77" s="1675"/>
      <c r="D77" s="1866"/>
      <c r="E77" s="1561">
        <f t="shared" si="5"/>
        <v>0</v>
      </c>
      <c r="F77" s="1814">
        <f t="shared" si="6"/>
        <v>0</v>
      </c>
      <c r="G77" s="1815">
        <f t="shared" si="7"/>
        <v>0</v>
      </c>
    </row>
    <row r="78" spans="1:7" hidden="1" x14ac:dyDescent="0.25">
      <c r="A78" s="1674"/>
      <c r="B78" s="1688"/>
      <c r="C78" s="1675"/>
      <c r="D78" s="1866"/>
      <c r="E78" s="1561">
        <f t="shared" si="5"/>
        <v>0</v>
      </c>
      <c r="F78" s="1814">
        <f t="shared" si="6"/>
        <v>0</v>
      </c>
      <c r="G78" s="1815">
        <f t="shared" si="7"/>
        <v>0</v>
      </c>
    </row>
    <row r="79" spans="1:7" hidden="1" x14ac:dyDescent="0.25">
      <c r="A79" s="1674"/>
      <c r="B79" s="1688"/>
      <c r="C79" s="1675"/>
      <c r="D79" s="1866"/>
      <c r="E79" s="1561">
        <f t="shared" si="5"/>
        <v>0</v>
      </c>
      <c r="F79" s="1814">
        <f t="shared" si="6"/>
        <v>0</v>
      </c>
      <c r="G79" s="1815">
        <f t="shared" si="7"/>
        <v>0</v>
      </c>
    </row>
    <row r="80" spans="1:7" hidden="1" x14ac:dyDescent="0.25">
      <c r="A80" s="1674"/>
      <c r="B80" s="1688"/>
      <c r="C80" s="1675"/>
      <c r="D80" s="1866"/>
      <c r="E80" s="1561">
        <f t="shared" si="5"/>
        <v>0</v>
      </c>
      <c r="F80" s="1814">
        <f t="shared" si="6"/>
        <v>0</v>
      </c>
      <c r="G80" s="1815">
        <f t="shared" si="7"/>
        <v>0</v>
      </c>
    </row>
    <row r="81" spans="1:7" hidden="1" x14ac:dyDescent="0.25">
      <c r="A81" s="1674"/>
      <c r="B81" s="1688"/>
      <c r="C81" s="1675"/>
      <c r="D81" s="1866"/>
      <c r="E81" s="1561">
        <f t="shared" si="5"/>
        <v>0</v>
      </c>
      <c r="F81" s="1814">
        <f t="shared" si="6"/>
        <v>0</v>
      </c>
      <c r="G81" s="1815">
        <f t="shared" si="7"/>
        <v>0</v>
      </c>
    </row>
    <row r="82" spans="1:7" hidden="1" x14ac:dyDescent="0.25">
      <c r="A82" s="1674"/>
      <c r="B82" s="1688"/>
      <c r="C82" s="1675"/>
      <c r="D82" s="1866"/>
      <c r="E82" s="1561">
        <f t="shared" si="5"/>
        <v>0</v>
      </c>
      <c r="F82" s="1814">
        <f t="shared" si="6"/>
        <v>0</v>
      </c>
      <c r="G82" s="1815">
        <f t="shared" si="7"/>
        <v>0</v>
      </c>
    </row>
    <row r="83" spans="1:7" hidden="1" x14ac:dyDescent="0.25">
      <c r="A83" s="1674"/>
      <c r="B83" s="1688"/>
      <c r="C83" s="1675"/>
      <c r="D83" s="1866"/>
      <c r="E83" s="1561">
        <f t="shared" si="5"/>
        <v>0</v>
      </c>
      <c r="F83" s="1814">
        <f t="shared" si="6"/>
        <v>0</v>
      </c>
      <c r="G83" s="1815">
        <f t="shared" si="7"/>
        <v>0</v>
      </c>
    </row>
    <row r="84" spans="1:7" hidden="1" x14ac:dyDescent="0.25">
      <c r="A84" s="1674"/>
      <c r="B84" s="1688"/>
      <c r="C84" s="1675"/>
      <c r="D84" s="1866"/>
      <c r="E84" s="1561">
        <f t="shared" si="5"/>
        <v>0</v>
      </c>
      <c r="F84" s="1814">
        <f t="shared" si="6"/>
        <v>0</v>
      </c>
      <c r="G84" s="1815">
        <f t="shared" si="7"/>
        <v>0</v>
      </c>
    </row>
    <row r="85" spans="1:7" hidden="1" x14ac:dyDescent="0.25">
      <c r="A85" s="1674"/>
      <c r="B85" s="1688"/>
      <c r="C85" s="1675"/>
      <c r="D85" s="1866"/>
      <c r="E85" s="1561">
        <f t="shared" si="2"/>
        <v>0</v>
      </c>
      <c r="F85" s="1814">
        <f t="shared" si="3"/>
        <v>0</v>
      </c>
      <c r="G85" s="1815">
        <f t="shared" si="4"/>
        <v>0</v>
      </c>
    </row>
    <row r="86" spans="1:7" hidden="1" x14ac:dyDescent="0.25">
      <c r="A86" s="1674"/>
      <c r="B86" s="1688"/>
      <c r="C86" s="1675"/>
      <c r="D86" s="1866"/>
      <c r="E86" s="1561">
        <f t="shared" si="2"/>
        <v>0</v>
      </c>
      <c r="F86" s="1814">
        <f t="shared" si="3"/>
        <v>0</v>
      </c>
      <c r="G86" s="1815">
        <f t="shared" si="4"/>
        <v>0</v>
      </c>
    </row>
    <row r="87" spans="1:7" hidden="1" x14ac:dyDescent="0.25">
      <c r="A87" s="1674"/>
      <c r="B87" s="1688"/>
      <c r="C87" s="1675"/>
      <c r="D87" s="1866"/>
      <c r="E87" s="1561">
        <f t="shared" si="2"/>
        <v>0</v>
      </c>
      <c r="F87" s="1814">
        <f t="shared" si="3"/>
        <v>0</v>
      </c>
      <c r="G87" s="1815">
        <f t="shared" si="4"/>
        <v>0</v>
      </c>
    </row>
    <row r="88" spans="1:7" hidden="1" x14ac:dyDescent="0.25">
      <c r="A88" s="1674"/>
      <c r="B88" s="1688"/>
      <c r="C88" s="1675"/>
      <c r="D88" s="1866"/>
      <c r="E88" s="1561">
        <f t="shared" si="2"/>
        <v>0</v>
      </c>
      <c r="F88" s="1814">
        <f t="shared" si="3"/>
        <v>0</v>
      </c>
      <c r="G88" s="1815">
        <f t="shared" si="4"/>
        <v>0</v>
      </c>
    </row>
    <row r="89" spans="1:7" hidden="1" x14ac:dyDescent="0.25">
      <c r="A89" s="1674"/>
      <c r="B89" s="1688"/>
      <c r="C89" s="1675"/>
      <c r="D89" s="1866"/>
      <c r="E89" s="1561">
        <f t="shared" si="2"/>
        <v>0</v>
      </c>
      <c r="F89" s="1814">
        <f t="shared" si="3"/>
        <v>0</v>
      </c>
      <c r="G89" s="1815">
        <f t="shared" si="4"/>
        <v>0</v>
      </c>
    </row>
    <row r="90" spans="1:7" hidden="1" x14ac:dyDescent="0.25">
      <c r="A90" s="1674"/>
      <c r="B90" s="1688"/>
      <c r="C90" s="1675"/>
      <c r="D90" s="1866"/>
      <c r="E90" s="1561">
        <f t="shared" si="2"/>
        <v>0</v>
      </c>
      <c r="F90" s="1814">
        <f t="shared" si="3"/>
        <v>0</v>
      </c>
      <c r="G90" s="1815">
        <f t="shared" si="4"/>
        <v>0</v>
      </c>
    </row>
    <row r="91" spans="1:7" hidden="1" x14ac:dyDescent="0.25">
      <c r="A91" s="1674"/>
      <c r="B91" s="1688"/>
      <c r="C91" s="1675"/>
      <c r="D91" s="1866"/>
      <c r="E91" s="1561">
        <f t="shared" si="2"/>
        <v>0</v>
      </c>
      <c r="F91" s="1814">
        <f t="shared" si="3"/>
        <v>0</v>
      </c>
      <c r="G91" s="1815">
        <f t="shared" si="4"/>
        <v>0</v>
      </c>
    </row>
    <row r="92" spans="1:7" hidden="1" x14ac:dyDescent="0.25">
      <c r="A92" s="1674"/>
      <c r="B92" s="1688"/>
      <c r="C92" s="1675"/>
      <c r="D92" s="1866"/>
      <c r="E92" s="1561">
        <f t="shared" si="2"/>
        <v>0</v>
      </c>
      <c r="F92" s="1814">
        <f t="shared" si="3"/>
        <v>0</v>
      </c>
      <c r="G92" s="1815">
        <f t="shared" si="4"/>
        <v>0</v>
      </c>
    </row>
    <row r="93" spans="1:7" hidden="1"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hidden="1" x14ac:dyDescent="0.25">
      <c r="A94" s="1674"/>
      <c r="B94" s="1688"/>
      <c r="C94" s="1675"/>
      <c r="D94" s="1866"/>
      <c r="E94" s="1561">
        <f t="shared" si="2"/>
        <v>0</v>
      </c>
      <c r="F94" s="1814">
        <f t="shared" si="3"/>
        <v>0</v>
      </c>
      <c r="G94" s="1815">
        <f t="shared" si="4"/>
        <v>0</v>
      </c>
    </row>
    <row r="95" spans="1:7" hidden="1"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hidden="1" x14ac:dyDescent="0.25">
      <c r="A96" s="1674"/>
      <c r="B96" s="1688"/>
      <c r="C96" s="1675"/>
      <c r="D96" s="1866"/>
      <c r="E96" s="1561">
        <f t="shared" si="11"/>
        <v>0</v>
      </c>
      <c r="F96" s="1814">
        <f t="shared" si="12"/>
        <v>0</v>
      </c>
      <c r="G96" s="1815">
        <f t="shared" si="13"/>
        <v>0</v>
      </c>
    </row>
    <row r="97" spans="1:7" hidden="1" x14ac:dyDescent="0.25">
      <c r="A97" s="1674"/>
      <c r="B97" s="1688"/>
      <c r="C97" s="1675"/>
      <c r="D97" s="1866"/>
      <c r="E97" s="1561">
        <f t="shared" si="11"/>
        <v>0</v>
      </c>
      <c r="F97" s="1814">
        <f t="shared" si="12"/>
        <v>0</v>
      </c>
      <c r="G97" s="1815">
        <f t="shared" si="13"/>
        <v>0</v>
      </c>
    </row>
    <row r="98" spans="1:7" hidden="1" x14ac:dyDescent="0.25">
      <c r="A98" s="1674"/>
      <c r="B98" s="1688"/>
      <c r="C98" s="1675"/>
      <c r="D98" s="1866"/>
      <c r="E98" s="1561">
        <f t="shared" si="11"/>
        <v>0</v>
      </c>
      <c r="F98" s="1814">
        <f t="shared" si="12"/>
        <v>0</v>
      </c>
      <c r="G98" s="1815">
        <f t="shared" si="13"/>
        <v>0</v>
      </c>
    </row>
    <row r="99" spans="1:7" hidden="1"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hidden="1"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idden="1" x14ac:dyDescent="0.25">
      <c r="A101" s="1674"/>
      <c r="B101" s="1688"/>
      <c r="C101" s="1675"/>
      <c r="D101" s="1866"/>
      <c r="E101" s="1561">
        <f t="shared" si="17"/>
        <v>0</v>
      </c>
      <c r="F101" s="1814">
        <f t="shared" si="18"/>
        <v>0</v>
      </c>
      <c r="G101" s="1815">
        <f t="shared" si="19"/>
        <v>0</v>
      </c>
    </row>
    <row r="102" spans="1:7" hidden="1" x14ac:dyDescent="0.25">
      <c r="A102" s="1674"/>
      <c r="B102" s="1688"/>
      <c r="C102" s="1675"/>
      <c r="D102" s="1866"/>
      <c r="E102" s="1561">
        <f t="shared" si="17"/>
        <v>0</v>
      </c>
      <c r="F102" s="1814">
        <f t="shared" si="18"/>
        <v>0</v>
      </c>
      <c r="G102" s="1815">
        <f t="shared" si="19"/>
        <v>0</v>
      </c>
    </row>
    <row r="103" spans="1:7" hidden="1" x14ac:dyDescent="0.25">
      <c r="A103" s="1674"/>
      <c r="B103" s="1688"/>
      <c r="C103" s="1675"/>
      <c r="D103" s="1866"/>
      <c r="E103" s="1561">
        <f t="shared" si="17"/>
        <v>0</v>
      </c>
      <c r="F103" s="1814">
        <f t="shared" si="18"/>
        <v>0</v>
      </c>
      <c r="G103" s="1815">
        <f t="shared" si="19"/>
        <v>0</v>
      </c>
    </row>
    <row r="104" spans="1:7" hidden="1" x14ac:dyDescent="0.25">
      <c r="A104" s="1674"/>
      <c r="B104" s="1688"/>
      <c r="C104" s="1675"/>
      <c r="D104" s="1866"/>
      <c r="E104" s="1561">
        <f t="shared" si="17"/>
        <v>0</v>
      </c>
      <c r="F104" s="1814">
        <f t="shared" si="18"/>
        <v>0</v>
      </c>
      <c r="G104" s="1815">
        <f t="shared" si="19"/>
        <v>0</v>
      </c>
    </row>
    <row r="105" spans="1:7" hidden="1" x14ac:dyDescent="0.25">
      <c r="A105" s="1674"/>
      <c r="B105" s="1688"/>
      <c r="C105" s="1675"/>
      <c r="D105" s="1866"/>
      <c r="E105" s="1561">
        <f t="shared" si="17"/>
        <v>0</v>
      </c>
      <c r="F105" s="1814">
        <f t="shared" si="18"/>
        <v>0</v>
      </c>
      <c r="G105" s="1815">
        <f t="shared" si="19"/>
        <v>0</v>
      </c>
    </row>
    <row r="106" spans="1:7" hidden="1" x14ac:dyDescent="0.25">
      <c r="A106" s="1674"/>
      <c r="B106" s="1688"/>
      <c r="C106" s="1675"/>
      <c r="D106" s="1866"/>
      <c r="E106" s="1561">
        <f t="shared" si="17"/>
        <v>0</v>
      </c>
      <c r="F106" s="1814">
        <f t="shared" si="18"/>
        <v>0</v>
      </c>
      <c r="G106" s="1815">
        <f t="shared" si="19"/>
        <v>0</v>
      </c>
    </row>
    <row r="107" spans="1:7" hidden="1" x14ac:dyDescent="0.25">
      <c r="A107" s="1674"/>
      <c r="B107" s="1688"/>
      <c r="C107" s="1675"/>
      <c r="D107" s="1866"/>
      <c r="E107" s="1561">
        <f t="shared" si="17"/>
        <v>0</v>
      </c>
      <c r="F107" s="1814">
        <f t="shared" si="18"/>
        <v>0</v>
      </c>
      <c r="G107" s="1815">
        <f t="shared" si="19"/>
        <v>0</v>
      </c>
    </row>
    <row r="108" spans="1:7" hidden="1" x14ac:dyDescent="0.25">
      <c r="A108" s="1674"/>
      <c r="B108" s="1688"/>
      <c r="C108" s="1675"/>
      <c r="D108" s="1866"/>
      <c r="E108" s="1561">
        <f t="shared" si="17"/>
        <v>0</v>
      </c>
      <c r="F108" s="1814">
        <f t="shared" si="18"/>
        <v>0</v>
      </c>
      <c r="G108" s="1815">
        <f t="shared" si="19"/>
        <v>0</v>
      </c>
    </row>
    <row r="109" spans="1:7" hidden="1" x14ac:dyDescent="0.25">
      <c r="A109" s="1674"/>
      <c r="B109" s="1688"/>
      <c r="C109" s="1675"/>
      <c r="D109" s="1866"/>
      <c r="E109" s="1561">
        <f t="shared" si="17"/>
        <v>0</v>
      </c>
      <c r="F109" s="1814">
        <f t="shared" si="18"/>
        <v>0</v>
      </c>
      <c r="G109" s="1815">
        <f t="shared" si="19"/>
        <v>0</v>
      </c>
    </row>
    <row r="110" spans="1:7" hidden="1" x14ac:dyDescent="0.25">
      <c r="A110" s="1674"/>
      <c r="B110" s="1688"/>
      <c r="C110" s="1675"/>
      <c r="D110" s="1866"/>
      <c r="E110" s="1561">
        <f t="shared" si="17"/>
        <v>0</v>
      </c>
      <c r="F110" s="1814">
        <f t="shared" si="18"/>
        <v>0</v>
      </c>
      <c r="G110" s="1815">
        <f t="shared" si="19"/>
        <v>0</v>
      </c>
    </row>
    <row r="111" spans="1:7" hidden="1" x14ac:dyDescent="0.25">
      <c r="A111" s="1674"/>
      <c r="B111" s="1688"/>
      <c r="C111" s="1675"/>
      <c r="D111" s="1866"/>
      <c r="E111" s="1561">
        <f t="shared" si="17"/>
        <v>0</v>
      </c>
      <c r="F111" s="1814">
        <f t="shared" si="18"/>
        <v>0</v>
      </c>
      <c r="G111" s="1815">
        <f t="shared" si="19"/>
        <v>0</v>
      </c>
    </row>
    <row r="112" spans="1:7" hidden="1" x14ac:dyDescent="0.25">
      <c r="A112" s="1674"/>
      <c r="B112" s="1688"/>
      <c r="C112" s="1675"/>
      <c r="D112" s="1866"/>
      <c r="E112" s="1561">
        <f t="shared" si="17"/>
        <v>0</v>
      </c>
      <c r="F112" s="1814">
        <f t="shared" si="18"/>
        <v>0</v>
      </c>
      <c r="G112" s="1815">
        <f t="shared" si="19"/>
        <v>0</v>
      </c>
    </row>
    <row r="113" spans="1:7" hidden="1"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idden="1" x14ac:dyDescent="0.25">
      <c r="A114" s="1674"/>
      <c r="B114" s="1688"/>
      <c r="C114" s="1675"/>
      <c r="D114" s="1866"/>
      <c r="E114" s="1561">
        <f t="shared" si="20"/>
        <v>0</v>
      </c>
      <c r="F114" s="1814">
        <f t="shared" si="21"/>
        <v>0</v>
      </c>
      <c r="G114" s="1815">
        <f t="shared" si="22"/>
        <v>0</v>
      </c>
    </row>
    <row r="115" spans="1:7" hidden="1" x14ac:dyDescent="0.25">
      <c r="A115" s="1674"/>
      <c r="B115" s="1688"/>
      <c r="C115" s="1675"/>
      <c r="D115" s="1866"/>
      <c r="E115" s="1561">
        <f t="shared" si="20"/>
        <v>0</v>
      </c>
      <c r="F115" s="1814">
        <f t="shared" si="21"/>
        <v>0</v>
      </c>
      <c r="G115" s="1815">
        <f t="shared" si="22"/>
        <v>0</v>
      </c>
    </row>
    <row r="116" spans="1:7" hidden="1" x14ac:dyDescent="0.25">
      <c r="A116" s="1674"/>
      <c r="B116" s="1688"/>
      <c r="C116" s="1675"/>
      <c r="D116" s="1866"/>
      <c r="E116" s="1561">
        <f t="shared" si="20"/>
        <v>0</v>
      </c>
      <c r="F116" s="1814">
        <f t="shared" si="21"/>
        <v>0</v>
      </c>
      <c r="G116" s="1815">
        <f t="shared" si="22"/>
        <v>0</v>
      </c>
    </row>
    <row r="117" spans="1:7" hidden="1" x14ac:dyDescent="0.25">
      <c r="A117" s="1674"/>
      <c r="B117" s="1688"/>
      <c r="C117" s="1675"/>
      <c r="D117" s="1866"/>
      <c r="E117" s="1561">
        <f t="shared" si="20"/>
        <v>0</v>
      </c>
      <c r="F117" s="1814">
        <f t="shared" si="21"/>
        <v>0</v>
      </c>
      <c r="G117" s="1815">
        <f t="shared" si="22"/>
        <v>0</v>
      </c>
    </row>
    <row r="118" spans="1:7" hidden="1" x14ac:dyDescent="0.25">
      <c r="A118" s="1674"/>
      <c r="B118" s="1688"/>
      <c r="C118" s="1675"/>
      <c r="D118" s="1866"/>
      <c r="E118" s="1561">
        <f t="shared" si="20"/>
        <v>0</v>
      </c>
      <c r="F118" s="1814">
        <f t="shared" si="21"/>
        <v>0</v>
      </c>
      <c r="G118" s="1815">
        <f t="shared" si="22"/>
        <v>0</v>
      </c>
    </row>
    <row r="119" spans="1:7" hidden="1" x14ac:dyDescent="0.25">
      <c r="A119" s="1674"/>
      <c r="B119" s="1688"/>
      <c r="C119" s="1675"/>
      <c r="D119" s="1866"/>
      <c r="E119" s="1561">
        <f t="shared" si="20"/>
        <v>0</v>
      </c>
      <c r="F119" s="1814">
        <f t="shared" si="21"/>
        <v>0</v>
      </c>
      <c r="G119" s="1815">
        <f t="shared" si="22"/>
        <v>0</v>
      </c>
    </row>
    <row r="120" spans="1:7" hidden="1" x14ac:dyDescent="0.25">
      <c r="A120" s="1674"/>
      <c r="B120" s="1688"/>
      <c r="C120" s="1675"/>
      <c r="D120" s="1866"/>
      <c r="E120" s="1561">
        <f t="shared" si="20"/>
        <v>0</v>
      </c>
      <c r="F120" s="1814">
        <f t="shared" si="21"/>
        <v>0</v>
      </c>
      <c r="G120" s="1815">
        <f t="shared" si="22"/>
        <v>0</v>
      </c>
    </row>
    <row r="121" spans="1:7" hidden="1" x14ac:dyDescent="0.25">
      <c r="A121" s="1674"/>
      <c r="B121" s="1688"/>
      <c r="C121" s="1675"/>
      <c r="D121" s="1866"/>
      <c r="E121" s="1561">
        <f t="shared" si="20"/>
        <v>0</v>
      </c>
      <c r="F121" s="1814">
        <f t="shared" si="21"/>
        <v>0</v>
      </c>
      <c r="G121" s="1815">
        <f t="shared" si="22"/>
        <v>0</v>
      </c>
    </row>
    <row r="122" spans="1:7" hidden="1" x14ac:dyDescent="0.25">
      <c r="A122" s="1674"/>
      <c r="B122" s="1688"/>
      <c r="C122" s="1675"/>
      <c r="D122" s="1866"/>
      <c r="E122" s="1561">
        <f t="shared" si="20"/>
        <v>0</v>
      </c>
      <c r="F122" s="1814">
        <f t="shared" si="21"/>
        <v>0</v>
      </c>
      <c r="G122" s="1815">
        <f t="shared" si="22"/>
        <v>0</v>
      </c>
    </row>
    <row r="123" spans="1:7" hidden="1" x14ac:dyDescent="0.25">
      <c r="A123" s="1674"/>
      <c r="B123" s="1688"/>
      <c r="C123" s="1675"/>
      <c r="D123" s="1866"/>
      <c r="E123" s="1561">
        <f t="shared" si="20"/>
        <v>0</v>
      </c>
      <c r="F123" s="1814">
        <f t="shared" si="21"/>
        <v>0</v>
      </c>
      <c r="G123" s="1815">
        <f t="shared" si="22"/>
        <v>0</v>
      </c>
    </row>
    <row r="124" spans="1:7" hidden="1" x14ac:dyDescent="0.25">
      <c r="A124" s="1674"/>
      <c r="B124" s="1688"/>
      <c r="C124" s="1675"/>
      <c r="D124" s="1866"/>
      <c r="E124" s="1561">
        <f t="shared" si="20"/>
        <v>0</v>
      </c>
      <c r="F124" s="1814">
        <f t="shared" si="21"/>
        <v>0</v>
      </c>
      <c r="G124" s="1815">
        <f t="shared" si="22"/>
        <v>0</v>
      </c>
    </row>
    <row r="125" spans="1:7" hidden="1" x14ac:dyDescent="0.25">
      <c r="A125" s="1674"/>
      <c r="B125" s="1688"/>
      <c r="C125" s="1675"/>
      <c r="D125" s="1866"/>
      <c r="E125" s="1561">
        <f t="shared" si="20"/>
        <v>0</v>
      </c>
      <c r="F125" s="1814">
        <f t="shared" si="21"/>
        <v>0</v>
      </c>
      <c r="G125" s="1815">
        <f t="shared" si="22"/>
        <v>0</v>
      </c>
    </row>
    <row r="126" spans="1:7" hidden="1"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hidden="1" x14ac:dyDescent="0.25">
      <c r="A127" s="1674"/>
      <c r="B127" s="1688"/>
      <c r="C127" s="1675"/>
      <c r="D127" s="1866"/>
      <c r="E127" s="1561">
        <f t="shared" si="23"/>
        <v>0</v>
      </c>
      <c r="F127" s="1814">
        <f t="shared" si="24"/>
        <v>0</v>
      </c>
      <c r="G127" s="1815">
        <f t="shared" si="25"/>
        <v>0</v>
      </c>
    </row>
    <row r="128" spans="1:7" hidden="1" x14ac:dyDescent="0.25">
      <c r="A128" s="1674"/>
      <c r="B128" s="1688"/>
      <c r="C128" s="1675"/>
      <c r="D128" s="1866"/>
      <c r="E128" s="1561">
        <f t="shared" si="23"/>
        <v>0</v>
      </c>
      <c r="F128" s="1814">
        <f t="shared" si="24"/>
        <v>0</v>
      </c>
      <c r="G128" s="1815">
        <f t="shared" si="25"/>
        <v>0</v>
      </c>
    </row>
    <row r="129" spans="1:7" hidden="1" x14ac:dyDescent="0.25">
      <c r="A129" s="1674"/>
      <c r="B129" s="1688"/>
      <c r="C129" s="1675"/>
      <c r="D129" s="1866"/>
      <c r="E129" s="1561">
        <f t="shared" si="23"/>
        <v>0</v>
      </c>
      <c r="F129" s="1814">
        <f t="shared" si="24"/>
        <v>0</v>
      </c>
      <c r="G129" s="1815">
        <f t="shared" si="25"/>
        <v>0</v>
      </c>
    </row>
    <row r="130" spans="1:7" hidden="1" x14ac:dyDescent="0.25">
      <c r="A130" s="1674"/>
      <c r="B130" s="1688"/>
      <c r="C130" s="1675"/>
      <c r="D130" s="1866"/>
      <c r="E130" s="1561">
        <f t="shared" si="23"/>
        <v>0</v>
      </c>
      <c r="F130" s="1814">
        <f t="shared" si="24"/>
        <v>0</v>
      </c>
      <c r="G130" s="1815">
        <f t="shared" si="25"/>
        <v>0</v>
      </c>
    </row>
    <row r="131" spans="1:7" hidden="1" x14ac:dyDescent="0.25">
      <c r="A131" s="1674"/>
      <c r="B131" s="1859"/>
      <c r="C131" s="1675"/>
      <c r="D131" s="1866"/>
      <c r="E131" s="1561">
        <f t="shared" si="23"/>
        <v>0</v>
      </c>
      <c r="F131" s="1814">
        <f t="shared" si="24"/>
        <v>0</v>
      </c>
      <c r="G131" s="1815">
        <f t="shared" si="25"/>
        <v>0</v>
      </c>
    </row>
    <row r="132" spans="1:7" hidden="1" x14ac:dyDescent="0.25">
      <c r="A132" s="1674"/>
      <c r="B132" s="1859"/>
      <c r="C132" s="1675"/>
      <c r="D132" s="1866"/>
      <c r="E132" s="1561">
        <f t="shared" si="23"/>
        <v>0</v>
      </c>
      <c r="F132" s="1814">
        <f t="shared" si="24"/>
        <v>0</v>
      </c>
      <c r="G132" s="1815">
        <f t="shared" si="25"/>
        <v>0</v>
      </c>
    </row>
    <row r="133" spans="1:7" hidden="1" x14ac:dyDescent="0.25">
      <c r="A133" s="1674"/>
      <c r="B133" s="1688"/>
      <c r="C133" s="1675"/>
      <c r="D133" s="1866"/>
      <c r="E133" s="1561">
        <f t="shared" si="23"/>
        <v>0</v>
      </c>
      <c r="F133" s="1814">
        <f t="shared" si="24"/>
        <v>0</v>
      </c>
      <c r="G133" s="1815">
        <f t="shared" si="25"/>
        <v>0</v>
      </c>
    </row>
    <row r="134" spans="1:7" hidden="1" x14ac:dyDescent="0.25">
      <c r="A134" s="1674"/>
      <c r="B134" s="1688"/>
      <c r="C134" s="1675"/>
      <c r="D134" s="1866"/>
      <c r="E134" s="1561">
        <f t="shared" si="23"/>
        <v>0</v>
      </c>
      <c r="F134" s="1814">
        <f t="shared" si="24"/>
        <v>0</v>
      </c>
      <c r="G134" s="1815">
        <f t="shared" si="25"/>
        <v>0</v>
      </c>
    </row>
    <row r="135" spans="1:7" hidden="1"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hidden="1" x14ac:dyDescent="0.25">
      <c r="A136" s="1674"/>
      <c r="B136" s="1688"/>
      <c r="C136" s="1675"/>
      <c r="D136" s="1866"/>
      <c r="E136" s="1561">
        <f t="shared" si="26"/>
        <v>0</v>
      </c>
      <c r="F136" s="1814">
        <f t="shared" si="27"/>
        <v>0</v>
      </c>
      <c r="G136" s="1815">
        <f t="shared" si="28"/>
        <v>0</v>
      </c>
    </row>
    <row r="137" spans="1:7" hidden="1" x14ac:dyDescent="0.25">
      <c r="A137" s="1674"/>
      <c r="B137" s="1688"/>
      <c r="C137" s="1675"/>
      <c r="D137" s="1866"/>
      <c r="E137" s="1561">
        <f t="shared" si="26"/>
        <v>0</v>
      </c>
      <c r="F137" s="1814">
        <f t="shared" si="27"/>
        <v>0</v>
      </c>
      <c r="G137" s="1815">
        <f t="shared" si="28"/>
        <v>0</v>
      </c>
    </row>
    <row r="138" spans="1:7" hidden="1" x14ac:dyDescent="0.25">
      <c r="A138" s="1674"/>
      <c r="B138" s="1688"/>
      <c r="C138" s="1675"/>
      <c r="D138" s="1866"/>
      <c r="E138" s="1561">
        <f t="shared" si="26"/>
        <v>0</v>
      </c>
      <c r="F138" s="1814">
        <f t="shared" si="27"/>
        <v>0</v>
      </c>
      <c r="G138" s="1815">
        <f t="shared" si="28"/>
        <v>0</v>
      </c>
    </row>
    <row r="139" spans="1:7" hidden="1"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64417.119999999995</v>
      </c>
      <c r="E141" s="1562">
        <f t="shared" si="1"/>
        <v>25000</v>
      </c>
      <c r="F141" s="1816">
        <f>SUM(F17:F140)</f>
        <v>57302.119999999995</v>
      </c>
      <c r="G141" s="1817">
        <f>SUM(G17:G140)</f>
        <v>7115</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06" t="s">
        <v>1778</v>
      </c>
      <c r="B5" s="2307"/>
      <c r="C5" s="2307"/>
      <c r="D5" s="2307"/>
      <c r="E5" s="2307"/>
      <c r="F5" s="2307"/>
      <c r="G5" s="2308"/>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125407</v>
      </c>
      <c r="F10" s="974"/>
      <c r="G10" s="975"/>
      <c r="H10" s="162"/>
      <c r="I10" s="162"/>
    </row>
    <row r="11" spans="1:9" s="668" customFormat="1" ht="22.5" customHeight="1" x14ac:dyDescent="0.2">
      <c r="A11" s="2311" t="s">
        <v>1945</v>
      </c>
      <c r="B11" s="2312"/>
      <c r="C11" s="2312"/>
      <c r="D11" s="2313"/>
      <c r="E11" s="977">
        <v>20141</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9" t="s">
        <v>553</v>
      </c>
      <c r="E17" s="1660"/>
      <c r="F17" s="1659" t="s">
        <v>453</v>
      </c>
      <c r="G17" s="1661"/>
      <c r="H17" s="162"/>
      <c r="I17" s="162"/>
    </row>
    <row r="18" spans="1:9" s="259" customFormat="1" ht="11.25" x14ac:dyDescent="0.2">
      <c r="A18" s="988"/>
      <c r="C18" s="989" t="s">
        <v>454</v>
      </c>
      <c r="D18" s="1662" t="s">
        <v>455</v>
      </c>
      <c r="E18" s="1662" t="s">
        <v>55</v>
      </c>
      <c r="F18" s="1662" t="s">
        <v>455</v>
      </c>
      <c r="G18" s="1662" t="s">
        <v>55</v>
      </c>
      <c r="H18" s="178"/>
      <c r="I18" s="178"/>
    </row>
    <row r="19" spans="1:9" s="668" customFormat="1" ht="12" customHeight="1" x14ac:dyDescent="0.2">
      <c r="A19" s="990" t="s">
        <v>476</v>
      </c>
      <c r="B19" s="991"/>
      <c r="C19" s="992" t="s">
        <v>591</v>
      </c>
      <c r="D19" s="1821"/>
      <c r="E19" s="1822">
        <f>'Expenditures 15-22'!K33-SUM('Expenditures 15-22'!G33,'Expenditures 15-22'!I33)+'Expenditures 15-22'!D229</f>
        <v>2272016</v>
      </c>
      <c r="F19" s="1821"/>
      <c r="G19" s="1823">
        <f>'Expenditures 15-22'!K33-SUM('Expenditures 15-22'!G33,'Expenditures 15-22'!I33)+'Expenditures 15-22'!D229</f>
        <v>2272016</v>
      </c>
      <c r="H19" s="987"/>
      <c r="I19" s="162"/>
    </row>
    <row r="20" spans="1:9" s="668" customFormat="1" ht="12" customHeight="1" x14ac:dyDescent="0.2">
      <c r="A20" s="990" t="s">
        <v>56</v>
      </c>
      <c r="B20" s="991"/>
      <c r="C20" s="993"/>
      <c r="D20" s="1824"/>
      <c r="E20" s="1824"/>
      <c r="F20" s="1824"/>
      <c r="G20" s="1825"/>
      <c r="H20" s="987"/>
      <c r="I20" s="162"/>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189257</v>
      </c>
      <c r="F21" s="1824"/>
      <c r="G21" s="1827">
        <f>'Expenditures 15-22'!K42-SUM('Expenditures 15-22'!G42,'Expenditures 15-22'!I42)+'Expenditures 15-22'!K120-SUM('Expenditures 15-22'!G120,'Expenditures 15-22'!I120)+'Expenditures 15-22'!K180-SUM('Expenditures 15-22'!G180,'Expenditures 15-22'!I180)+'Expenditures 15-22'!D238</f>
        <v>189257</v>
      </c>
      <c r="H21" s="987"/>
      <c r="I21" s="162"/>
    </row>
    <row r="22" spans="1:9" s="668" customFormat="1" ht="12" customHeight="1" x14ac:dyDescent="0.2">
      <c r="A22" s="994" t="s">
        <v>585</v>
      </c>
      <c r="B22" s="995"/>
      <c r="C22" s="993">
        <v>2200</v>
      </c>
      <c r="D22" s="1824"/>
      <c r="E22" s="1826">
        <f>'Expenditures 15-22'!K47-SUM('Expenditures 15-22'!G47,'Expenditures 15-22'!I47)+'Expenditures 15-22'!D243</f>
        <v>80957</v>
      </c>
      <c r="F22" s="1824"/>
      <c r="G22" s="1827">
        <f>'Expenditures 15-22'!K47-SUM('Expenditures 15-22'!G47,'Expenditures 15-22'!I47)+'Expenditures 15-22'!D243</f>
        <v>80957</v>
      </c>
      <c r="H22" s="987"/>
      <c r="I22" s="162"/>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306479</v>
      </c>
      <c r="F23" s="1824"/>
      <c r="G23" s="1826">
        <f>'Expenditures 15-22'!K53-SUM('Expenditures 15-22'!G53,'Expenditures 15-22'!I53)+'Expenditures 15-22'!D257+'Expenditures 15-22'!K330-SUM('Expenditures 15-22'!G330,'Expenditures 15-22'!I330)</f>
        <v>306479</v>
      </c>
      <c r="H23" s="987"/>
      <c r="I23" s="162"/>
    </row>
    <row r="24" spans="1:9" s="668" customFormat="1" ht="12" customHeight="1" x14ac:dyDescent="0.2">
      <c r="A24" s="994" t="s">
        <v>587</v>
      </c>
      <c r="B24" s="995"/>
      <c r="C24" s="993">
        <v>2400</v>
      </c>
      <c r="D24" s="1824"/>
      <c r="E24" s="1826">
        <f>'Expenditures 15-22'!K57-SUM('Expenditures 15-22'!G57,'Expenditures 15-22'!I57)+'Expenditures 15-22'!D261</f>
        <v>218362</v>
      </c>
      <c r="F24" s="1824"/>
      <c r="G24" s="1827">
        <f>'Expenditures 15-22'!K57-SUM('Expenditures 15-22'!G57,'Expenditures 15-22'!I57)+'Expenditures 15-22'!D261</f>
        <v>218362</v>
      </c>
      <c r="H24" s="987"/>
      <c r="I24" s="162"/>
    </row>
    <row r="25" spans="1:9" s="668" customFormat="1" ht="12" customHeight="1" x14ac:dyDescent="0.2">
      <c r="A25" s="990" t="s">
        <v>588</v>
      </c>
      <c r="B25" s="996"/>
      <c r="C25" s="993"/>
      <c r="D25" s="1824"/>
      <c r="E25" s="1826"/>
      <c r="F25" s="1824"/>
      <c r="G25" s="1827"/>
      <c r="H25" s="987"/>
      <c r="I25" s="162"/>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2"/>
    </row>
    <row r="27" spans="1:9" s="668" customFormat="1" ht="12" customHeight="1" x14ac:dyDescent="0.2">
      <c r="A27" s="994" t="s">
        <v>483</v>
      </c>
      <c r="B27" s="997"/>
      <c r="C27" s="993">
        <v>2520</v>
      </c>
      <c r="D27" s="1826">
        <f>'Expenditures 15-22'!K60-SUM('Expenditures 15-22'!G60,'Expenditures 15-22'!I60)+'Expenditures 15-22'!D264-E8</f>
        <v>50703</v>
      </c>
      <c r="E27" s="1826">
        <f>E8</f>
        <v>0</v>
      </c>
      <c r="F27" s="1826">
        <f>'Expenditures 15-22'!K60-SUM('Expenditures 15-22'!G60,'Expenditures 15-22'!I60)+'Expenditures 15-22'!D264-E8</f>
        <v>50703</v>
      </c>
      <c r="G27" s="1827">
        <f>E8</f>
        <v>0</v>
      </c>
      <c r="H27" s="987"/>
      <c r="I27" s="162"/>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298019</v>
      </c>
      <c r="F28" s="1828">
        <f>'Expenditures 15-22'!K61-SUM('Expenditures 15-22'!G61,'Expenditures 15-22'!I61)+'Expenditures 15-22'!K124-SUM('Expenditures 15-22'!G124,'Expenditures 15-22'!I124)+'Expenditures 15-22'!D266-E9</f>
        <v>298019</v>
      </c>
      <c r="G28" s="1827">
        <f>E9</f>
        <v>0</v>
      </c>
      <c r="H28" s="987"/>
      <c r="I28" s="162"/>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268149</v>
      </c>
      <c r="F29" s="1824"/>
      <c r="G29" s="1827">
        <f>'Expenditures 15-22'!K62-SUM('Expenditures 15-22'!G62,'Expenditures 15-22'!I62)+'Expenditures 15-22'!K125-SUM('Expenditures 15-22'!G125,'Expenditures 15-22'!I125)+'Expenditures 15-22'!K182-SUM('Expenditures 15-22'!G182,'Expenditures 15-22'!I182)+'Expenditures 15-22'!D267</f>
        <v>268149</v>
      </c>
      <c r="H29" s="985"/>
    </row>
    <row r="30" spans="1:9" ht="12" customHeight="1" x14ac:dyDescent="0.2">
      <c r="A30" s="994" t="s">
        <v>102</v>
      </c>
      <c r="B30" s="997"/>
      <c r="C30" s="993">
        <v>2560</v>
      </c>
      <c r="D30" s="1824"/>
      <c r="E30" s="1826">
        <f>'Expenditures 15-22'!K63-SUM('Expenditures 15-22'!G63,'Expenditures 15-22'!I63)+'Expenditures 15-22'!D268-E10</f>
        <v>90091</v>
      </c>
      <c r="F30" s="1824"/>
      <c r="G30" s="1826">
        <f>'Expenditures 15-22'!K63-SUM('Expenditures 15-22'!G63,'Expenditures 15-22'!I63)+'Expenditures 15-22'!D268-E10</f>
        <v>90091</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2593</v>
      </c>
      <c r="F39" s="1824"/>
      <c r="G39" s="1826">
        <f>'Expenditures 15-22'!K75-SUM('Expenditures 15-22'!G75,'Expenditures 15-22'!I75)+'Expenditures 15-22'!K130-SUM('Expenditures 15-22'!G130,'Expenditures 15-22'!I130)+'Expenditures 15-22'!K185-SUM('Expenditures 15-22'!G185,'Expenditures 15-22'!I185)+'Expenditures 15-22'!D280</f>
        <v>2593</v>
      </c>
    </row>
    <row r="40" spans="1:7" ht="12" customHeight="1" x14ac:dyDescent="0.2">
      <c r="A40" s="990" t="s">
        <v>1930</v>
      </c>
      <c r="B40" s="991"/>
      <c r="C40" s="993"/>
      <c r="D40" s="1824"/>
      <c r="E40" s="1828">
        <f>-'Contracts Paid in CY 29'!G141</f>
        <v>-7115</v>
      </c>
      <c r="F40" s="1824"/>
      <c r="G40" s="1828">
        <f>-'Contracts Paid in CY 29'!G141</f>
        <v>-7115</v>
      </c>
    </row>
    <row r="41" spans="1:7" ht="12" customHeight="1" x14ac:dyDescent="0.2">
      <c r="A41" s="998" t="s">
        <v>158</v>
      </c>
      <c r="B41" s="999"/>
      <c r="C41" s="1000"/>
      <c r="D41" s="1828">
        <f>SUM(D19:D39)</f>
        <v>50703</v>
      </c>
      <c r="E41" s="1828">
        <f>SUM(E19:E40)</f>
        <v>3718808</v>
      </c>
      <c r="F41" s="1828">
        <f>SUM(F19:F39)</f>
        <v>348722</v>
      </c>
      <c r="G41" s="1828">
        <f>SUM(G19:G40)</f>
        <v>3420789</v>
      </c>
    </row>
    <row r="42" spans="1:7" x14ac:dyDescent="0.2">
      <c r="A42" s="987"/>
      <c r="B42" s="162"/>
      <c r="C42" s="1001"/>
      <c r="D42" s="2309" t="s">
        <v>543</v>
      </c>
      <c r="E42" s="2310"/>
      <c r="F42" s="1002" t="s">
        <v>544</v>
      </c>
      <c r="G42" s="1003"/>
    </row>
    <row r="43" spans="1:7" ht="12" customHeight="1" x14ac:dyDescent="0.2">
      <c r="A43" s="987"/>
      <c r="B43" s="162"/>
      <c r="C43" s="1001"/>
      <c r="D43" s="1829" t="s">
        <v>493</v>
      </c>
      <c r="E43" s="1830">
        <f>D41</f>
        <v>50703</v>
      </c>
      <c r="F43" s="1829" t="s">
        <v>495</v>
      </c>
      <c r="G43" s="1830">
        <f>F41</f>
        <v>348722</v>
      </c>
    </row>
    <row r="44" spans="1:7" ht="12" customHeight="1" x14ac:dyDescent="0.2">
      <c r="A44" s="987"/>
      <c r="B44" s="162"/>
      <c r="C44" s="1001"/>
      <c r="D44" s="1829" t="s">
        <v>494</v>
      </c>
      <c r="E44" s="1830">
        <f>E41</f>
        <v>3718808</v>
      </c>
      <c r="F44" s="1829" t="s">
        <v>494</v>
      </c>
      <c r="G44" s="1830">
        <f>G41</f>
        <v>3420789</v>
      </c>
    </row>
    <row r="45" spans="1:7" ht="12" customHeight="1" x14ac:dyDescent="0.2">
      <c r="A45" s="987"/>
      <c r="B45" s="162"/>
      <c r="C45" s="162"/>
      <c r="D45" s="1831" t="s">
        <v>1063</v>
      </c>
      <c r="E45" s="1832">
        <f>(E43/E44)</f>
        <v>1.363420752025918E-2</v>
      </c>
      <c r="F45" s="1831" t="s">
        <v>1063</v>
      </c>
      <c r="G45" s="1832">
        <f>(G43/G44)</f>
        <v>0.10194197888264958</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8" t="s">
        <v>1446</v>
      </c>
      <c r="B1" s="2328"/>
      <c r="C1" s="2328"/>
      <c r="D1" s="2328"/>
      <c r="E1" s="2328"/>
      <c r="F1" s="2328"/>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9" t="s">
        <v>1627</v>
      </c>
      <c r="B5" s="2330"/>
      <c r="C5" s="2331"/>
      <c r="D5" s="2331"/>
      <c r="E5" s="2331"/>
      <c r="F5" s="2331"/>
    </row>
    <row r="6" spans="1:10" ht="12" customHeight="1" x14ac:dyDescent="0.25">
      <c r="A6" s="1874"/>
      <c r="B6" s="1875"/>
      <c r="C6" s="2332" t="str">
        <f>COVER!A17</f>
        <v>St Elmo CUSD 202</v>
      </c>
      <c r="D6" s="2332"/>
      <c r="E6" s="2332"/>
      <c r="F6" s="1876"/>
    </row>
    <row r="7" spans="1:10" ht="11.25" customHeight="1" thickBot="1" x14ac:dyDescent="0.3">
      <c r="A7" s="1874"/>
      <c r="B7" s="1875"/>
      <c r="C7" s="2333">
        <f>COVER!A13</f>
        <v>3026202026</v>
      </c>
      <c r="D7" s="2333"/>
      <c r="E7" s="2333"/>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t="s">
        <v>2084</v>
      </c>
      <c r="D13" s="1889" t="s">
        <v>2084</v>
      </c>
      <c r="E13" s="1892"/>
      <c r="F13" s="1891" t="s">
        <v>2106</v>
      </c>
      <c r="H13" s="1902">
        <f t="shared" si="0"/>
        <v>5</v>
      </c>
      <c r="I13" s="1902">
        <f t="shared" si="1"/>
        <v>5</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2084</v>
      </c>
      <c r="D24" s="1889" t="s">
        <v>2084</v>
      </c>
      <c r="E24" s="1892"/>
      <c r="F24" s="1891" t="s">
        <v>2109</v>
      </c>
      <c r="H24" s="1902">
        <f t="shared" si="0"/>
        <v>5</v>
      </c>
      <c r="I24" s="1902">
        <f t="shared" si="1"/>
        <v>5</v>
      </c>
      <c r="J24" s="1902">
        <f t="shared" si="2"/>
        <v>0</v>
      </c>
    </row>
    <row r="25" spans="1:12" ht="12" customHeight="1" x14ac:dyDescent="0.2">
      <c r="A25" s="1887" t="s">
        <v>1614</v>
      </c>
      <c r="B25" s="1888"/>
      <c r="C25" s="1889" t="s">
        <v>2084</v>
      </c>
      <c r="D25" s="1889" t="s">
        <v>2084</v>
      </c>
      <c r="E25" s="1892"/>
      <c r="F25" s="1891" t="s">
        <v>2106</v>
      </c>
      <c r="H25" s="1902">
        <f t="shared" si="0"/>
        <v>5</v>
      </c>
      <c r="I25" s="1902">
        <f t="shared" si="1"/>
        <v>5</v>
      </c>
      <c r="J25" s="1902">
        <f t="shared" si="2"/>
        <v>0</v>
      </c>
    </row>
    <row r="26" spans="1:12" ht="12" customHeight="1" x14ac:dyDescent="0.2">
      <c r="A26" s="1887" t="s">
        <v>1615</v>
      </c>
      <c r="B26" s="1888"/>
      <c r="C26" s="1889" t="s">
        <v>2084</v>
      </c>
      <c r="D26" s="1889" t="s">
        <v>2084</v>
      </c>
      <c r="E26" s="1892"/>
      <c r="F26" s="1891" t="s">
        <v>2110</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2084</v>
      </c>
      <c r="D31" s="1889" t="s">
        <v>2084</v>
      </c>
      <c r="E31" s="1892"/>
      <c r="F31" s="1891" t="s">
        <v>2107</v>
      </c>
      <c r="H31" s="1902">
        <f t="shared" si="0"/>
        <v>5</v>
      </c>
      <c r="I31" s="1902">
        <f t="shared" si="1"/>
        <v>5</v>
      </c>
      <c r="J31" s="1902">
        <f t="shared" si="2"/>
        <v>0</v>
      </c>
      <c r="L31" s="1893"/>
    </row>
    <row r="32" spans="1:12" ht="12" customHeight="1" x14ac:dyDescent="0.2">
      <c r="A32" s="1887" t="s">
        <v>1621</v>
      </c>
      <c r="B32" s="1888"/>
      <c r="C32" s="1889" t="s">
        <v>2084</v>
      </c>
      <c r="D32" s="1889" t="s">
        <v>2084</v>
      </c>
      <c r="E32" s="1892"/>
      <c r="F32" s="1891" t="s">
        <v>2108</v>
      </c>
      <c r="H32" s="1902">
        <f t="shared" si="0"/>
        <v>5</v>
      </c>
      <c r="I32" s="1902">
        <f t="shared" si="1"/>
        <v>5</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30</v>
      </c>
      <c r="I34" s="1902">
        <f>SUM(I11:I32)</f>
        <v>30</v>
      </c>
      <c r="J34" s="1902">
        <f>SUM(J11:J32)</f>
        <v>0</v>
      </c>
      <c r="K34" s="1902">
        <f>SUM(H34:J34)</f>
        <v>60</v>
      </c>
    </row>
    <row r="35" spans="1:11" ht="12" customHeight="1" x14ac:dyDescent="0.2">
      <c r="A35" s="1895" t="s">
        <v>1459</v>
      </c>
      <c r="B35" s="1896"/>
      <c r="C35" s="2334"/>
      <c r="D35" s="2334"/>
      <c r="E35" s="2334"/>
      <c r="F35" s="2335"/>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20"/>
      <c r="B38" s="2321"/>
      <c r="C38" s="2321"/>
      <c r="D38" s="2321"/>
      <c r="E38" s="2321"/>
      <c r="F38" s="2322"/>
    </row>
    <row r="39" spans="1:11" ht="4.5" hidden="1" customHeight="1" x14ac:dyDescent="0.2">
      <c r="A39" s="1897"/>
      <c r="B39" s="1897"/>
      <c r="C39" s="1897"/>
      <c r="D39" s="1897"/>
      <c r="E39" s="1897"/>
      <c r="F39" s="1897"/>
    </row>
    <row r="40" spans="1:11" s="1894" customFormat="1" ht="12" customHeight="1" x14ac:dyDescent="0.25">
      <c r="A40" s="1898" t="s">
        <v>1458</v>
      </c>
      <c r="B40" s="1899"/>
      <c r="C40" s="2323"/>
      <c r="D40" s="2323"/>
      <c r="E40" s="2323"/>
      <c r="F40" s="2324"/>
      <c r="H40" s="1903"/>
      <c r="I40" s="1903"/>
      <c r="J40" s="1903"/>
      <c r="K40" s="1903"/>
    </row>
    <row r="41" spans="1:11" s="1894" customFormat="1" ht="12" customHeight="1" x14ac:dyDescent="0.25">
      <c r="A41" s="2325"/>
      <c r="B41" s="2326"/>
      <c r="C41" s="2326"/>
      <c r="D41" s="2326"/>
      <c r="E41" s="2326"/>
      <c r="F41" s="2327"/>
      <c r="H41" s="1903"/>
      <c r="I41" s="1903"/>
      <c r="J41" s="1903"/>
      <c r="K41" s="1903"/>
    </row>
    <row r="42" spans="1:11" s="1894" customFormat="1" ht="12" customHeight="1" x14ac:dyDescent="0.25">
      <c r="A42" s="2325"/>
      <c r="B42" s="2326"/>
      <c r="C42" s="2326"/>
      <c r="D42" s="2326"/>
      <c r="E42" s="2326"/>
      <c r="F42" s="2327"/>
      <c r="H42" s="1903"/>
      <c r="I42" s="1903"/>
      <c r="J42" s="1903"/>
      <c r="K42" s="1903"/>
    </row>
    <row r="43" spans="1:11" s="1894" customFormat="1" ht="15" x14ac:dyDescent="0.25">
      <c r="A43" s="2314"/>
      <c r="B43" s="2315"/>
      <c r="C43" s="2315"/>
      <c r="D43" s="2315"/>
      <c r="E43" s="2315"/>
      <c r="F43" s="2316"/>
      <c r="H43" s="1903"/>
      <c r="I43" s="1903"/>
      <c r="J43" s="1903"/>
      <c r="K43" s="1903"/>
    </row>
    <row r="44" spans="1:11" s="1894" customFormat="1" ht="12" hidden="1" customHeight="1" x14ac:dyDescent="0.25">
      <c r="A44" s="2314"/>
      <c r="B44" s="2315"/>
      <c r="C44" s="2315"/>
      <c r="D44" s="2315"/>
      <c r="E44" s="2315"/>
      <c r="F44" s="2316"/>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41" t="str">
        <f>COVER!A17</f>
        <v>St Elmo CUSD 202</v>
      </c>
      <c r="J6" s="2342"/>
      <c r="Q6" s="1685"/>
    </row>
    <row r="7" spans="1:17" x14ac:dyDescent="0.2">
      <c r="A7" s="2343" t="s">
        <v>924</v>
      </c>
      <c r="B7" s="2344"/>
      <c r="C7" s="2344"/>
      <c r="D7" s="2344"/>
      <c r="E7" s="2345"/>
      <c r="F7" s="1017"/>
      <c r="G7" s="1009"/>
      <c r="H7" s="1016" t="s">
        <v>390</v>
      </c>
      <c r="I7" s="2346">
        <f>COVER!A13</f>
        <v>3026202026</v>
      </c>
      <c r="J7" s="2346"/>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7" t="s">
        <v>502</v>
      </c>
      <c r="B11" s="2348"/>
      <c r="C11" s="2349"/>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94369</v>
      </c>
      <c r="F12" s="1039"/>
      <c r="G12" s="1833">
        <f t="shared" ref="G12:G18" si="0">SUM(E12:F12)</f>
        <v>94369</v>
      </c>
      <c r="H12" s="1040">
        <v>93411</v>
      </c>
      <c r="I12" s="1039"/>
      <c r="J12" s="1833">
        <f t="shared" ref="J12:J18" si="1">SUM(H12:I12)</f>
        <v>93411</v>
      </c>
    </row>
    <row r="13" spans="1:17" ht="15" customHeight="1" x14ac:dyDescent="0.2">
      <c r="A13" s="1035">
        <v>2</v>
      </c>
      <c r="B13" s="1036" t="s">
        <v>44</v>
      </c>
      <c r="C13" s="1037"/>
      <c r="D13" s="1038">
        <v>2330</v>
      </c>
      <c r="E13" s="1833">
        <f>'Expenditures 15-22'!K51</f>
        <v>9900</v>
      </c>
      <c r="F13" s="1039"/>
      <c r="G13" s="1833">
        <f t="shared" si="0"/>
        <v>9900</v>
      </c>
      <c r="H13" s="1040">
        <v>15000</v>
      </c>
      <c r="I13" s="1039"/>
      <c r="J13" s="1833">
        <f t="shared" si="1"/>
        <v>15000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50" t="s">
        <v>7</v>
      </c>
      <c r="C18" s="2351"/>
      <c r="D18" s="2352"/>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104269</v>
      </c>
      <c r="F19" s="1835">
        <f t="shared" si="2"/>
        <v>0</v>
      </c>
      <c r="G19" s="1835">
        <f t="shared" si="2"/>
        <v>104269</v>
      </c>
      <c r="H19" s="1835">
        <f t="shared" si="2"/>
        <v>108411</v>
      </c>
      <c r="I19" s="1835">
        <f t="shared" si="2"/>
        <v>0</v>
      </c>
      <c r="J19" s="1835">
        <f t="shared" si="2"/>
        <v>108411</v>
      </c>
    </row>
    <row r="20" spans="1:10" ht="13.5" thickTop="1" x14ac:dyDescent="0.2">
      <c r="A20" s="1035">
        <v>9</v>
      </c>
      <c r="B20" s="2353" t="s">
        <v>1703</v>
      </c>
      <c r="C20" s="2353"/>
      <c r="D20" s="2354"/>
      <c r="E20" s="1046"/>
      <c r="F20" s="1046"/>
      <c r="G20" s="1046"/>
      <c r="H20" s="1046"/>
      <c r="I20" s="1046"/>
      <c r="J20" s="1836">
        <f>IF(AND(G19&gt;0,J19&gt;0),(((J19-G19)/G19)),"Enter Budget Data")</f>
        <v>3.9724174970508973E-2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9"/>
      <c r="D26" s="2359"/>
      <c r="E26" s="1050"/>
      <c r="F26" s="2358"/>
      <c r="G26" s="2358"/>
    </row>
    <row r="27" spans="1:10" x14ac:dyDescent="0.2">
      <c r="B27" s="1047"/>
      <c r="C27" s="1051" t="s">
        <v>1093</v>
      </c>
      <c r="D27" s="1052"/>
      <c r="E27" s="1053"/>
      <c r="F27" s="2355" t="s">
        <v>1589</v>
      </c>
      <c r="G27" s="2355"/>
    </row>
    <row r="28" spans="1:10" ht="28.5" customHeight="1" x14ac:dyDescent="0.2">
      <c r="B28" s="1047"/>
      <c r="C28" s="2357"/>
      <c r="D28" s="2357"/>
      <c r="E28" s="1054"/>
      <c r="F28" s="2357"/>
      <c r="G28" s="2357"/>
    </row>
    <row r="29" spans="1:10" x14ac:dyDescent="0.2">
      <c r="B29" s="1047"/>
      <c r="C29" s="1055" t="s">
        <v>1642</v>
      </c>
      <c r="E29" s="1056"/>
      <c r="F29" s="2356" t="s">
        <v>1590</v>
      </c>
      <c r="G29" s="2356"/>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2"/>
    </row>
    <row r="36" spans="1:10" ht="13.5" customHeight="1" x14ac:dyDescent="0.2">
      <c r="B36" s="1061"/>
      <c r="C36" s="2340" t="s">
        <v>1944</v>
      </c>
      <c r="D36" s="2339"/>
      <c r="E36" s="2339"/>
      <c r="F36" s="2339"/>
      <c r="G36" s="2339"/>
      <c r="H36" s="2339"/>
      <c r="I36" s="2339"/>
      <c r="J36" s="1063"/>
    </row>
    <row r="37" spans="1:10" ht="22.5" customHeight="1" x14ac:dyDescent="0.2">
      <c r="C37" s="2339"/>
      <c r="D37" s="2339"/>
      <c r="E37" s="2339"/>
      <c r="F37" s="2339"/>
      <c r="G37" s="2339"/>
      <c r="H37" s="2339"/>
      <c r="I37" s="2339"/>
      <c r="J37" s="1063"/>
    </row>
    <row r="38" spans="1:10" ht="7.5" customHeight="1" x14ac:dyDescent="0.2">
      <c r="C38" s="1062"/>
      <c r="D38" s="1064"/>
      <c r="E38" s="1065"/>
      <c r="F38" s="1066"/>
      <c r="G38" s="1065"/>
    </row>
    <row r="39" spans="1:10" ht="13.5" customHeight="1" x14ac:dyDescent="0.2">
      <c r="B39" s="1061"/>
      <c r="C39" s="2336" t="s">
        <v>937</v>
      </c>
      <c r="D39" s="2337"/>
      <c r="E39" s="2337"/>
      <c r="F39" s="2337"/>
      <c r="G39" s="2337"/>
      <c r="H39" s="2337"/>
      <c r="I39" s="233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71"/>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3" x14ac:dyDescent="0.2">
      <c r="A2" s="389" t="s">
        <v>276</v>
      </c>
    </row>
    <row r="3" spans="1:3" x14ac:dyDescent="0.2">
      <c r="A3" s="329" t="s">
        <v>277</v>
      </c>
    </row>
    <row r="5" spans="1:3" x14ac:dyDescent="0.2">
      <c r="A5" s="1068"/>
      <c r="B5" s="329" t="s">
        <v>2111</v>
      </c>
    </row>
    <row r="6" spans="1:3" x14ac:dyDescent="0.2">
      <c r="A6" s="1068"/>
      <c r="B6" s="329" t="s">
        <v>2112</v>
      </c>
    </row>
    <row r="7" spans="1:3" x14ac:dyDescent="0.2">
      <c r="A7" s="1068" t="s">
        <v>1231</v>
      </c>
      <c r="B7" s="329" t="s">
        <v>2113</v>
      </c>
    </row>
    <row r="8" spans="1:3" x14ac:dyDescent="0.2">
      <c r="A8" s="1068"/>
    </row>
    <row r="9" spans="1:3" x14ac:dyDescent="0.2">
      <c r="A9" s="1068"/>
      <c r="B9" s="329" t="s">
        <v>2114</v>
      </c>
    </row>
    <row r="10" spans="1:3" x14ac:dyDescent="0.2">
      <c r="A10" s="1069"/>
      <c r="B10" s="329" t="s">
        <v>2115</v>
      </c>
    </row>
    <row r="11" spans="1:3" x14ac:dyDescent="0.2">
      <c r="A11" s="1069"/>
      <c r="B11" s="329" t="s">
        <v>2116</v>
      </c>
    </row>
    <row r="12" spans="1:3" x14ac:dyDescent="0.2">
      <c r="A12" s="1069"/>
    </row>
    <row r="13" spans="1:3" x14ac:dyDescent="0.2">
      <c r="A13" s="1069"/>
      <c r="B13" s="329" t="s">
        <v>2117</v>
      </c>
    </row>
    <row r="14" spans="1:3" x14ac:dyDescent="0.2">
      <c r="A14" s="1069"/>
      <c r="B14" s="329" t="s">
        <v>2115</v>
      </c>
    </row>
    <row r="15" spans="1:3" x14ac:dyDescent="0.2">
      <c r="A15" s="1069"/>
      <c r="B15" s="329" t="s">
        <v>2118</v>
      </c>
      <c r="C15" s="329" t="s">
        <v>1231</v>
      </c>
    </row>
    <row r="16" spans="1:3" x14ac:dyDescent="0.2">
      <c r="A16" s="1069"/>
    </row>
    <row r="17" spans="1:2" x14ac:dyDescent="0.2">
      <c r="A17" s="1069"/>
      <c r="B17" s="329" t="s">
        <v>2119</v>
      </c>
    </row>
    <row r="18" spans="1:2" x14ac:dyDescent="0.2">
      <c r="A18" s="1069"/>
      <c r="B18" s="329" t="s">
        <v>2115</v>
      </c>
    </row>
    <row r="19" spans="1:2" x14ac:dyDescent="0.2">
      <c r="A19" s="1069"/>
      <c r="B19" s="329" t="s">
        <v>2120</v>
      </c>
    </row>
    <row r="20" spans="1:2" x14ac:dyDescent="0.2">
      <c r="A20" s="1069"/>
      <c r="B20" s="329" t="s">
        <v>2121</v>
      </c>
    </row>
    <row r="21" spans="1:2" x14ac:dyDescent="0.2">
      <c r="A21" s="1069"/>
      <c r="B21" s="329" t="s">
        <v>2112</v>
      </c>
    </row>
    <row r="22" spans="1:2" x14ac:dyDescent="0.2">
      <c r="A22" s="1069"/>
      <c r="B22" s="1958" t="s">
        <v>2122</v>
      </c>
    </row>
    <row r="23" spans="1:2" x14ac:dyDescent="0.2">
      <c r="A23" s="1069"/>
    </row>
    <row r="24" spans="1:2" x14ac:dyDescent="0.2">
      <c r="A24" s="1069"/>
      <c r="B24" s="329" t="s">
        <v>2127</v>
      </c>
    </row>
    <row r="25" spans="1:2" x14ac:dyDescent="0.2">
      <c r="A25" s="1069"/>
      <c r="B25" s="329" t="s">
        <v>2115</v>
      </c>
    </row>
    <row r="26" spans="1:2" x14ac:dyDescent="0.2">
      <c r="A26" s="1069"/>
      <c r="B26" s="329" t="s">
        <v>2128</v>
      </c>
    </row>
    <row r="27" spans="1:2" x14ac:dyDescent="0.2">
      <c r="A27" s="1069"/>
    </row>
    <row r="28" spans="1:2" x14ac:dyDescent="0.2">
      <c r="A28" s="1069"/>
      <c r="B28" s="329" t="s">
        <v>2123</v>
      </c>
    </row>
    <row r="29" spans="1:2" x14ac:dyDescent="0.2">
      <c r="A29" s="1069"/>
      <c r="B29" s="329" t="s">
        <v>2115</v>
      </c>
    </row>
    <row r="30" spans="1:2" x14ac:dyDescent="0.2">
      <c r="A30" s="1069"/>
      <c r="B30" s="329" t="s">
        <v>2124</v>
      </c>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c r="B70" s="258" t="str">
        <f>COVER!A17</f>
        <v>St Elmo CUSD 202</v>
      </c>
    </row>
    <row r="71" spans="1:2" x14ac:dyDescent="0.2">
      <c r="B71" s="1070">
        <f>COVER!A13</f>
        <v>3026202026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0" t="s">
        <v>1784</v>
      </c>
      <c r="B18" s="236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95250</xdr:colOff>
                <xdr:row>0</xdr:row>
                <xdr:rowOff>57150</xdr:rowOff>
              </from>
              <to>
                <xdr:col>1</xdr:col>
                <xdr:colOff>885825</xdr:colOff>
                <xdr:row>4</xdr:row>
                <xdr:rowOff>85725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8" r:id="rId6">
          <objectPr defaultSize="0" r:id="rId7">
            <anchor moveWithCells="1">
              <from>
                <xdr:col>1</xdr:col>
                <xdr:colOff>981075</xdr:colOff>
                <xdr:row>0</xdr:row>
                <xdr:rowOff>66675</xdr:rowOff>
              </from>
              <to>
                <xdr:col>1</xdr:col>
                <xdr:colOff>1895475</xdr:colOff>
                <xdr:row>4</xdr:row>
                <xdr:rowOff>104775</xdr:rowOff>
              </to>
            </anchor>
          </objectPr>
        </oleObject>
      </mc:Choice>
      <mc:Fallback>
        <oleObject progId="Acrobat Document" dvAspect="DVASPECT_ICON" shapeId="36868" r:id="rId6"/>
      </mc:Fallback>
    </mc:AlternateContent>
    <mc:AlternateContent xmlns:mc="http://schemas.openxmlformats.org/markup-compatibility/2006">
      <mc:Choice Requires="x14">
        <oleObject progId="Acrobat Document" dvAspect="DVASPECT_ICON" shapeId="36870" r:id="rId8">
          <objectPr defaultSize="0" r:id="rId9">
            <anchor moveWithCells="1">
              <from>
                <xdr:col>1</xdr:col>
                <xdr:colOff>1962150</xdr:colOff>
                <xdr:row>0</xdr:row>
                <xdr:rowOff>76200</xdr:rowOff>
              </from>
              <to>
                <xdr:col>1</xdr:col>
                <xdr:colOff>2876550</xdr:colOff>
                <xdr:row>4</xdr:row>
                <xdr:rowOff>114300</xdr:rowOff>
              </to>
            </anchor>
          </objectPr>
        </oleObject>
      </mc:Choice>
      <mc:Fallback>
        <oleObject progId="Acrobat Document" dvAspect="DVASPECT_ICON" shapeId="36870" r:id="rId8"/>
      </mc:Fallback>
    </mc:AlternateContent>
    <mc:AlternateContent xmlns:mc="http://schemas.openxmlformats.org/markup-compatibility/2006">
      <mc:Choice Requires="x14">
        <oleObject progId="Acrobat Document" dvAspect="DVASPECT_ICON" shapeId="36871" r:id="rId10">
          <objectPr defaultSize="0" r:id="rId11">
            <anchor moveWithCells="1">
              <from>
                <xdr:col>0</xdr:col>
                <xdr:colOff>85725</xdr:colOff>
                <xdr:row>4</xdr:row>
                <xdr:rowOff>152400</xdr:rowOff>
              </from>
              <to>
                <xdr:col>1</xdr:col>
                <xdr:colOff>876300</xdr:colOff>
                <xdr:row>9</xdr:row>
                <xdr:rowOff>28575</xdr:rowOff>
              </to>
            </anchor>
          </objectPr>
        </oleObject>
      </mc:Choice>
      <mc:Fallback>
        <oleObject progId="Acrobat Document" dvAspect="DVASPECT_ICON" shapeId="36871" r:id="rId10"/>
      </mc:Fallback>
    </mc:AlternateContent>
    <mc:AlternateContent xmlns:mc="http://schemas.openxmlformats.org/markup-compatibility/2006">
      <mc:Choice Requires="x14">
        <oleObject progId="Acrobat Document" dvAspect="DVASPECT_ICON" shapeId="36872" r:id="rId12">
          <objectPr defaultSize="0" r:id="rId13">
            <anchor moveWithCells="1">
              <from>
                <xdr:col>1</xdr:col>
                <xdr:colOff>990600</xdr:colOff>
                <xdr:row>5</xdr:row>
                <xdr:rowOff>0</xdr:rowOff>
              </from>
              <to>
                <xdr:col>1</xdr:col>
                <xdr:colOff>1905000</xdr:colOff>
                <xdr:row>9</xdr:row>
                <xdr:rowOff>38100</xdr:rowOff>
              </to>
            </anchor>
          </objectPr>
        </oleObject>
      </mc:Choice>
      <mc:Fallback>
        <oleObject progId="Acrobat Document" dvAspect="DVASPECT_ICON" shapeId="36872"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1790</v>
      </c>
      <c r="B1" s="2362"/>
      <c r="C1" s="2362"/>
      <c r="D1" s="2362"/>
      <c r="E1" s="2362"/>
      <c r="F1" s="2363"/>
    </row>
    <row r="2" spans="1:8" ht="45" customHeight="1" x14ac:dyDescent="0.2">
      <c r="A2" s="2371" t="s">
        <v>1791</v>
      </c>
      <c r="B2" s="2372"/>
      <c r="C2" s="2372"/>
      <c r="D2" s="2372"/>
      <c r="E2" s="2372"/>
      <c r="F2" s="2373"/>
      <c r="G2" s="1074"/>
      <c r="H2" s="1074"/>
    </row>
    <row r="3" spans="1:8" ht="57" customHeight="1" x14ac:dyDescent="0.2">
      <c r="A3" s="2374" t="s">
        <v>1786</v>
      </c>
      <c r="B3" s="2375"/>
      <c r="C3" s="2375"/>
      <c r="D3" s="2375"/>
      <c r="E3" s="2375"/>
      <c r="F3" s="2376"/>
      <c r="G3" s="1074"/>
      <c r="H3" s="1074"/>
    </row>
    <row r="4" spans="1:8" ht="14.25" customHeight="1" x14ac:dyDescent="0.2">
      <c r="A4" s="2380" t="s">
        <v>2056</v>
      </c>
      <c r="B4" s="2381"/>
      <c r="C4" s="2381"/>
      <c r="D4" s="2381"/>
      <c r="E4" s="2381"/>
      <c r="F4" s="2382"/>
      <c r="G4" s="1074"/>
      <c r="H4" s="1074"/>
    </row>
    <row r="5" spans="1:8" ht="14.25" customHeight="1" x14ac:dyDescent="0.2">
      <c r="A5" s="2383" t="s">
        <v>2057</v>
      </c>
      <c r="B5" s="2384"/>
      <c r="C5" s="2384"/>
      <c r="D5" s="2384"/>
      <c r="E5" s="2384"/>
      <c r="F5" s="2385"/>
      <c r="G5" s="1074"/>
      <c r="H5" s="1074"/>
    </row>
    <row r="6" spans="1:8" s="1075" customFormat="1" ht="41.25" customHeight="1" x14ac:dyDescent="0.2">
      <c r="A6" s="2377" t="s">
        <v>1792</v>
      </c>
      <c r="B6" s="2378"/>
      <c r="C6" s="2378"/>
      <c r="D6" s="2378"/>
      <c r="E6" s="2378"/>
      <c r="F6" s="237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3602809</v>
      </c>
      <c r="C8" s="1837">
        <f>'Acct Summary 7-8'!D8</f>
        <v>234436</v>
      </c>
      <c r="D8" s="1837">
        <f>'Acct Summary 7-8'!F8</f>
        <v>315227</v>
      </c>
      <c r="E8" s="1837">
        <f>'Acct Summary 7-8'!I8</f>
        <v>16727</v>
      </c>
      <c r="F8" s="1837">
        <f>SUM(B8:E8)</f>
        <v>4169199</v>
      </c>
    </row>
    <row r="9" spans="1:8" s="1079" customFormat="1" ht="14.25" customHeight="1" thickBot="1" x14ac:dyDescent="0.25">
      <c r="A9" s="1078" t="s">
        <v>1436</v>
      </c>
      <c r="B9" s="1838">
        <f>'Acct Summary 7-8'!C17</f>
        <v>3459652</v>
      </c>
      <c r="C9" s="1838">
        <f>'Acct Summary 7-8'!D17</f>
        <v>139352</v>
      </c>
      <c r="D9" s="1838">
        <f>'Acct Summary 7-8'!F17</f>
        <v>236027</v>
      </c>
      <c r="E9" s="1837"/>
      <c r="F9" s="1837">
        <f>SUM(B9:E9)</f>
        <v>3835031</v>
      </c>
    </row>
    <row r="10" spans="1:8" s="1079" customFormat="1" ht="14.25" thickTop="1" thickBot="1" x14ac:dyDescent="0.25">
      <c r="A10" s="1080" t="s">
        <v>1437</v>
      </c>
      <c r="B10" s="1839">
        <f>(B8-B9)</f>
        <v>143157</v>
      </c>
      <c r="C10" s="1839">
        <f>(C8-C9)</f>
        <v>95084</v>
      </c>
      <c r="D10" s="1839">
        <f>(D8-D9)</f>
        <v>79200</v>
      </c>
      <c r="E10" s="1838">
        <f>(E8-E9)</f>
        <v>16727</v>
      </c>
      <c r="F10" s="1840">
        <f>SUM(F8-F9)</f>
        <v>334168</v>
      </c>
    </row>
    <row r="11" spans="1:8" s="1079" customFormat="1" ht="14.25" thickTop="1" thickBot="1" x14ac:dyDescent="0.25">
      <c r="A11" s="1081" t="s">
        <v>1785</v>
      </c>
      <c r="B11" s="1841">
        <f>'Acct Summary 7-8'!C81</f>
        <v>1244505</v>
      </c>
      <c r="C11" s="1841">
        <f>'Acct Summary 7-8'!D81</f>
        <v>391195</v>
      </c>
      <c r="D11" s="1841">
        <f>'Acct Summary 7-8'!F81</f>
        <v>381105</v>
      </c>
      <c r="E11" s="1841">
        <f>'Acct Summary 7-8'!I81</f>
        <v>224481</v>
      </c>
      <c r="F11" s="1842">
        <f>SUM(B11:E11)</f>
        <v>2241286</v>
      </c>
    </row>
    <row r="12" spans="1:8" ht="16.5" customHeight="1" thickTop="1" x14ac:dyDescent="0.2">
      <c r="A12" s="1082"/>
      <c r="B12" s="1083"/>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4"/>
      <c r="B13" s="1085"/>
      <c r="C13" s="2365"/>
      <c r="D13" s="2366"/>
      <c r="E13" s="2366"/>
      <c r="F13" s="2367"/>
      <c r="H13" s="1074"/>
    </row>
    <row r="14" spans="1:8" ht="19.5" customHeight="1" x14ac:dyDescent="0.2">
      <c r="A14" s="1084"/>
      <c r="B14" s="1085"/>
      <c r="C14" s="2365"/>
      <c r="D14" s="2366"/>
      <c r="E14" s="2366"/>
      <c r="F14" s="2367"/>
      <c r="H14" s="1074"/>
    </row>
    <row r="15" spans="1:8" ht="17.25" customHeight="1" x14ac:dyDescent="0.2">
      <c r="A15" s="1084"/>
      <c r="B15" s="1085"/>
      <c r="C15" s="2368"/>
      <c r="D15" s="2369"/>
      <c r="E15" s="2369"/>
      <c r="F15" s="2370"/>
      <c r="H15" s="1074"/>
    </row>
    <row r="16" spans="1:8" s="310" customFormat="1" ht="51.75" hidden="1" customHeight="1" x14ac:dyDescent="0.2">
      <c r="A16" s="2364" t="s">
        <v>1787</v>
      </c>
      <c r="B16" s="2364"/>
      <c r="C16" s="2364"/>
      <c r="D16" s="2364"/>
      <c r="E16" s="2364"/>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6" t="s">
        <v>686</v>
      </c>
      <c r="B3" s="2387"/>
      <c r="C3" s="2387"/>
      <c r="D3" s="2388"/>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7" t="s">
        <v>1584</v>
      </c>
      <c r="D7" s="2398"/>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9" t="s">
        <v>1065</v>
      </c>
      <c r="B15" s="2390"/>
      <c r="C15" s="2390"/>
      <c r="D15" s="2391"/>
    </row>
    <row r="16" spans="1:4" s="668" customFormat="1" ht="24" customHeight="1" x14ac:dyDescent="0.2">
      <c r="A16" s="2392" t="s">
        <v>684</v>
      </c>
      <c r="B16" s="2393"/>
      <c r="C16" s="2393"/>
      <c r="D16" s="2394"/>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1" t="s">
        <v>332</v>
      </c>
      <c r="D21" s="2402"/>
    </row>
    <row r="22" spans="1:10" ht="12.75" x14ac:dyDescent="0.2">
      <c r="A22" s="1139"/>
      <c r="B22" s="1140">
        <v>2</v>
      </c>
      <c r="C22" s="2399" t="s">
        <v>1605</v>
      </c>
      <c r="D22" s="2400"/>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3" t="s">
        <v>557</v>
      </c>
      <c r="D43" s="2404"/>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5" t="s">
        <v>817</v>
      </c>
      <c r="D56" s="2396"/>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95" t="s">
        <v>1797</v>
      </c>
      <c r="D70" s="2396"/>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3026202026</v>
      </c>
    </row>
    <row r="3" spans="1:2" x14ac:dyDescent="0.2">
      <c r="A3" t="s">
        <v>1013</v>
      </c>
      <c r="B3" s="138" t="str">
        <f>COVER!A15</f>
        <v>FAYETTE</v>
      </c>
    </row>
    <row r="4" spans="1:2" x14ac:dyDescent="0.2">
      <c r="A4" t="s">
        <v>1064</v>
      </c>
      <c r="B4" s="138" t="str">
        <f>COVER!A17</f>
        <v>St Elmo CUSD 202</v>
      </c>
    </row>
    <row r="5" spans="1:2" x14ac:dyDescent="0.2">
      <c r="A5" t="s">
        <v>728</v>
      </c>
      <c r="B5" s="138" t="str">
        <f>COVER!A38</f>
        <v>JULIE HEALY</v>
      </c>
    </row>
    <row r="6" spans="1:2" x14ac:dyDescent="0.2">
      <c r="A6" t="s">
        <v>733</v>
      </c>
      <c r="B6" s="138">
        <f>COVER!P35</f>
        <v>0</v>
      </c>
    </row>
    <row r="7" spans="1:2" x14ac:dyDescent="0.2">
      <c r="A7" t="s">
        <v>729</v>
      </c>
      <c r="B7" s="138">
        <f>COVER!I38</f>
        <v>0</v>
      </c>
    </row>
    <row r="8" spans="1:2" x14ac:dyDescent="0.2">
      <c r="A8" t="s">
        <v>730</v>
      </c>
      <c r="B8" s="138" t="str">
        <f>COVER!T38</f>
        <v>JULIE WOLLERMAN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863841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1244681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176</v>
      </c>
      <c r="C91" s="2" t="s">
        <v>594</v>
      </c>
      <c r="D91" s="2" t="str">
        <f t="shared" si="0"/>
        <v>Error?</v>
      </c>
    </row>
    <row r="92" spans="1:4" x14ac:dyDescent="0.2">
      <c r="A92" s="5">
        <v>31</v>
      </c>
      <c r="B92" s="138">
        <f>'Assets-Liab 5-6'!C39</f>
        <v>1177501</v>
      </c>
      <c r="D92" s="2" t="str">
        <f t="shared" si="0"/>
        <v>Error?</v>
      </c>
    </row>
    <row r="93" spans="1:4" x14ac:dyDescent="0.2">
      <c r="A93" s="5">
        <v>32</v>
      </c>
      <c r="B93" s="138">
        <f>'Assets-Liab 5-6'!C41</f>
        <v>1244681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350981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391195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391195</v>
      </c>
      <c r="D123" s="2" t="str">
        <f t="shared" si="0"/>
        <v>Error?</v>
      </c>
    </row>
    <row r="124" spans="1:4" x14ac:dyDescent="0.2">
      <c r="A124" s="5">
        <v>63</v>
      </c>
      <c r="B124" s="138">
        <f>'Assets-Liab 5-6'!D41</f>
        <v>391195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894115</v>
      </c>
      <c r="D129" s="2" t="str">
        <f t="shared" si="1"/>
        <v>Error?</v>
      </c>
    </row>
    <row r="130" spans="1:4" x14ac:dyDescent="0.2">
      <c r="A130" s="5">
        <v>69</v>
      </c>
      <c r="B130" s="138">
        <f>'Assets-Liab 5-6'!E12</f>
        <v>0</v>
      </c>
      <c r="D130" s="2" t="str">
        <f t="shared" si="1"/>
        <v>Error?</v>
      </c>
    </row>
    <row r="131" spans="1:4" x14ac:dyDescent="0.2">
      <c r="A131" s="5">
        <v>70</v>
      </c>
      <c r="B131" s="138">
        <f>'Assets-Liab 5-6'!E13</f>
        <v>894646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11663</v>
      </c>
      <c r="D140" s="2" t="str">
        <f t="shared" si="1"/>
        <v>Error?</v>
      </c>
    </row>
    <row r="141" spans="1:4" x14ac:dyDescent="0.2">
      <c r="A141" s="5">
        <v>80</v>
      </c>
      <c r="B141" s="138">
        <f>'Assets-Liab 5-6'!E41</f>
        <v>894646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298970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143</v>
      </c>
      <c r="D156" s="2" t="str">
        <f t="shared" si="1"/>
        <v>Error?</v>
      </c>
    </row>
    <row r="157" spans="1:4" x14ac:dyDescent="0.2">
      <c r="A157" s="5">
        <v>96</v>
      </c>
      <c r="B157" s="138">
        <f>'Assets-Liab 5-6'!F13</f>
        <v>381105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381105</v>
      </c>
      <c r="D170" s="2" t="str">
        <f t="shared" si="1"/>
        <v>Error?</v>
      </c>
    </row>
    <row r="171" spans="1:4" x14ac:dyDescent="0.2">
      <c r="A171" s="5">
        <v>110</v>
      </c>
      <c r="B171" s="138">
        <f>'Assets-Liab 5-6'!F41</f>
        <v>381105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101613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102041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35</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35</v>
      </c>
      <c r="C188" s="2" t="s">
        <v>594</v>
      </c>
      <c r="D188" s="2" t="str">
        <f t="shared" si="1"/>
        <v>Error?</v>
      </c>
    </row>
    <row r="189" spans="1:4" x14ac:dyDescent="0.2">
      <c r="A189" s="5">
        <v>128</v>
      </c>
      <c r="B189" s="138">
        <f>'Assets-Liab 5-6'!G39</f>
        <v>93088</v>
      </c>
      <c r="D189" s="2" t="str">
        <f t="shared" si="1"/>
        <v>Error?</v>
      </c>
    </row>
    <row r="190" spans="1:4" x14ac:dyDescent="0.2">
      <c r="A190" s="5">
        <v>129</v>
      </c>
      <c r="B190" s="138">
        <f>'Assets-Liab 5-6'!G41</f>
        <v>102041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47503</v>
      </c>
      <c r="D273" s="2" t="str">
        <f t="shared" si="3"/>
        <v>Error?</v>
      </c>
    </row>
    <row r="274" spans="1:4" x14ac:dyDescent="0.2">
      <c r="A274" s="5">
        <v>213</v>
      </c>
      <c r="B274" s="138">
        <f>'Assets-Liab 5-6'!M17</f>
        <v>8294159</v>
      </c>
      <c r="D274" s="2" t="str">
        <f t="shared" si="3"/>
        <v>Error?</v>
      </c>
    </row>
    <row r="275" spans="1:4" x14ac:dyDescent="0.2">
      <c r="A275" s="5">
        <v>214</v>
      </c>
      <c r="B275" s="138">
        <f>'Assets-Liab 5-6'!M18</f>
        <v>143747</v>
      </c>
      <c r="D275" s="2" t="str">
        <f t="shared" si="3"/>
        <v>Error?</v>
      </c>
    </row>
    <row r="276" spans="1:4" x14ac:dyDescent="0.2">
      <c r="A276" s="5">
        <v>215</v>
      </c>
      <c r="B276" s="138">
        <f>'Assets-Liab 5-6'!M19</f>
        <v>950219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9435628</v>
      </c>
      <c r="C279" s="2" t="s">
        <v>594</v>
      </c>
      <c r="D279" s="2" t="str">
        <f t="shared" si="3"/>
        <v>Error?</v>
      </c>
    </row>
    <row r="280" spans="1:4" x14ac:dyDescent="0.2">
      <c r="A280" s="5">
        <v>219</v>
      </c>
      <c r="B280" s="138">
        <f>'Assets-Liab 5-6'!M40</f>
        <v>9435628</v>
      </c>
      <c r="D280" s="2" t="str">
        <f t="shared" si="3"/>
        <v>Error?</v>
      </c>
    </row>
    <row r="281" spans="1:4" x14ac:dyDescent="0.2">
      <c r="A281" s="5">
        <v>220</v>
      </c>
      <c r="B281" s="138">
        <f>'Assets-Liab 5-6'!M41</f>
        <v>9435628</v>
      </c>
      <c r="C281" s="2" t="s">
        <v>594</v>
      </c>
      <c r="D281" s="2" t="str">
        <f t="shared" si="3"/>
        <v>Error?</v>
      </c>
    </row>
    <row r="282" spans="1:4" x14ac:dyDescent="0.2">
      <c r="A282" s="5">
        <v>221</v>
      </c>
      <c r="B282" s="138">
        <f>'Assets-Liab 5-6'!N21</f>
        <v>894646</v>
      </c>
      <c r="D282" s="2" t="str">
        <f t="shared" si="3"/>
        <v>Error?</v>
      </c>
    </row>
    <row r="283" spans="1:4" x14ac:dyDescent="0.2">
      <c r="A283" s="5">
        <v>222</v>
      </c>
      <c r="B283" s="138">
        <f>'Assets-Liab 5-6'!N22</f>
        <v>618634</v>
      </c>
      <c r="D283" s="2" t="str">
        <f t="shared" si="3"/>
        <v>Error?</v>
      </c>
    </row>
    <row r="284" spans="1:4" x14ac:dyDescent="0.2">
      <c r="A284" s="5">
        <v>223</v>
      </c>
      <c r="B284" s="138">
        <f>'Assets-Liab 5-6'!N23</f>
        <v>1513280</v>
      </c>
      <c r="C284" s="2" t="s">
        <v>594</v>
      </c>
      <c r="D284" s="2" t="str">
        <f t="shared" si="3"/>
        <v>Error?</v>
      </c>
    </row>
    <row r="285" spans="1:4" x14ac:dyDescent="0.2">
      <c r="A285" s="5">
        <v>224</v>
      </c>
      <c r="B285" s="138">
        <f>'Assets-Liab 5-6'!N36</f>
        <v>1513280</v>
      </c>
      <c r="D285" s="2" t="str">
        <f t="shared" si="3"/>
        <v>Error?</v>
      </c>
    </row>
    <row r="286" spans="1:4" x14ac:dyDescent="0.2">
      <c r="A286" s="10">
        <v>225</v>
      </c>
      <c r="D286" s="2" t="str">
        <f t="shared" si="3"/>
        <v>OK</v>
      </c>
    </row>
    <row r="287" spans="1:4" x14ac:dyDescent="0.2">
      <c r="A287" s="5">
        <v>226</v>
      </c>
      <c r="B287" s="138">
        <f>'Assets-Liab 5-6'!N37</f>
        <v>1513280</v>
      </c>
      <c r="C287" s="2" t="s">
        <v>594</v>
      </c>
      <c r="D287" s="2" t="str">
        <f t="shared" si="3"/>
        <v>Error?</v>
      </c>
    </row>
    <row r="288" spans="1:4" x14ac:dyDescent="0.2">
      <c r="A288" s="5">
        <v>227</v>
      </c>
      <c r="B288" s="138">
        <f>'Assets-Liab 5-6'!N41</f>
        <v>1513280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25000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1644049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42394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2053939</v>
      </c>
      <c r="C720" s="2" t="s">
        <v>594</v>
      </c>
      <c r="D720" s="2" t="str">
        <f t="shared" si="10"/>
        <v>Error?</v>
      </c>
    </row>
    <row r="721" spans="1:4" x14ac:dyDescent="0.2">
      <c r="A721" s="5">
        <v>660</v>
      </c>
      <c r="B721" s="138">
        <f>'Expenditures 15-22'!C36</f>
        <v>37859</v>
      </c>
      <c r="D721" s="2" t="str">
        <f t="shared" si="10"/>
        <v>Error?</v>
      </c>
    </row>
    <row r="722" spans="1:4" x14ac:dyDescent="0.2">
      <c r="A722" s="5">
        <v>661</v>
      </c>
      <c r="B722" s="138">
        <f>'Expenditures 15-22'!C37</f>
        <v>70094</v>
      </c>
      <c r="D722" s="2" t="str">
        <f t="shared" si="10"/>
        <v>Error?</v>
      </c>
    </row>
    <row r="723" spans="1:4" x14ac:dyDescent="0.2">
      <c r="A723" s="5">
        <v>662</v>
      </c>
      <c r="B723" s="138">
        <f>'Expenditures 15-22'!C38</f>
        <v>19471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127424</v>
      </c>
      <c r="C727" s="2" t="s">
        <v>594</v>
      </c>
      <c r="D727" s="2" t="str">
        <f t="shared" si="10"/>
        <v>Error?</v>
      </c>
    </row>
    <row r="728" spans="1:4" x14ac:dyDescent="0.2">
      <c r="A728" s="5">
        <v>667</v>
      </c>
      <c r="B728" s="138">
        <f>'Expenditures 15-22'!C44</f>
        <v>1621</v>
      </c>
      <c r="D728" s="2" t="str">
        <f t="shared" si="10"/>
        <v>Error?</v>
      </c>
    </row>
    <row r="729" spans="1:4" x14ac:dyDescent="0.2">
      <c r="A729" s="5">
        <v>668</v>
      </c>
      <c r="B729" s="138">
        <f>'Expenditures 15-22'!C45</f>
        <v>19384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21005</v>
      </c>
      <c r="C731" s="2" t="s">
        <v>594</v>
      </c>
      <c r="D731" s="2" t="str">
        <f t="shared" si="10"/>
        <v>Error?</v>
      </c>
    </row>
    <row r="732" spans="1:4" x14ac:dyDescent="0.2">
      <c r="A732" s="5">
        <v>671</v>
      </c>
      <c r="B732" s="138">
        <f>'Expenditures 15-22'!C49</f>
        <v>3760</v>
      </c>
      <c r="D732" s="2" t="str">
        <f t="shared" si="10"/>
        <v>Error?</v>
      </c>
    </row>
    <row r="733" spans="1:4" x14ac:dyDescent="0.2">
      <c r="A733" s="5">
        <v>672</v>
      </c>
      <c r="B733" s="138">
        <f>'Expenditures 15-22'!C50</f>
        <v>82363</v>
      </c>
      <c r="D733" s="2" t="str">
        <f t="shared" si="10"/>
        <v>Error?</v>
      </c>
    </row>
    <row r="734" spans="1:4" x14ac:dyDescent="0.2">
      <c r="A734" s="5">
        <v>673</v>
      </c>
      <c r="B734" s="138">
        <f>'Expenditures 15-22'!C53</f>
        <v>86123</v>
      </c>
      <c r="C734" s="2" t="s">
        <v>594</v>
      </c>
      <c r="D734" s="2" t="str">
        <f t="shared" si="10"/>
        <v>Error?</v>
      </c>
    </row>
    <row r="735" spans="1:4" x14ac:dyDescent="0.2">
      <c r="A735" s="5">
        <v>674</v>
      </c>
      <c r="B735" s="138">
        <f>'Expenditures 15-22'!C55</f>
        <v>189686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189686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42456</v>
      </c>
      <c r="D739" s="2" t="str">
        <f t="shared" si="10"/>
        <v>Error?</v>
      </c>
    </row>
    <row r="740" spans="1:4" x14ac:dyDescent="0.2">
      <c r="A740" s="5">
        <v>679</v>
      </c>
      <c r="B740" s="138">
        <f>'Expenditures 15-22'!C61</f>
        <v>30365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75105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147926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572164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2626103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23333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27366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1001</v>
      </c>
      <c r="D780" s="2" t="str">
        <f t="shared" si="11"/>
        <v>Error?</v>
      </c>
    </row>
    <row r="781" spans="1:4" x14ac:dyDescent="0.2">
      <c r="A781" s="5">
        <v>720</v>
      </c>
      <c r="B781" s="138">
        <f>'Expenditures 15-22'!D38</f>
        <v>3953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4954</v>
      </c>
      <c r="C785" s="2" t="s">
        <v>594</v>
      </c>
      <c r="D785" s="2" t="str">
        <f t="shared" si="11"/>
        <v>Error?</v>
      </c>
    </row>
    <row r="786" spans="1:4" x14ac:dyDescent="0.2">
      <c r="A786" s="5">
        <v>725</v>
      </c>
      <c r="B786" s="138">
        <f>'Expenditures 15-22'!D44</f>
        <v>83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83</v>
      </c>
      <c r="C789" s="2" t="s">
        <v>594</v>
      </c>
      <c r="D789" s="2" t="str">
        <f t="shared" si="11"/>
        <v>Error?</v>
      </c>
    </row>
    <row r="790" spans="1:4" x14ac:dyDescent="0.2">
      <c r="A790" s="5">
        <v>729</v>
      </c>
      <c r="B790" s="138">
        <f>'Expenditures 15-22'!D49</f>
        <v>21</v>
      </c>
      <c r="D790" s="2" t="str">
        <f t="shared" si="11"/>
        <v>Error?</v>
      </c>
    </row>
    <row r="791" spans="1:4" x14ac:dyDescent="0.2">
      <c r="A791" s="5">
        <v>730</v>
      </c>
      <c r="B791" s="138">
        <f>'Expenditures 15-22'!D50</f>
        <v>10457</v>
      </c>
      <c r="D791" s="2" t="str">
        <f t="shared" si="11"/>
        <v>Error?</v>
      </c>
    </row>
    <row r="792" spans="1:4" x14ac:dyDescent="0.2">
      <c r="A792" s="5">
        <v>731</v>
      </c>
      <c r="B792" s="138">
        <f>'Expenditures 15-22'!D53</f>
        <v>10478</v>
      </c>
      <c r="C792" s="2" t="s">
        <v>594</v>
      </c>
      <c r="D792" s="2" t="str">
        <f t="shared" si="11"/>
        <v>Error?</v>
      </c>
    </row>
    <row r="793" spans="1:4" x14ac:dyDescent="0.2">
      <c r="A793" s="5">
        <v>732</v>
      </c>
      <c r="B793" s="138">
        <f>'Expenditures 15-22'!D55</f>
        <v>21041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21041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36556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63922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12702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15994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44134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43476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43546</v>
      </c>
      <c r="C843" s="2" t="s">
        <v>594</v>
      </c>
      <c r="D843" s="2" t="str">
        <f t="shared" si="12"/>
        <v>Error?</v>
      </c>
    </row>
    <row r="844" spans="1:4" x14ac:dyDescent="0.2">
      <c r="A844" s="5">
        <v>783</v>
      </c>
      <c r="B844" s="138">
        <f>'Expenditures 15-22'!E44</f>
        <v>6984</v>
      </c>
      <c r="D844" s="2" t="str">
        <f t="shared" si="12"/>
        <v>Error?</v>
      </c>
    </row>
    <row r="845" spans="1:4" x14ac:dyDescent="0.2">
      <c r="A845" s="5">
        <v>784</v>
      </c>
      <c r="B845" s="138">
        <f>'Expenditures 15-22'!E45</f>
        <v>23016</v>
      </c>
      <c r="D845" s="2" t="str">
        <f t="shared" si="12"/>
        <v>Error?</v>
      </c>
    </row>
    <row r="846" spans="1:4" x14ac:dyDescent="0.2">
      <c r="A846" s="5">
        <v>785</v>
      </c>
      <c r="B846" s="138">
        <f>'Expenditures 15-22'!E46</f>
        <v>6908</v>
      </c>
      <c r="D846" s="2" t="str">
        <f t="shared" si="12"/>
        <v>Error?</v>
      </c>
    </row>
    <row r="847" spans="1:4" x14ac:dyDescent="0.2">
      <c r="A847" s="5">
        <v>786</v>
      </c>
      <c r="B847" s="138">
        <f>'Expenditures 15-22'!E47</f>
        <v>36908</v>
      </c>
      <c r="C847" s="2" t="s">
        <v>594</v>
      </c>
      <c r="D847" s="2" t="str">
        <f t="shared" si="12"/>
        <v>Error?</v>
      </c>
    </row>
    <row r="848" spans="1:4" x14ac:dyDescent="0.2">
      <c r="A848" s="5">
        <v>787</v>
      </c>
      <c r="B848" s="138">
        <f>'Expenditures 15-22'!E49</f>
        <v>28610</v>
      </c>
      <c r="D848" s="2" t="str">
        <f t="shared" si="12"/>
        <v>Error?</v>
      </c>
    </row>
    <row r="849" spans="1:4" x14ac:dyDescent="0.2">
      <c r="A849" s="5">
        <v>788</v>
      </c>
      <c r="B849" s="138">
        <f>'Expenditures 15-22'!E50</f>
        <v>686</v>
      </c>
      <c r="D849" s="2" t="str">
        <f t="shared" si="12"/>
        <v>Error?</v>
      </c>
    </row>
    <row r="850" spans="1:4" x14ac:dyDescent="0.2">
      <c r="A850" s="5">
        <v>789</v>
      </c>
      <c r="B850" s="138">
        <f>'Expenditures 15-22'!E53</f>
        <v>39196</v>
      </c>
      <c r="C850" s="2" t="s">
        <v>594</v>
      </c>
      <c r="D850" s="2" t="str">
        <f t="shared" si="12"/>
        <v>Error?</v>
      </c>
    </row>
    <row r="851" spans="1:4" x14ac:dyDescent="0.2">
      <c r="A851" s="5">
        <v>790</v>
      </c>
      <c r="B851" s="138">
        <f>'Expenditures 15-22'!E55</f>
        <v>233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21564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21775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141658</v>
      </c>
      <c r="C871" s="2" t="s">
        <v>594</v>
      </c>
      <c r="D871" s="2" t="str">
        <f t="shared" si="12"/>
        <v>Error?</v>
      </c>
    </row>
    <row r="872" spans="1:4" x14ac:dyDescent="0.2">
      <c r="A872" s="5">
        <v>811</v>
      </c>
      <c r="B872" s="138">
        <f>'Expenditures 15-22'!E75</f>
        <v>2350</v>
      </c>
      <c r="D872" s="2" t="str">
        <f t="shared" si="12"/>
        <v>Error?</v>
      </c>
    </row>
    <row r="873" spans="1:4" x14ac:dyDescent="0.2">
      <c r="A873" s="5">
        <v>812</v>
      </c>
      <c r="B873" s="138">
        <f>'Expenditures 15-22'!E114</f>
        <v>251848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27439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9488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86132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413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413</v>
      </c>
      <c r="C901" s="2" t="s">
        <v>594</v>
      </c>
      <c r="D901" s="2" t="str">
        <f t="shared" si="13"/>
        <v>Error?</v>
      </c>
    </row>
    <row r="902" spans="1:4" x14ac:dyDescent="0.2">
      <c r="A902" s="5">
        <v>841</v>
      </c>
      <c r="B902" s="138">
        <f>'Expenditures 15-22'!F44</f>
        <v>733</v>
      </c>
      <c r="D902" s="2" t="str">
        <f t="shared" si="13"/>
        <v>Error?</v>
      </c>
    </row>
    <row r="903" spans="1:4" x14ac:dyDescent="0.2">
      <c r="A903" s="5">
        <v>842</v>
      </c>
      <c r="B903" s="138">
        <f>'Expenditures 15-22'!F45</f>
        <v>18432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19165</v>
      </c>
      <c r="C905" s="2" t="s">
        <v>594</v>
      </c>
      <c r="D905" s="2" t="str">
        <f t="shared" si="13"/>
        <v>Error?</v>
      </c>
    </row>
    <row r="906" spans="1:4" x14ac:dyDescent="0.2">
      <c r="A906" s="5">
        <v>845</v>
      </c>
      <c r="B906" s="138">
        <f>'Expenditures 15-22'!F49</f>
        <v>3100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3100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84686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125799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210485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233163</v>
      </c>
      <c r="C929" s="2" t="s">
        <v>594</v>
      </c>
      <c r="D929" s="2" t="str">
        <f t="shared" si="13"/>
        <v>Error?</v>
      </c>
    </row>
    <row r="930" spans="1:4" x14ac:dyDescent="0.2">
      <c r="A930" s="5">
        <v>869</v>
      </c>
      <c r="B930" s="138">
        <f>'Expenditures 15-22'!F75</f>
        <v>243</v>
      </c>
      <c r="D930" s="2" t="str">
        <f t="shared" si="13"/>
        <v>Error?</v>
      </c>
    </row>
    <row r="931" spans="1:4" x14ac:dyDescent="0.2">
      <c r="A931" s="5">
        <v>870</v>
      </c>
      <c r="B931" s="138">
        <f>'Expenditures 15-22'!F114</f>
        <v>319538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24923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59605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5000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5000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5000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64605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3403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863</v>
      </c>
      <c r="D1023" s="2" t="str">
        <f t="shared" ref="D1023:D1086" si="15">IF(ISBLANK(B1023),"OK",IF(A1023-B1023=0,"OK","Error?"))</f>
        <v>Error?</v>
      </c>
    </row>
    <row r="1024" spans="1:4" x14ac:dyDescent="0.2">
      <c r="A1024" s="5">
        <v>963</v>
      </c>
      <c r="B1024" s="138">
        <f>'Expenditures 15-22'!H53</f>
        <v>863</v>
      </c>
      <c r="C1024" s="2" t="s">
        <v>594</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1633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128600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133636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1733496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70144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2274579</v>
      </c>
      <c r="C1108" s="2" t="s">
        <v>594</v>
      </c>
      <c r="D1108" s="2" t="str">
        <f t="shared" si="16"/>
        <v>Error?</v>
      </c>
    </row>
    <row r="1109" spans="1:4" x14ac:dyDescent="0.2">
      <c r="A1109" s="5">
        <v>1048</v>
      </c>
      <c r="B1109" s="138">
        <f>'Expenditures 15-22'!K36</f>
        <v>37859</v>
      </c>
      <c r="C1109" s="2" t="s">
        <v>594</v>
      </c>
      <c r="D1109" s="2" t="str">
        <f t="shared" si="16"/>
        <v>Error?</v>
      </c>
    </row>
    <row r="1110" spans="1:4" x14ac:dyDescent="0.2">
      <c r="A1110" s="5">
        <v>1049</v>
      </c>
      <c r="B1110" s="138">
        <f>'Expenditures 15-22'!K37</f>
        <v>71095</v>
      </c>
      <c r="C1110" s="2" t="s">
        <v>594</v>
      </c>
      <c r="D1110" s="2" t="str">
        <f t="shared" si="16"/>
        <v>Error?</v>
      </c>
    </row>
    <row r="1111" spans="1:4" x14ac:dyDescent="0.2">
      <c r="A1111" s="5">
        <v>1050</v>
      </c>
      <c r="B1111" s="138">
        <f>'Expenditures 15-22'!K38</f>
        <v>23907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43476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176337</v>
      </c>
      <c r="C1115" s="2" t="s">
        <v>594</v>
      </c>
      <c r="D1115" s="2" t="str">
        <f t="shared" si="16"/>
        <v>Error?</v>
      </c>
    </row>
    <row r="1116" spans="1:4" x14ac:dyDescent="0.2">
      <c r="A1116" s="5">
        <v>1055</v>
      </c>
      <c r="B1116" s="138">
        <f>'Expenditures 15-22'!K44</f>
        <v>9421</v>
      </c>
      <c r="C1116" s="2" t="s">
        <v>594</v>
      </c>
      <c r="D1116" s="2" t="str">
        <f t="shared" si="16"/>
        <v>Error?</v>
      </c>
    </row>
    <row r="1117" spans="1:4" x14ac:dyDescent="0.2">
      <c r="A1117" s="5">
        <v>1056</v>
      </c>
      <c r="B1117" s="138">
        <f>'Expenditures 15-22'!K45</f>
        <v>60832</v>
      </c>
      <c r="C1117" s="2" t="s">
        <v>594</v>
      </c>
      <c r="D1117" s="2" t="str">
        <f t="shared" si="16"/>
        <v>Error?</v>
      </c>
    </row>
    <row r="1118" spans="1:4" x14ac:dyDescent="0.2">
      <c r="A1118" s="5">
        <v>1057</v>
      </c>
      <c r="B1118" s="138">
        <f>'Expenditures 15-22'!K46</f>
        <v>6908</v>
      </c>
      <c r="C1118" s="2" t="s">
        <v>594</v>
      </c>
      <c r="D1118" s="2" t="str">
        <f t="shared" si="16"/>
        <v>Error?</v>
      </c>
    </row>
    <row r="1119" spans="1:4" x14ac:dyDescent="0.2">
      <c r="A1119" s="5">
        <v>1058</v>
      </c>
      <c r="B1119" s="138">
        <f>'Expenditures 15-22'!K47</f>
        <v>77161</v>
      </c>
      <c r="C1119" s="2" t="s">
        <v>594</v>
      </c>
      <c r="D1119" s="2" t="str">
        <f t="shared" si="16"/>
        <v>Error?</v>
      </c>
    </row>
    <row r="1120" spans="1:4" x14ac:dyDescent="0.2">
      <c r="A1120" s="5">
        <v>1059</v>
      </c>
      <c r="B1120" s="138">
        <f>'Expenditures 15-22'!K49</f>
        <v>40491</v>
      </c>
      <c r="C1120" s="2" t="s">
        <v>594</v>
      </c>
      <c r="D1120" s="2" t="str">
        <f t="shared" si="16"/>
        <v>Error?</v>
      </c>
    </row>
    <row r="1121" spans="1:4" x14ac:dyDescent="0.2">
      <c r="A1121" s="5">
        <v>1060</v>
      </c>
      <c r="B1121" s="138">
        <f>'Expenditures 15-22'!K50</f>
        <v>94369</v>
      </c>
      <c r="C1121" s="2" t="s">
        <v>594</v>
      </c>
      <c r="D1121" s="2" t="str">
        <f t="shared" si="16"/>
        <v>Error?</v>
      </c>
    </row>
    <row r="1122" spans="1:4" x14ac:dyDescent="0.2">
      <c r="A1122" s="5">
        <v>1061</v>
      </c>
      <c r="B1122" s="138">
        <f>'Expenditures 15-22'!K53</f>
        <v>144760</v>
      </c>
      <c r="C1122" s="2" t="s">
        <v>594</v>
      </c>
      <c r="D1122" s="2" t="str">
        <f t="shared" si="16"/>
        <v>Error?</v>
      </c>
    </row>
    <row r="1123" spans="1:4" x14ac:dyDescent="0.2">
      <c r="A1123" s="5">
        <v>1062</v>
      </c>
      <c r="B1123" s="138">
        <f>'Expenditures 15-22'!K55</f>
        <v>211730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211730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42456</v>
      </c>
      <c r="C1127" s="2" t="s">
        <v>594</v>
      </c>
      <c r="D1127" s="2" t="str">
        <f t="shared" si="16"/>
        <v>Error?</v>
      </c>
    </row>
    <row r="1128" spans="1:4" x14ac:dyDescent="0.2">
      <c r="A1128" s="5">
        <v>1067</v>
      </c>
      <c r="B1128" s="138">
        <f>'Expenditures 15-22'!K61</f>
        <v>136615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201115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380186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990174</v>
      </c>
      <c r="C1143" s="2" t="s">
        <v>594</v>
      </c>
      <c r="D1143" s="2" t="str">
        <f t="shared" si="16"/>
        <v>Error?</v>
      </c>
    </row>
    <row r="1144" spans="1:4" x14ac:dyDescent="0.2">
      <c r="A1144" s="5">
        <v>1083</v>
      </c>
      <c r="B1144" s="138">
        <f>'Expenditures 15-22'!K75</f>
        <v>2593</v>
      </c>
      <c r="C1144" s="2" t="s">
        <v>594</v>
      </c>
      <c r="D1144" s="2" t="str">
        <f t="shared" si="16"/>
        <v>Error?</v>
      </c>
    </row>
    <row r="1145" spans="1:4" x14ac:dyDescent="0.2">
      <c r="A1145" s="5">
        <v>1084</v>
      </c>
      <c r="B1145" s="138">
        <f>'Expenditures 15-22'!K102</f>
        <v>192306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3459652</v>
      </c>
      <c r="C1152" s="2" t="s">
        <v>594</v>
      </c>
      <c r="D1152" s="2" t="str">
        <f t="shared" si="17"/>
        <v>Error?</v>
      </c>
    </row>
    <row r="1153" spans="1:4" x14ac:dyDescent="0.2">
      <c r="A1153" s="5">
        <v>1092</v>
      </c>
      <c r="B1153" s="138">
        <f>'Expenditures 15-22'!K115</f>
        <v>143157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84207</v>
      </c>
      <c r="D1221" s="2" t="str">
        <f t="shared" si="18"/>
        <v>Error?</v>
      </c>
    </row>
    <row r="1222" spans="1:4" x14ac:dyDescent="0.2">
      <c r="A1222" s="10">
        <v>1161</v>
      </c>
      <c r="D1222" s="2" t="str">
        <f t="shared" si="18"/>
        <v>OK</v>
      </c>
    </row>
    <row r="1223" spans="1:4" x14ac:dyDescent="0.2">
      <c r="A1223" s="5">
        <v>1162</v>
      </c>
      <c r="B1223" s="138">
        <f>'Expenditures 15-22'!C127</f>
        <v>84207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84207</v>
      </c>
      <c r="C1225" s="2" t="s">
        <v>594</v>
      </c>
      <c r="D1225" s="2" t="str">
        <f t="shared" si="18"/>
        <v>Error?</v>
      </c>
    </row>
    <row r="1226" spans="1:4" x14ac:dyDescent="0.2">
      <c r="A1226" s="5">
        <v>1165</v>
      </c>
      <c r="B1226" s="138">
        <f>'Expenditures 15-22'!C151</f>
        <v>84207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12110</v>
      </c>
      <c r="D1237" s="2" t="str">
        <f t="shared" si="18"/>
        <v>Error?</v>
      </c>
    </row>
    <row r="1238" spans="1:4" x14ac:dyDescent="0.2">
      <c r="A1238" s="10">
        <v>1177</v>
      </c>
      <c r="D1238" s="2" t="str">
        <f t="shared" si="18"/>
        <v>OK</v>
      </c>
    </row>
    <row r="1239" spans="1:4" x14ac:dyDescent="0.2">
      <c r="A1239" s="5">
        <v>1178</v>
      </c>
      <c r="B1239" s="138">
        <f>'Expenditures 15-22'!E127</f>
        <v>12110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12110</v>
      </c>
      <c r="C1241" s="2" t="s">
        <v>594</v>
      </c>
      <c r="D1241" s="2" t="str">
        <f t="shared" si="18"/>
        <v>Error?</v>
      </c>
    </row>
    <row r="1242" spans="1:4" x14ac:dyDescent="0.2">
      <c r="A1242" s="5">
        <v>1181</v>
      </c>
      <c r="B1242" s="138">
        <f>'Expenditures 15-22'!E151</f>
        <v>12110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43035</v>
      </c>
      <c r="D1245" s="2" t="str">
        <f t="shared" si="18"/>
        <v>Error?</v>
      </c>
    </row>
    <row r="1246" spans="1:4" x14ac:dyDescent="0.2">
      <c r="A1246" s="10">
        <v>1185</v>
      </c>
      <c r="D1246" s="2" t="str">
        <f t="shared" si="18"/>
        <v>OK</v>
      </c>
    </row>
    <row r="1247" spans="1:4" x14ac:dyDescent="0.2">
      <c r="A1247" s="5">
        <v>1186</v>
      </c>
      <c r="B1247" s="138">
        <f>'Expenditures 15-22'!F127</f>
        <v>43035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43035</v>
      </c>
      <c r="C1249" s="2" t="s">
        <v>594</v>
      </c>
      <c r="D1249" s="2" t="str">
        <f t="shared" si="18"/>
        <v>Error?</v>
      </c>
    </row>
    <row r="1250" spans="1:4" x14ac:dyDescent="0.2">
      <c r="A1250" s="5">
        <v>1189</v>
      </c>
      <c r="B1250" s="138">
        <f>'Expenditures 15-22'!F151</f>
        <v>43035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139352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139352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139352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139352</v>
      </c>
      <c r="C1288" s="2" t="s">
        <v>594</v>
      </c>
      <c r="D1288" s="2" t="str">
        <f t="shared" si="19"/>
        <v>Error?</v>
      </c>
    </row>
    <row r="1289" spans="1:4" x14ac:dyDescent="0.2">
      <c r="A1289" s="5">
        <v>1228</v>
      </c>
      <c r="B1289" s="138">
        <f>'Expenditures 15-22'!K152</f>
        <v>95084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30933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73720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104653</v>
      </c>
      <c r="C1317" s="2" t="s">
        <v>594</v>
      </c>
      <c r="D1317" s="2" t="str">
        <f t="shared" si="19"/>
        <v>Error?</v>
      </c>
    </row>
    <row r="1318" spans="1:4" x14ac:dyDescent="0.2">
      <c r="A1318" s="5">
        <v>1257</v>
      </c>
      <c r="B1318" s="138">
        <f>'Expenditures 15-22'!H174</f>
        <v>104653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30933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73720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104653</v>
      </c>
      <c r="C1331" s="2" t="s">
        <v>594</v>
      </c>
      <c r="D1331" s="2" t="str">
        <f t="shared" si="19"/>
        <v>Error?</v>
      </c>
    </row>
    <row r="1332" spans="1:4" x14ac:dyDescent="0.2">
      <c r="A1332" s="5">
        <v>1271</v>
      </c>
      <c r="B1332" s="138">
        <f>'Expenditures 15-22'!K174</f>
        <v>104653</v>
      </c>
      <c r="C1332" s="2" t="s">
        <v>594</v>
      </c>
      <c r="D1332" s="2" t="str">
        <f t="shared" si="19"/>
        <v>Error?</v>
      </c>
    </row>
    <row r="1333" spans="1:4" x14ac:dyDescent="0.2">
      <c r="A1333" s="5">
        <v>1272</v>
      </c>
      <c r="B1333" s="138">
        <f>'Expenditures 15-22'!K175</f>
        <v>32775</v>
      </c>
      <c r="C1333" s="2" t="s">
        <v>594</v>
      </c>
      <c r="D1333" s="2" t="str">
        <f t="shared" si="19"/>
        <v>Error?</v>
      </c>
    </row>
    <row r="1334" spans="1:4" x14ac:dyDescent="0.2">
      <c r="A1334" s="10">
        <v>1273</v>
      </c>
      <c r="D1334" s="2" t="str">
        <f t="shared" si="19"/>
        <v>OK</v>
      </c>
    </row>
    <row r="1335" spans="1:4" x14ac:dyDescent="0.2">
      <c r="A1335" s="5">
        <v>1274</v>
      </c>
      <c r="B1335" s="138">
        <f>'Expenditures 15-22'!C182</f>
        <v>173144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173144</v>
      </c>
      <c r="C1339" s="2" t="s">
        <v>594</v>
      </c>
      <c r="D1339" s="2" t="str">
        <f t="shared" si="19"/>
        <v>Error?</v>
      </c>
    </row>
    <row r="1340" spans="1:4" x14ac:dyDescent="0.2">
      <c r="A1340" s="5">
        <v>1279</v>
      </c>
      <c r="B1340" s="138">
        <f>'Expenditures 15-22'!C210</f>
        <v>173144</v>
      </c>
      <c r="C1340" s="2" t="s">
        <v>594</v>
      </c>
      <c r="D1340" s="2" t="str">
        <f t="shared" si="19"/>
        <v>Error?</v>
      </c>
    </row>
    <row r="1341" spans="1:4" x14ac:dyDescent="0.2">
      <c r="A1341" s="5">
        <v>1280</v>
      </c>
      <c r="B1341" s="138">
        <f>'Expenditures 15-22'!D182</f>
        <v>823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823</v>
      </c>
      <c r="C1345" s="2" t="s">
        <v>594</v>
      </c>
      <c r="D1345" s="2" t="str">
        <f t="shared" si="20"/>
        <v>Error?</v>
      </c>
    </row>
    <row r="1346" spans="1:4" x14ac:dyDescent="0.2">
      <c r="A1346" s="5">
        <v>1285</v>
      </c>
      <c r="B1346" s="138">
        <f>'Expenditures 15-22'!D210</f>
        <v>823</v>
      </c>
      <c r="C1346" s="2" t="s">
        <v>594</v>
      </c>
      <c r="D1346" s="2" t="str">
        <f t="shared" si="20"/>
        <v>Error?</v>
      </c>
    </row>
    <row r="1347" spans="1:4" x14ac:dyDescent="0.2">
      <c r="A1347" s="5">
        <v>1286</v>
      </c>
      <c r="B1347" s="138">
        <f>'Expenditures 15-22'!E182</f>
        <v>21848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21848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21848</v>
      </c>
      <c r="C1353" s="2" t="s">
        <v>594</v>
      </c>
      <c r="D1353" s="2" t="str">
        <f t="shared" si="20"/>
        <v>Error?</v>
      </c>
    </row>
    <row r="1354" spans="1:4" x14ac:dyDescent="0.2">
      <c r="A1354" s="5">
        <v>1293</v>
      </c>
      <c r="B1354" s="138">
        <f>'Expenditures 15-22'!F182</f>
        <v>40212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40212</v>
      </c>
      <c r="C1358" s="2" t="s">
        <v>594</v>
      </c>
      <c r="D1358" s="2" t="str">
        <f t="shared" si="20"/>
        <v>Error?</v>
      </c>
    </row>
    <row r="1359" spans="1:4" x14ac:dyDescent="0.2">
      <c r="A1359" s="5">
        <v>1298</v>
      </c>
      <c r="B1359" s="138">
        <f>'Expenditures 15-22'!F210</f>
        <v>40212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236027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236027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236027</v>
      </c>
      <c r="C1388" s="2" t="s">
        <v>594</v>
      </c>
      <c r="D1388" s="2" t="str">
        <f t="shared" si="20"/>
        <v>Error?</v>
      </c>
    </row>
    <row r="1389" spans="1:4" x14ac:dyDescent="0.2">
      <c r="A1389" s="5">
        <v>1328</v>
      </c>
      <c r="B1389" s="138">
        <f>'Expenditures 15-22'!K211</f>
        <v>79200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2170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57042</v>
      </c>
      <c r="C1410" s="2" t="s">
        <v>594</v>
      </c>
      <c r="D1410" s="2" t="str">
        <f t="shared" si="21"/>
        <v>Error?</v>
      </c>
    </row>
    <row r="1411" spans="1:4" x14ac:dyDescent="0.2">
      <c r="A1411" s="5">
        <v>1350</v>
      </c>
      <c r="B1411" s="138">
        <f>'Expenditures 15-22'!D232</f>
        <v>7354</v>
      </c>
      <c r="D1411" s="2" t="str">
        <f t="shared" si="21"/>
        <v>Error?</v>
      </c>
    </row>
    <row r="1412" spans="1:4" x14ac:dyDescent="0.2">
      <c r="A1412" s="5">
        <v>1351</v>
      </c>
      <c r="B1412" s="138">
        <f>'Expenditures 15-22'!D233</f>
        <v>1016</v>
      </c>
      <c r="D1412" s="2" t="str">
        <f t="shared" si="21"/>
        <v>Error?</v>
      </c>
    </row>
    <row r="1413" spans="1:4" x14ac:dyDescent="0.2">
      <c r="A1413" s="5">
        <v>1352</v>
      </c>
      <c r="B1413" s="138">
        <f>'Expenditures 15-22'!D234</f>
        <v>4550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12920</v>
      </c>
      <c r="C1417" s="2" t="s">
        <v>594</v>
      </c>
      <c r="D1417" s="2" t="str">
        <f t="shared" si="21"/>
        <v>Error?</v>
      </c>
    </row>
    <row r="1418" spans="1:4" x14ac:dyDescent="0.2">
      <c r="A1418" s="5">
        <v>1357</v>
      </c>
      <c r="B1418" s="138">
        <f>'Expenditures 15-22'!D240</f>
        <v>30</v>
      </c>
      <c r="D1418" s="2" t="str">
        <f t="shared" si="21"/>
        <v>Error?</v>
      </c>
    </row>
    <row r="1419" spans="1:4" x14ac:dyDescent="0.2">
      <c r="A1419" s="5">
        <v>1358</v>
      </c>
      <c r="B1419" s="138">
        <f>'Expenditures 15-22'!D241</f>
        <v>3766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3796</v>
      </c>
      <c r="C1421" s="2" t="s">
        <v>594</v>
      </c>
      <c r="D1421" s="2" t="str">
        <f t="shared" si="21"/>
        <v>Error?</v>
      </c>
    </row>
    <row r="1422" spans="1:4" x14ac:dyDescent="0.2">
      <c r="A1422" s="5">
        <v>1361</v>
      </c>
      <c r="B1422" s="138">
        <f>'Expenditures 15-22'!D245</f>
        <v>300</v>
      </c>
      <c r="D1422" s="2" t="str">
        <f t="shared" si="21"/>
        <v>Error?</v>
      </c>
    </row>
    <row r="1423" spans="1:4" x14ac:dyDescent="0.2">
      <c r="A1423" s="5">
        <v>1362</v>
      </c>
      <c r="B1423" s="138">
        <f>'Expenditures 15-22'!D246</f>
        <v>1194</v>
      </c>
      <c r="D1423" s="2" t="str">
        <f t="shared" si="21"/>
        <v>Error?</v>
      </c>
    </row>
    <row r="1424" spans="1:4" x14ac:dyDescent="0.2">
      <c r="A1424" s="5">
        <v>1363</v>
      </c>
      <c r="B1424" s="138">
        <f>'Expenditures 15-22'!D257</f>
        <v>5985</v>
      </c>
      <c r="C1424" s="2" t="s">
        <v>594</v>
      </c>
      <c r="D1424" s="2" t="str">
        <f t="shared" si="21"/>
        <v>Error?</v>
      </c>
    </row>
    <row r="1425" spans="1:4" x14ac:dyDescent="0.2">
      <c r="A1425" s="5">
        <v>1364</v>
      </c>
      <c r="B1425" s="138">
        <f>'Expenditures 15-22'!D259</f>
        <v>6632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6632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8247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22052</v>
      </c>
      <c r="D1431" s="2" t="str">
        <f t="shared" si="21"/>
        <v>Error?</v>
      </c>
    </row>
    <row r="1432" spans="1:4" x14ac:dyDescent="0.2">
      <c r="A1432" s="5">
        <v>1371</v>
      </c>
      <c r="B1432" s="138">
        <f>'Expenditures 15-22'!D267</f>
        <v>32122</v>
      </c>
      <c r="D1432" s="2" t="str">
        <f t="shared" si="21"/>
        <v>Error?</v>
      </c>
    </row>
    <row r="1433" spans="1:4" x14ac:dyDescent="0.2">
      <c r="A1433" s="5">
        <v>1372</v>
      </c>
      <c r="B1433" s="138">
        <f>'Expenditures 15-22'!D268</f>
        <v>14383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76804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106137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163179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2170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57042</v>
      </c>
      <c r="C1474" s="2" t="s">
        <v>594</v>
      </c>
      <c r="D1474" s="2" t="str">
        <f t="shared" si="22"/>
        <v>Error?</v>
      </c>
    </row>
    <row r="1475" spans="1:4" x14ac:dyDescent="0.2">
      <c r="A1475" s="5">
        <v>1414</v>
      </c>
      <c r="B1475" s="138">
        <f>'Expenditures 15-22'!K232</f>
        <v>7354</v>
      </c>
      <c r="C1475" s="2" t="s">
        <v>594</v>
      </c>
      <c r="D1475" s="2" t="str">
        <f t="shared" si="22"/>
        <v>Error?</v>
      </c>
    </row>
    <row r="1476" spans="1:4" x14ac:dyDescent="0.2">
      <c r="A1476" s="5">
        <v>1415</v>
      </c>
      <c r="B1476" s="138">
        <f>'Expenditures 15-22'!K233</f>
        <v>1016</v>
      </c>
      <c r="C1476" s="2" t="s">
        <v>594</v>
      </c>
      <c r="D1476" s="2" t="str">
        <f t="shared" si="22"/>
        <v>Error?</v>
      </c>
    </row>
    <row r="1477" spans="1:4" x14ac:dyDescent="0.2">
      <c r="A1477" s="5">
        <v>1416</v>
      </c>
      <c r="B1477" s="138">
        <f>'Expenditures 15-22'!K234</f>
        <v>4550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12920</v>
      </c>
      <c r="C1481" s="2" t="s">
        <v>594</v>
      </c>
      <c r="D1481" s="2" t="str">
        <f t="shared" si="22"/>
        <v>Error?</v>
      </c>
    </row>
    <row r="1482" spans="1:4" x14ac:dyDescent="0.2">
      <c r="A1482" s="5">
        <v>1421</v>
      </c>
      <c r="B1482" s="138">
        <f>'Expenditures 15-22'!K240</f>
        <v>30</v>
      </c>
      <c r="C1482" s="2" t="s">
        <v>594</v>
      </c>
      <c r="D1482" s="2" t="str">
        <f t="shared" si="22"/>
        <v>Error?</v>
      </c>
    </row>
    <row r="1483" spans="1:4" x14ac:dyDescent="0.2">
      <c r="A1483" s="5">
        <v>1422</v>
      </c>
      <c r="B1483" s="138">
        <f>'Expenditures 15-22'!K241</f>
        <v>3766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3796</v>
      </c>
      <c r="C1485" s="2" t="s">
        <v>594</v>
      </c>
      <c r="D1485" s="2" t="str">
        <f t="shared" si="22"/>
        <v>Error?</v>
      </c>
    </row>
    <row r="1486" spans="1:4" x14ac:dyDescent="0.2">
      <c r="A1486" s="5">
        <v>1425</v>
      </c>
      <c r="B1486" s="138">
        <f>'Expenditures 15-22'!K245</f>
        <v>300</v>
      </c>
      <c r="C1486" s="2" t="s">
        <v>594</v>
      </c>
      <c r="D1486" s="2" t="str">
        <f t="shared" si="22"/>
        <v>Error?</v>
      </c>
    </row>
    <row r="1487" spans="1:4" x14ac:dyDescent="0.2">
      <c r="A1487" s="5">
        <v>1426</v>
      </c>
      <c r="B1487" s="138">
        <f>'Expenditures 15-22'!K246</f>
        <v>1194</v>
      </c>
      <c r="C1487" s="2" t="s">
        <v>594</v>
      </c>
      <c r="D1487" s="2" t="str">
        <f t="shared" si="22"/>
        <v>Error?</v>
      </c>
    </row>
    <row r="1488" spans="1:4" x14ac:dyDescent="0.2">
      <c r="A1488" s="5">
        <v>1427</v>
      </c>
      <c r="B1488" s="138">
        <f>'Expenditures 15-22'!K257</f>
        <v>5985</v>
      </c>
      <c r="C1488" s="2" t="s">
        <v>594</v>
      </c>
      <c r="D1488" s="2" t="str">
        <f t="shared" si="22"/>
        <v>Error?</v>
      </c>
    </row>
    <row r="1489" spans="1:4" x14ac:dyDescent="0.2">
      <c r="A1489" s="5">
        <v>1428</v>
      </c>
      <c r="B1489" s="138">
        <f>'Expenditures 15-22'!K259</f>
        <v>6632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6632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8247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22052</v>
      </c>
      <c r="C1495" s="2" t="s">
        <v>594</v>
      </c>
      <c r="D1495" s="2" t="str">
        <f t="shared" si="22"/>
        <v>Error?</v>
      </c>
    </row>
    <row r="1496" spans="1:4" x14ac:dyDescent="0.2">
      <c r="A1496" s="5">
        <v>1435</v>
      </c>
      <c r="B1496" s="138">
        <f>'Expenditures 15-22'!K267</f>
        <v>32122</v>
      </c>
      <c r="C1496" s="2" t="s">
        <v>594</v>
      </c>
      <c r="D1496" s="2" t="str">
        <f t="shared" si="22"/>
        <v>Error?</v>
      </c>
    </row>
    <row r="1497" spans="1:4" x14ac:dyDescent="0.2">
      <c r="A1497" s="5">
        <v>1436</v>
      </c>
      <c r="B1497" s="138">
        <f>'Expenditures 15-22'!K268</f>
        <v>14383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76804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106137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163179</v>
      </c>
      <c r="C1517" s="2" t="s">
        <v>594</v>
      </c>
      <c r="D1517" s="2" t="str">
        <f t="shared" si="22"/>
        <v>Error?</v>
      </c>
    </row>
    <row r="1518" spans="1:4" x14ac:dyDescent="0.2">
      <c r="A1518" s="5">
        <v>1457</v>
      </c>
      <c r="B1518" s="138">
        <f>'Expenditures 15-22'!K296</f>
        <v>34902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1081103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1244505</v>
      </c>
      <c r="C1630" s="2" t="s">
        <v>594</v>
      </c>
      <c r="D1630" s="2" t="str">
        <f t="shared" si="24"/>
        <v>Error?</v>
      </c>
    </row>
    <row r="1631" spans="1:4" x14ac:dyDescent="0.2">
      <c r="A1631" s="5">
        <v>1570</v>
      </c>
      <c r="B1631" s="138">
        <f>'Acct Summary 7-8'!D79</f>
        <v>296111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391195</v>
      </c>
      <c r="C1644" s="2" t="s">
        <v>594</v>
      </c>
      <c r="D1644" s="2" t="str">
        <f t="shared" si="24"/>
        <v>Error?</v>
      </c>
    </row>
    <row r="1645" spans="1:4" x14ac:dyDescent="0.2">
      <c r="A1645" s="5">
        <v>1584</v>
      </c>
      <c r="B1645" s="138">
        <f>'Acct Summary 7-8'!E79</f>
        <v>857116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894646</v>
      </c>
      <c r="C1658" s="2" t="s">
        <v>594</v>
      </c>
      <c r="D1658" s="2" t="str">
        <f t="shared" si="24"/>
        <v>Error?</v>
      </c>
    </row>
    <row r="1659" spans="1:4" x14ac:dyDescent="0.2">
      <c r="A1659" s="5">
        <v>1598</v>
      </c>
      <c r="B1659" s="138">
        <f>'Acct Summary 7-8'!F79</f>
        <v>301905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381105</v>
      </c>
      <c r="C1672" s="2" t="s">
        <v>594</v>
      </c>
      <c r="D1672" s="2" t="str">
        <f t="shared" si="25"/>
        <v>Error?</v>
      </c>
    </row>
    <row r="1673" spans="1:4" x14ac:dyDescent="0.2">
      <c r="A1673" s="5">
        <v>1612</v>
      </c>
      <c r="B1673" s="138">
        <f>'Acct Summary 7-8'!G79</f>
        <v>67104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102006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574121</v>
      </c>
      <c r="C1744" s="2" t="s">
        <v>594</v>
      </c>
      <c r="D1744" s="2" t="str">
        <f t="shared" si="26"/>
        <v>Error?</v>
      </c>
    </row>
    <row r="1745" spans="1:5" x14ac:dyDescent="0.2">
      <c r="A1745" s="5">
        <v>1684</v>
      </c>
      <c r="B1745" s="138">
        <f>'Tax Sched 23'!B5</f>
        <v>156020</v>
      </c>
      <c r="C1745" s="2" t="s">
        <v>594</v>
      </c>
      <c r="D1745" s="2" t="str">
        <f t="shared" si="26"/>
        <v>Error?</v>
      </c>
    </row>
    <row r="1746" spans="1:5" x14ac:dyDescent="0.2">
      <c r="A1746" s="5">
        <v>1685</v>
      </c>
      <c r="B1746" s="138">
        <f>'Tax Sched 23'!B6</f>
        <v>77834</v>
      </c>
      <c r="C1746" s="2" t="s">
        <v>594</v>
      </c>
      <c r="D1746" s="2" t="str">
        <f t="shared" si="26"/>
        <v>Error?</v>
      </c>
    </row>
    <row r="1747" spans="1:5" x14ac:dyDescent="0.2">
      <c r="A1747" s="5">
        <v>1686</v>
      </c>
      <c r="B1747" s="138">
        <f>'Tax Sched 23'!B7</f>
        <v>62413</v>
      </c>
      <c r="C1747" s="2" t="s">
        <v>594</v>
      </c>
      <c r="D1747" s="2" t="str">
        <f t="shared" si="26"/>
        <v>Error?</v>
      </c>
    </row>
    <row r="1748" spans="1:5" x14ac:dyDescent="0.2">
      <c r="A1748" s="5">
        <v>1687</v>
      </c>
      <c r="B1748" s="138">
        <f>'Tax Sched 23'!B8</f>
        <v>94198</v>
      </c>
      <c r="C1748" s="2" t="s">
        <v>594</v>
      </c>
      <c r="D1748" s="2" t="str">
        <f t="shared" si="26"/>
        <v>Error?</v>
      </c>
    </row>
    <row r="1749" spans="1:5" x14ac:dyDescent="0.2">
      <c r="A1749" s="5">
        <v>1688</v>
      </c>
      <c r="B1749" s="138">
        <f>'Tax Sched 23'!B10</f>
        <v>15601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191101</v>
      </c>
      <c r="C1752" s="2" t="s">
        <v>594</v>
      </c>
      <c r="D1752" s="2" t="str">
        <f t="shared" si="26"/>
        <v>Error?</v>
      </c>
    </row>
    <row r="1753" spans="1:5" x14ac:dyDescent="0.2">
      <c r="A1753" s="5">
        <v>1692</v>
      </c>
      <c r="B1753" s="138">
        <f>'Tax Sched 23'!B12</f>
        <v>15601</v>
      </c>
      <c r="C1753" s="2" t="s">
        <v>594</v>
      </c>
      <c r="D1753" s="2" t="str">
        <f t="shared" si="26"/>
        <v>Error?</v>
      </c>
    </row>
    <row r="1754" spans="1:5" x14ac:dyDescent="0.2">
      <c r="A1754" s="5">
        <v>1693</v>
      </c>
      <c r="B1754" s="138">
        <f>'Tax Sched 23'!B14</f>
        <v>12500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1309333</v>
      </c>
      <c r="C1759" s="2" t="s">
        <v>594</v>
      </c>
      <c r="D1759" s="2" t="str">
        <f t="shared" si="26"/>
        <v>Error?</v>
      </c>
    </row>
    <row r="1760" spans="1:5" x14ac:dyDescent="0.2">
      <c r="A1760" s="5">
        <v>1699</v>
      </c>
      <c r="B1760" s="138">
        <f>'Tax Sched 23'!D4</f>
        <v>574121</v>
      </c>
      <c r="C1760" s="2" t="s">
        <v>594</v>
      </c>
      <c r="D1760" s="2" t="str">
        <f t="shared" si="26"/>
        <v>Error?</v>
      </c>
    </row>
    <row r="1761" spans="1:5" x14ac:dyDescent="0.2">
      <c r="A1761" s="5">
        <v>1700</v>
      </c>
      <c r="B1761" s="138">
        <f>'Tax Sched 23'!D5</f>
        <v>156020</v>
      </c>
      <c r="C1761" s="2" t="s">
        <v>594</v>
      </c>
      <c r="D1761" s="2" t="str">
        <f t="shared" si="26"/>
        <v>Error?</v>
      </c>
    </row>
    <row r="1762" spans="1:5" s="8" customFormat="1" x14ac:dyDescent="0.2">
      <c r="A1762" s="5">
        <v>1701</v>
      </c>
      <c r="B1762" s="138">
        <f>'Tax Sched 23'!D6</f>
        <v>77834</v>
      </c>
      <c r="C1762" s="2" t="s">
        <v>594</v>
      </c>
      <c r="D1762" s="2" t="str">
        <f t="shared" si="26"/>
        <v>Error?</v>
      </c>
      <c r="E1762" s="9"/>
    </row>
    <row r="1763" spans="1:5" x14ac:dyDescent="0.2">
      <c r="A1763" s="5">
        <v>1702</v>
      </c>
      <c r="B1763" s="138">
        <f>'Tax Sched 23'!D7</f>
        <v>62413</v>
      </c>
      <c r="C1763" s="2" t="s">
        <v>594</v>
      </c>
      <c r="D1763" s="2" t="str">
        <f t="shared" si="26"/>
        <v>Error?</v>
      </c>
    </row>
    <row r="1764" spans="1:5" x14ac:dyDescent="0.2">
      <c r="A1764" s="5">
        <v>1703</v>
      </c>
      <c r="B1764" s="138">
        <f>'Tax Sched 23'!D8</f>
        <v>94198</v>
      </c>
      <c r="C1764" s="2" t="s">
        <v>594</v>
      </c>
      <c r="D1764" s="2" t="str">
        <f t="shared" si="26"/>
        <v>Error?</v>
      </c>
    </row>
    <row r="1765" spans="1:5" x14ac:dyDescent="0.2">
      <c r="A1765" s="5">
        <v>1704</v>
      </c>
      <c r="B1765" s="138">
        <f>'Tax Sched 23'!D10</f>
        <v>15601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191101</v>
      </c>
      <c r="C1768" s="2" t="s">
        <v>594</v>
      </c>
      <c r="D1768" s="2" t="str">
        <f t="shared" si="26"/>
        <v>Error?</v>
      </c>
    </row>
    <row r="1769" spans="1:5" x14ac:dyDescent="0.2">
      <c r="A1769" s="5">
        <v>1708</v>
      </c>
      <c r="B1769" s="138">
        <f>'Tax Sched 23'!D12</f>
        <v>15601</v>
      </c>
      <c r="C1769" s="2" t="s">
        <v>594</v>
      </c>
      <c r="D1769" s="2" t="str">
        <f t="shared" si="26"/>
        <v>Error?</v>
      </c>
    </row>
    <row r="1770" spans="1:5" x14ac:dyDescent="0.2">
      <c r="A1770" s="5">
        <v>1709</v>
      </c>
      <c r="B1770" s="138">
        <f>'Tax Sched 23'!D14</f>
        <v>12500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1309333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531190</v>
      </c>
      <c r="C1792" s="2" t="s">
        <v>594</v>
      </c>
      <c r="D1792" s="2" t="str">
        <f t="shared" si="27"/>
        <v>Error?</v>
      </c>
    </row>
    <row r="1793" spans="1:4" x14ac:dyDescent="0.2">
      <c r="A1793" s="5">
        <v>1732</v>
      </c>
      <c r="B1793" s="138">
        <f>'Tax Sched 23'!F5</f>
        <v>144346</v>
      </c>
      <c r="C1793" s="2" t="s">
        <v>594</v>
      </c>
      <c r="D1793" s="2" t="str">
        <f t="shared" si="27"/>
        <v>Error?</v>
      </c>
    </row>
    <row r="1794" spans="1:4" x14ac:dyDescent="0.2">
      <c r="A1794" s="5">
        <v>1733</v>
      </c>
      <c r="B1794" s="138">
        <f>'Tax Sched 23'!F6</f>
        <v>72308</v>
      </c>
      <c r="C1794" s="2" t="s">
        <v>594</v>
      </c>
      <c r="D1794" s="2" t="str">
        <f t="shared" si="27"/>
        <v>Error?</v>
      </c>
    </row>
    <row r="1795" spans="1:4" x14ac:dyDescent="0.2">
      <c r="A1795" s="5">
        <v>1734</v>
      </c>
      <c r="B1795" s="138">
        <f>'Tax Sched 23'!F7</f>
        <v>57735</v>
      </c>
      <c r="C1795" s="2" t="s">
        <v>594</v>
      </c>
      <c r="D1795" s="2" t="str">
        <f t="shared" si="27"/>
        <v>Error?</v>
      </c>
    </row>
    <row r="1796" spans="1:4" x14ac:dyDescent="0.2">
      <c r="A1796" s="5">
        <v>1735</v>
      </c>
      <c r="B1796" s="138">
        <f>'Tax Sched 23'!F8</f>
        <v>82991</v>
      </c>
      <c r="C1796" s="2" t="s">
        <v>594</v>
      </c>
      <c r="D1796" s="2" t="str">
        <f t="shared" si="27"/>
        <v>Error?</v>
      </c>
    </row>
    <row r="1797" spans="1:4" x14ac:dyDescent="0.2">
      <c r="A1797" s="5">
        <v>1736</v>
      </c>
      <c r="B1797" s="138">
        <f>'Tax Sched 23'!F10</f>
        <v>14433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168412</v>
      </c>
      <c r="C1800" s="2" t="s">
        <v>594</v>
      </c>
      <c r="D1800" s="2" t="str">
        <f t="shared" si="27"/>
        <v>Error?</v>
      </c>
    </row>
    <row r="1801" spans="1:4" x14ac:dyDescent="0.2">
      <c r="A1801" s="5">
        <v>1740</v>
      </c>
      <c r="B1801" s="138">
        <f>'Tax Sched 23'!F12</f>
        <v>14433</v>
      </c>
      <c r="C1801" s="2" t="s">
        <v>594</v>
      </c>
      <c r="D1801" s="2" t="str">
        <f t="shared" si="27"/>
        <v>Error?</v>
      </c>
    </row>
    <row r="1802" spans="1:4" x14ac:dyDescent="0.2">
      <c r="A1802" s="5">
        <v>1741</v>
      </c>
      <c r="B1802" s="138">
        <f>'Tax Sched 23'!F14</f>
        <v>11546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1194818</v>
      </c>
      <c r="C1807" s="2" t="s">
        <v>594</v>
      </c>
      <c r="D1807" s="2" t="str">
        <f t="shared" si="27"/>
        <v>Error?</v>
      </c>
    </row>
    <row r="1808" spans="1:4" x14ac:dyDescent="0.2">
      <c r="A1808" s="5">
        <v>1747</v>
      </c>
      <c r="B1808" s="138">
        <f>'Tax Sched 23'!E4</f>
        <v>531190</v>
      </c>
      <c r="D1808" s="2" t="str">
        <f t="shared" si="27"/>
        <v>Error?</v>
      </c>
    </row>
    <row r="1809" spans="1:4" x14ac:dyDescent="0.2">
      <c r="A1809" s="5">
        <v>1748</v>
      </c>
      <c r="B1809" s="138">
        <f>'Tax Sched 23'!E5</f>
        <v>144346</v>
      </c>
      <c r="D1809" s="2" t="str">
        <f t="shared" si="27"/>
        <v>Error?</v>
      </c>
    </row>
    <row r="1810" spans="1:4" x14ac:dyDescent="0.2">
      <c r="A1810" s="5">
        <v>1749</v>
      </c>
      <c r="B1810" s="138">
        <f>'Tax Sched 23'!E6</f>
        <v>72308</v>
      </c>
      <c r="D1810" s="2" t="str">
        <f t="shared" si="27"/>
        <v>Error?</v>
      </c>
    </row>
    <row r="1811" spans="1:4" x14ac:dyDescent="0.2">
      <c r="A1811" s="5">
        <v>1750</v>
      </c>
      <c r="B1811" s="138">
        <f>'Tax Sched 23'!E7</f>
        <v>57735</v>
      </c>
      <c r="D1811" s="2" t="str">
        <f t="shared" si="27"/>
        <v>Error?</v>
      </c>
    </row>
    <row r="1812" spans="1:4" x14ac:dyDescent="0.2">
      <c r="A1812" s="5">
        <v>1751</v>
      </c>
      <c r="B1812" s="138">
        <f>'Tax Sched 23'!E8</f>
        <v>82991</v>
      </c>
      <c r="D1812" s="2" t="str">
        <f t="shared" si="27"/>
        <v>Error?</v>
      </c>
    </row>
    <row r="1813" spans="1:4" x14ac:dyDescent="0.2">
      <c r="A1813" s="5">
        <v>1752</v>
      </c>
      <c r="B1813" s="138">
        <f>'Tax Sched 23'!E10</f>
        <v>14433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168412</v>
      </c>
      <c r="D1816" s="2" t="str">
        <f t="shared" si="27"/>
        <v>Error?</v>
      </c>
    </row>
    <row r="1817" spans="1:4" x14ac:dyDescent="0.2">
      <c r="A1817" s="5">
        <v>1756</v>
      </c>
      <c r="B1817" s="138">
        <f>'Tax Sched 23'!E12</f>
        <v>14433</v>
      </c>
      <c r="D1817" s="2" t="str">
        <f t="shared" si="27"/>
        <v>Error?</v>
      </c>
    </row>
    <row r="1818" spans="1:4" x14ac:dyDescent="0.2">
      <c r="A1818" s="5">
        <v>1757</v>
      </c>
      <c r="B1818" s="138">
        <f>'Tax Sched 23'!E14</f>
        <v>11546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1194818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1562000</v>
      </c>
      <c r="C1939" s="2" t="s">
        <v>594</v>
      </c>
      <c r="D1939" s="2" t="str">
        <f t="shared" si="29"/>
        <v>Error?</v>
      </c>
    </row>
    <row r="1940" spans="1:5" x14ac:dyDescent="0.2">
      <c r="A1940" s="5">
        <v>1879</v>
      </c>
      <c r="B1940" s="138">
        <f>'Short-Term Long-Term Debt 24'!F49</f>
        <v>25000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12520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12520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12520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47503</v>
      </c>
      <c r="D2008" s="2" t="str">
        <f t="shared" si="30"/>
        <v>Error?</v>
      </c>
    </row>
    <row r="2009" spans="1:4" x14ac:dyDescent="0.2">
      <c r="A2009" s="5">
        <v>1948</v>
      </c>
      <c r="B2009" s="138">
        <f>'Cap Outlay Deprec 26'!C8</f>
        <v>8294159</v>
      </c>
      <c r="D2009" s="2" t="str">
        <f t="shared" si="30"/>
        <v>Error?</v>
      </c>
    </row>
    <row r="2010" spans="1:4" x14ac:dyDescent="0.2">
      <c r="A2010" s="5">
        <v>1949</v>
      </c>
      <c r="B2010" s="138">
        <f>'Cap Outlay Deprec 26'!C10</f>
        <v>143747</v>
      </c>
      <c r="D2010" s="2" t="str">
        <f t="shared" si="30"/>
        <v>Error?</v>
      </c>
    </row>
    <row r="2011" spans="1:4" x14ac:dyDescent="0.2">
      <c r="A2011" s="5">
        <v>1950</v>
      </c>
      <c r="B2011" s="138">
        <f>'Cap Outlay Deprec 26'!C12</f>
        <v>387021</v>
      </c>
      <c r="D2011" s="2" t="str">
        <f t="shared" si="30"/>
        <v>Error?</v>
      </c>
    </row>
    <row r="2012" spans="1:4" x14ac:dyDescent="0.2">
      <c r="A2012" s="5">
        <v>1951</v>
      </c>
      <c r="B2012" s="138">
        <f>'Cap Outlay Deprec 26'!C13</f>
        <v>514002</v>
      </c>
      <c r="D2012" s="2" t="str">
        <f t="shared" si="30"/>
        <v>Error?</v>
      </c>
    </row>
    <row r="2013" spans="1:4" x14ac:dyDescent="0.2">
      <c r="A2013" s="5">
        <v>1952</v>
      </c>
      <c r="B2013" s="138">
        <f>'Cap Outlay Deprec 26'!C16</f>
        <v>9401470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64605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64605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30447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30447</v>
      </c>
      <c r="C2025" s="2" t="s">
        <v>594</v>
      </c>
      <c r="D2025" s="2" t="str">
        <f t="shared" si="30"/>
        <v>Error?</v>
      </c>
    </row>
    <row r="2026" spans="1:4" x14ac:dyDescent="0.2">
      <c r="A2026" s="5">
        <v>1965</v>
      </c>
      <c r="B2026" s="138">
        <f>'Cap Outlay Deprec 26'!F5</f>
        <v>47503</v>
      </c>
      <c r="C2026" s="2" t="s">
        <v>594</v>
      </c>
      <c r="D2026" s="2" t="str">
        <f t="shared" si="30"/>
        <v>Error?</v>
      </c>
    </row>
    <row r="2027" spans="1:4" x14ac:dyDescent="0.2">
      <c r="A2027" s="5">
        <v>1966</v>
      </c>
      <c r="B2027" s="138">
        <f>'Cap Outlay Deprec 26'!F8</f>
        <v>8294159</v>
      </c>
      <c r="C2027" s="2" t="s">
        <v>594</v>
      </c>
      <c r="D2027" s="2" t="str">
        <f t="shared" si="30"/>
        <v>Error?</v>
      </c>
    </row>
    <row r="2028" spans="1:4" x14ac:dyDescent="0.2">
      <c r="A2028" s="5">
        <v>1967</v>
      </c>
      <c r="B2028" s="138">
        <f>'Cap Outlay Deprec 26'!F10</f>
        <v>143747</v>
      </c>
      <c r="C2028" s="2" t="s">
        <v>594</v>
      </c>
      <c r="D2028" s="2" t="str">
        <f t="shared" si="30"/>
        <v>Error?</v>
      </c>
    </row>
    <row r="2029" spans="1:4" x14ac:dyDescent="0.2">
      <c r="A2029" s="5">
        <v>1968</v>
      </c>
      <c r="B2029" s="138">
        <f>'Cap Outlay Deprec 26'!F12</f>
        <v>421179</v>
      </c>
      <c r="C2029" s="2" t="s">
        <v>594</v>
      </c>
      <c r="D2029" s="2" t="str">
        <f t="shared" si="30"/>
        <v>Error?</v>
      </c>
    </row>
    <row r="2030" spans="1:4" x14ac:dyDescent="0.2">
      <c r="A2030" s="5">
        <v>1969</v>
      </c>
      <c r="B2030" s="138">
        <f>'Cap Outlay Deprec 26'!F13</f>
        <v>514002</v>
      </c>
      <c r="C2030" s="2" t="s">
        <v>594</v>
      </c>
      <c r="D2030" s="2" t="str">
        <f t="shared" si="30"/>
        <v>Error?</v>
      </c>
    </row>
    <row r="2031" spans="1:4" x14ac:dyDescent="0.2">
      <c r="A2031" s="5">
        <v>1970</v>
      </c>
      <c r="B2031" s="138">
        <f>'Cap Outlay Deprec 26'!F16</f>
        <v>9435628</v>
      </c>
      <c r="C2031" s="2" t="s">
        <v>594</v>
      </c>
      <c r="D2031" s="2" t="str">
        <f t="shared" si="30"/>
        <v>Error?</v>
      </c>
    </row>
    <row r="2032" spans="1:4" x14ac:dyDescent="0.2">
      <c r="A2032" s="10">
        <v>1971</v>
      </c>
      <c r="D2032" s="2" t="str">
        <f t="shared" si="30"/>
        <v>OK</v>
      </c>
    </row>
    <row r="2033" spans="1:4" x14ac:dyDescent="0.2">
      <c r="A2033" s="5">
        <v>1972</v>
      </c>
      <c r="B2033" s="138">
        <f>'Cap Outlay Deprec 26'!H8</f>
        <v>3521558</v>
      </c>
      <c r="D2033" s="2" t="str">
        <f t="shared" si="30"/>
        <v>Error?</v>
      </c>
    </row>
    <row r="2034" spans="1:4" x14ac:dyDescent="0.2">
      <c r="A2034" s="5">
        <v>1973</v>
      </c>
      <c r="B2034" s="138">
        <f>'Cap Outlay Deprec 26'!H10</f>
        <v>64110</v>
      </c>
      <c r="D2034" s="2" t="str">
        <f t="shared" si="30"/>
        <v>Error?</v>
      </c>
    </row>
    <row r="2035" spans="1:4" x14ac:dyDescent="0.2">
      <c r="A2035" s="5">
        <v>1974</v>
      </c>
      <c r="B2035" s="138">
        <f>'Cap Outlay Deprec 26'!H12</f>
        <v>221398</v>
      </c>
      <c r="D2035" s="2" t="str">
        <f t="shared" si="30"/>
        <v>Error?</v>
      </c>
    </row>
    <row r="2036" spans="1:4" x14ac:dyDescent="0.2">
      <c r="A2036" s="5">
        <v>1975</v>
      </c>
      <c r="B2036" s="138">
        <f>'Cap Outlay Deprec 26'!H13</f>
        <v>462766</v>
      </c>
      <c r="D2036" s="2" t="str">
        <f t="shared" si="30"/>
        <v>Error?</v>
      </c>
    </row>
    <row r="2037" spans="1:4" x14ac:dyDescent="0.2">
      <c r="A2037" s="5">
        <v>1976</v>
      </c>
      <c r="B2037" s="138">
        <f>'Cap Outlay Deprec 26'!H16</f>
        <v>4284870</v>
      </c>
      <c r="C2037" s="2" t="s">
        <v>594</v>
      </c>
      <c r="D2037" s="2" t="str">
        <f t="shared" si="30"/>
        <v>Error?</v>
      </c>
    </row>
    <row r="2038" spans="1:4" x14ac:dyDescent="0.2">
      <c r="A2038" s="10">
        <v>1977</v>
      </c>
      <c r="D2038" s="2" t="str">
        <f t="shared" si="30"/>
        <v>OK</v>
      </c>
    </row>
    <row r="2039" spans="1:4" x14ac:dyDescent="0.2">
      <c r="A2039" s="5">
        <v>1978</v>
      </c>
      <c r="B2039" s="138">
        <f>'Cap Outlay Deprec 26'!I8</f>
        <v>130212</v>
      </c>
      <c r="D2039" s="2" t="str">
        <f t="shared" si="30"/>
        <v>Error?</v>
      </c>
    </row>
    <row r="2040" spans="1:4" x14ac:dyDescent="0.2">
      <c r="A2040" s="5">
        <v>1979</v>
      </c>
      <c r="B2040" s="138">
        <f>'Cap Outlay Deprec 26'!I10</f>
        <v>5489</v>
      </c>
      <c r="D2040" s="2" t="str">
        <f t="shared" si="30"/>
        <v>Error?</v>
      </c>
    </row>
    <row r="2041" spans="1:4" x14ac:dyDescent="0.2">
      <c r="A2041" s="5">
        <v>1980</v>
      </c>
      <c r="B2041" s="138">
        <f>'Cap Outlay Deprec 26'!I12</f>
        <v>42118</v>
      </c>
      <c r="D2041" s="2" t="str">
        <f t="shared" si="30"/>
        <v>Error?</v>
      </c>
    </row>
    <row r="2042" spans="1:4" x14ac:dyDescent="0.2">
      <c r="A2042" s="5">
        <v>1981</v>
      </c>
      <c r="B2042" s="138">
        <f>'Cap Outlay Deprec 26'!I13</f>
        <v>24313</v>
      </c>
      <c r="D2042" s="2" t="str">
        <f t="shared" si="30"/>
        <v>Error?</v>
      </c>
    </row>
    <row r="2043" spans="1:4" x14ac:dyDescent="0.2">
      <c r="A2043" s="5">
        <v>1982</v>
      </c>
      <c r="B2043" s="138">
        <f>'Cap Outlay Deprec 26'!I16</f>
        <v>202132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30447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30447</v>
      </c>
      <c r="C2049" s="2" t="s">
        <v>594</v>
      </c>
      <c r="D2049" s="2" t="str">
        <f t="shared" si="31"/>
        <v>Error?</v>
      </c>
    </row>
    <row r="2050" spans="1:4" x14ac:dyDescent="0.2">
      <c r="A2050" s="10">
        <v>1989</v>
      </c>
      <c r="D2050" s="2" t="str">
        <f t="shared" si="31"/>
        <v>OK</v>
      </c>
    </row>
    <row r="2051" spans="1:4" x14ac:dyDescent="0.2">
      <c r="A2051" s="5">
        <v>1990</v>
      </c>
      <c r="B2051" s="138">
        <f>'Cap Outlay Deprec 26'!K8</f>
        <v>3651770</v>
      </c>
      <c r="C2051" s="2" t="s">
        <v>594</v>
      </c>
      <c r="D2051" s="2" t="str">
        <f t="shared" si="31"/>
        <v>Error?</v>
      </c>
    </row>
    <row r="2052" spans="1:4" x14ac:dyDescent="0.2">
      <c r="A2052" s="5">
        <v>1991</v>
      </c>
      <c r="B2052" s="138">
        <f>'Cap Outlay Deprec 26'!K10</f>
        <v>69599</v>
      </c>
      <c r="C2052" s="2" t="s">
        <v>594</v>
      </c>
      <c r="D2052" s="2" t="str">
        <f t="shared" si="31"/>
        <v>Error?</v>
      </c>
    </row>
    <row r="2053" spans="1:4" x14ac:dyDescent="0.2">
      <c r="A2053" s="5">
        <v>1992</v>
      </c>
      <c r="B2053" s="138">
        <f>'Cap Outlay Deprec 26'!K12</f>
        <v>233069</v>
      </c>
      <c r="C2053" s="2" t="s">
        <v>594</v>
      </c>
      <c r="D2053" s="2" t="str">
        <f t="shared" si="31"/>
        <v>Error?</v>
      </c>
    </row>
    <row r="2054" spans="1:4" x14ac:dyDescent="0.2">
      <c r="A2054" s="5">
        <v>1993</v>
      </c>
      <c r="B2054" s="138">
        <f>'Cap Outlay Deprec 26'!K13</f>
        <v>487079</v>
      </c>
      <c r="C2054" s="2" t="s">
        <v>594</v>
      </c>
      <c r="D2054" s="2" t="str">
        <f t="shared" si="31"/>
        <v>Error?</v>
      </c>
    </row>
    <row r="2055" spans="1:4" x14ac:dyDescent="0.2">
      <c r="A2055" s="5">
        <v>1994</v>
      </c>
      <c r="B2055" s="138">
        <f>'Cap Outlay Deprec 26'!K16</f>
        <v>4456555</v>
      </c>
      <c r="C2055" s="2" t="s">
        <v>594</v>
      </c>
      <c r="D2055" s="2" t="str">
        <f t="shared" si="31"/>
        <v>Error?</v>
      </c>
    </row>
    <row r="2056" spans="1:4" x14ac:dyDescent="0.2">
      <c r="A2056" s="5">
        <v>1995</v>
      </c>
      <c r="B2056" s="138">
        <f>'Cap Outlay Deprec 26'!L5</f>
        <v>47503</v>
      </c>
      <c r="C2056" s="2" t="s">
        <v>594</v>
      </c>
      <c r="D2056" s="2" t="str">
        <f t="shared" si="31"/>
        <v>Error?</v>
      </c>
    </row>
    <row r="2057" spans="1:4" x14ac:dyDescent="0.2">
      <c r="A2057" s="5">
        <v>1996</v>
      </c>
      <c r="B2057" s="138">
        <f>'Cap Outlay Deprec 26'!L8</f>
        <v>4642389</v>
      </c>
      <c r="C2057" s="2" t="s">
        <v>594</v>
      </c>
      <c r="D2057" s="2" t="str">
        <f t="shared" si="31"/>
        <v>Error?</v>
      </c>
    </row>
    <row r="2058" spans="1:4" x14ac:dyDescent="0.2">
      <c r="A2058" s="5">
        <v>1997</v>
      </c>
      <c r="B2058" s="138">
        <f>'Cap Outlay Deprec 26'!L10</f>
        <v>74148</v>
      </c>
      <c r="C2058" s="2" t="s">
        <v>594</v>
      </c>
      <c r="D2058" s="2" t="str">
        <f t="shared" si="31"/>
        <v>Error?</v>
      </c>
    </row>
    <row r="2059" spans="1:4" x14ac:dyDescent="0.2">
      <c r="A2059" s="5">
        <v>1998</v>
      </c>
      <c r="B2059" s="138">
        <f>'Cap Outlay Deprec 26'!L12</f>
        <v>188110</v>
      </c>
      <c r="C2059" s="2" t="s">
        <v>594</v>
      </c>
      <c r="D2059" s="2" t="str">
        <f t="shared" si="31"/>
        <v>Error?</v>
      </c>
    </row>
    <row r="2060" spans="1:4" x14ac:dyDescent="0.2">
      <c r="A2060" s="5">
        <v>1999</v>
      </c>
      <c r="B2060" s="138">
        <f>'Cap Outlay Deprec 26'!L13</f>
        <v>26923</v>
      </c>
      <c r="C2060" s="2" t="s">
        <v>594</v>
      </c>
      <c r="D2060" s="2" t="str">
        <f t="shared" si="31"/>
        <v>Error?</v>
      </c>
    </row>
    <row r="2061" spans="1:4" x14ac:dyDescent="0.2">
      <c r="A2061" s="5">
        <v>2000</v>
      </c>
      <c r="B2061" s="138">
        <f>'Cap Outlay Deprec 26'!L16</f>
        <v>4979073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64018</v>
      </c>
      <c r="C2088" s="2" t="s">
        <v>594</v>
      </c>
      <c r="D2088" s="2" t="str">
        <f t="shared" si="31"/>
        <v>Error?</v>
      </c>
    </row>
    <row r="2089" spans="1:4" x14ac:dyDescent="0.2">
      <c r="A2089" s="5">
        <v>2028</v>
      </c>
      <c r="B2089" s="138">
        <f>'Expenditures 15-22'!K92</f>
        <v>128288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67004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8918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882983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875549</v>
      </c>
      <c r="C2551" s="2" t="s">
        <v>594</v>
      </c>
      <c r="D2551" s="2" t="str">
        <f t="shared" si="38"/>
        <v>Error?</v>
      </c>
    </row>
    <row r="2552" spans="1:4" x14ac:dyDescent="0.2">
      <c r="A2552" s="10">
        <v>2491</v>
      </c>
      <c r="D2552" s="2" t="str">
        <f t="shared" si="38"/>
        <v>OK</v>
      </c>
    </row>
    <row r="2553" spans="1:4" x14ac:dyDescent="0.2">
      <c r="A2553" s="5">
        <v>2492</v>
      </c>
      <c r="B2553" s="138">
        <f>'Acct Summary 7-8'!C6</f>
        <v>2213569</v>
      </c>
      <c r="C2553" s="2" t="s">
        <v>594</v>
      </c>
      <c r="D2553" s="2" t="str">
        <f t="shared" si="38"/>
        <v>Error?</v>
      </c>
    </row>
    <row r="2554" spans="1:4" x14ac:dyDescent="0.2">
      <c r="A2554" s="5">
        <v>2493</v>
      </c>
      <c r="B2554" s="138">
        <f>'Acct Summary 7-8'!C7</f>
        <v>513691</v>
      </c>
      <c r="C2554" s="2" t="s">
        <v>594</v>
      </c>
      <c r="D2554" s="2" t="str">
        <f t="shared" si="38"/>
        <v>Error?</v>
      </c>
    </row>
    <row r="2555" spans="1:4" x14ac:dyDescent="0.2">
      <c r="A2555" s="5">
        <v>2494</v>
      </c>
      <c r="B2555" s="138">
        <f>'Acct Summary 7-8'!C8</f>
        <v>3602809</v>
      </c>
      <c r="C2555" s="2" t="s">
        <v>594</v>
      </c>
      <c r="D2555" s="2" t="str">
        <f t="shared" si="38"/>
        <v>Error?</v>
      </c>
    </row>
    <row r="2556" spans="1:4" x14ac:dyDescent="0.2">
      <c r="A2556" s="5">
        <v>2495</v>
      </c>
      <c r="B2556" s="138">
        <f>'Acct Summary 7-8'!C12</f>
        <v>2274579</v>
      </c>
      <c r="C2556" s="2" t="s">
        <v>594</v>
      </c>
      <c r="D2556" s="2" t="str">
        <f t="shared" si="38"/>
        <v>Error?</v>
      </c>
    </row>
    <row r="2557" spans="1:4" x14ac:dyDescent="0.2">
      <c r="A2557" s="5">
        <v>2496</v>
      </c>
      <c r="B2557" s="138">
        <f>'Acct Summary 7-8'!C13</f>
        <v>990174</v>
      </c>
      <c r="C2557" s="2" t="s">
        <v>594</v>
      </c>
      <c r="D2557" s="2" t="str">
        <f t="shared" si="38"/>
        <v>Error?</v>
      </c>
    </row>
    <row r="2558" spans="1:4" x14ac:dyDescent="0.2">
      <c r="A2558" s="5">
        <v>2497</v>
      </c>
      <c r="B2558" s="138">
        <f>'Acct Summary 7-8'!C14</f>
        <v>2593</v>
      </c>
      <c r="C2558" s="2" t="s">
        <v>594</v>
      </c>
      <c r="D2558" s="2" t="str">
        <f t="shared" si="38"/>
        <v>Error?</v>
      </c>
    </row>
    <row r="2559" spans="1:4" x14ac:dyDescent="0.2">
      <c r="A2559" s="5">
        <v>2498</v>
      </c>
      <c r="B2559" s="138">
        <f>'Acct Summary 7-8'!C15</f>
        <v>192306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3459652</v>
      </c>
      <c r="C2561" s="2" t="s">
        <v>594</v>
      </c>
      <c r="D2561" s="2" t="str">
        <f t="shared" si="39"/>
        <v>Error?</v>
      </c>
    </row>
    <row r="2562" spans="1:4" x14ac:dyDescent="0.2">
      <c r="A2562" s="5">
        <v>2501</v>
      </c>
      <c r="B2562" s="138">
        <f>'Acct Summary 7-8'!C20</f>
        <v>143157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234436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234436</v>
      </c>
      <c r="C2568" s="2" t="s">
        <v>594</v>
      </c>
      <c r="D2568" s="2" t="str">
        <f t="shared" si="39"/>
        <v>Error?</v>
      </c>
    </row>
    <row r="2569" spans="1:4" x14ac:dyDescent="0.2">
      <c r="A2569" s="5">
        <v>2508</v>
      </c>
      <c r="B2569" s="138">
        <f>'Acct Summary 7-8'!D13</f>
        <v>139352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139352</v>
      </c>
      <c r="C2573" s="2" t="s">
        <v>594</v>
      </c>
      <c r="D2573" s="2" t="str">
        <f t="shared" si="39"/>
        <v>Error?</v>
      </c>
    </row>
    <row r="2574" spans="1:4" x14ac:dyDescent="0.2">
      <c r="A2574" s="5">
        <v>2513</v>
      </c>
      <c r="B2574" s="138">
        <f>'Acct Summary 7-8'!D20</f>
        <v>95084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65528</v>
      </c>
      <c r="C2591" s="2" t="s">
        <v>594</v>
      </c>
      <c r="D2591" s="2" t="str">
        <f t="shared" si="39"/>
        <v>Error?</v>
      </c>
    </row>
    <row r="2592" spans="1:4" x14ac:dyDescent="0.2">
      <c r="A2592" s="10">
        <v>2531</v>
      </c>
      <c r="D2592" s="2" t="str">
        <f t="shared" si="39"/>
        <v>OK</v>
      </c>
    </row>
    <row r="2593" spans="1:4" x14ac:dyDescent="0.2">
      <c r="A2593" s="5">
        <v>2532</v>
      </c>
      <c r="B2593" s="138">
        <f>'Acct Summary 7-8'!F6</f>
        <v>249699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315227</v>
      </c>
      <c r="C2595" s="2" t="s">
        <v>594</v>
      </c>
      <c r="D2595" s="2" t="str">
        <f t="shared" si="39"/>
        <v>Error?</v>
      </c>
    </row>
    <row r="2596" spans="1:4" x14ac:dyDescent="0.2">
      <c r="A2596" s="5">
        <v>2535</v>
      </c>
      <c r="B2596" s="138">
        <f>'Acct Summary 7-8'!F13</f>
        <v>236027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236027</v>
      </c>
      <c r="C2600" s="2" t="s">
        <v>594</v>
      </c>
      <c r="D2600" s="2" t="str">
        <f t="shared" si="39"/>
        <v>Error?</v>
      </c>
    </row>
    <row r="2601" spans="1:4" x14ac:dyDescent="0.2">
      <c r="A2601" s="5">
        <v>2540</v>
      </c>
      <c r="B2601" s="138">
        <f>'Acct Summary 7-8'!F20</f>
        <v>79200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198081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198081</v>
      </c>
      <c r="C2606" s="2" t="s">
        <v>594</v>
      </c>
      <c r="D2606" s="2" t="str">
        <f t="shared" si="39"/>
        <v>Error?</v>
      </c>
    </row>
    <row r="2607" spans="1:4" x14ac:dyDescent="0.2">
      <c r="A2607" s="5">
        <v>2546</v>
      </c>
      <c r="B2607" s="138">
        <f>'Acct Summary 7-8'!G12</f>
        <v>57042</v>
      </c>
      <c r="C2607" s="2" t="s">
        <v>594</v>
      </c>
      <c r="D2607" s="2" t="str">
        <f t="shared" si="39"/>
        <v>Error?</v>
      </c>
    </row>
    <row r="2608" spans="1:4" x14ac:dyDescent="0.2">
      <c r="A2608" s="5">
        <v>2547</v>
      </c>
      <c r="B2608" s="138">
        <f>'Acct Summary 7-8'!G13</f>
        <v>106137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163179</v>
      </c>
      <c r="C2612" s="2" t="s">
        <v>594</v>
      </c>
      <c r="D2612" s="2" t="str">
        <f t="shared" si="39"/>
        <v>Error?</v>
      </c>
    </row>
    <row r="2613" spans="1:4" x14ac:dyDescent="0.2">
      <c r="A2613" s="5">
        <v>2552</v>
      </c>
      <c r="B2613" s="138">
        <f>'Acct Summary 7-8'!G20</f>
        <v>34902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109548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137428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104653</v>
      </c>
      <c r="C2634" s="2" t="s">
        <v>594</v>
      </c>
      <c r="D2634" s="2" t="str">
        <f t="shared" si="40"/>
        <v>Error?</v>
      </c>
    </row>
    <row r="2635" spans="1:4" x14ac:dyDescent="0.2">
      <c r="A2635" s="5">
        <v>2574</v>
      </c>
      <c r="B2635" s="138">
        <f>'Acct Summary 7-8'!E17</f>
        <v>104653</v>
      </c>
      <c r="C2635" s="2" t="s">
        <v>594</v>
      </c>
      <c r="D2635" s="2" t="str">
        <f t="shared" si="40"/>
        <v>Error?</v>
      </c>
    </row>
    <row r="2636" spans="1:4" x14ac:dyDescent="0.2">
      <c r="A2636" s="5">
        <v>2575</v>
      </c>
      <c r="B2636" s="138">
        <f>'Acct Summary 7-8'!E20</f>
        <v>32775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9900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9900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63706</v>
      </c>
      <c r="C2789" s="2" t="s">
        <v>594</v>
      </c>
      <c r="D2789" s="2" t="str">
        <f t="shared" si="42"/>
        <v>Error?</v>
      </c>
    </row>
    <row r="2790" spans="1:4" x14ac:dyDescent="0.2">
      <c r="A2790" s="5">
        <v>2729</v>
      </c>
      <c r="B2790" s="138">
        <f>'Expenditures 15-22'!E102</f>
        <v>63706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223776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224481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77686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224481</v>
      </c>
      <c r="D2912" s="2" t="str">
        <f t="shared" si="44"/>
        <v>Error?</v>
      </c>
    </row>
    <row r="2913" spans="1:4" x14ac:dyDescent="0.2">
      <c r="A2913" s="5">
        <v>2852</v>
      </c>
      <c r="B2913" s="138">
        <f>'Assets-Liab 5-6'!I41</f>
        <v>224481</v>
      </c>
      <c r="C2913" s="2" t="s">
        <v>594</v>
      </c>
      <c r="D2913" s="2" t="str">
        <f t="shared" si="44"/>
        <v>Error?</v>
      </c>
    </row>
    <row r="2914" spans="1:4" x14ac:dyDescent="0.2">
      <c r="A2914" s="5">
        <v>2853</v>
      </c>
      <c r="B2914" s="138">
        <f>'Assets-Liab 5-6'!L33</f>
        <v>77686</v>
      </c>
      <c r="D2914" s="2" t="str">
        <f t="shared" si="44"/>
        <v>Error?</v>
      </c>
    </row>
    <row r="2915" spans="1:4" x14ac:dyDescent="0.2">
      <c r="A2915" s="10">
        <v>2854</v>
      </c>
      <c r="D2915" s="2" t="str">
        <f t="shared" si="44"/>
        <v>OK</v>
      </c>
    </row>
    <row r="2916" spans="1:4" x14ac:dyDescent="0.2">
      <c r="A2916" s="5">
        <v>2855</v>
      </c>
      <c r="B2916" s="138">
        <f>'Assets-Liab 5-6'!L34</f>
        <v>77686</v>
      </c>
      <c r="C2916" s="2" t="s">
        <v>594</v>
      </c>
      <c r="D2916" s="2" t="str">
        <f t="shared" si="44"/>
        <v>Error?</v>
      </c>
    </row>
    <row r="2917" spans="1:4" x14ac:dyDescent="0.2">
      <c r="A2917" s="5">
        <v>2856</v>
      </c>
      <c r="B2917" s="138">
        <f>'Assets-Liab 5-6'!L41</f>
        <v>77686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63706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312</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312</v>
      </c>
      <c r="C2973" s="2" t="s">
        <v>594</v>
      </c>
      <c r="D2973" s="2" t="str">
        <f t="shared" si="45"/>
        <v>Error?</v>
      </c>
    </row>
    <row r="2974" spans="1:4" x14ac:dyDescent="0.2">
      <c r="A2974" s="5">
        <v>2913</v>
      </c>
      <c r="B2974" s="138">
        <f>'Expenditures 15-22'!K79</f>
        <v>63706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95608</v>
      </c>
      <c r="D3055" s="2" t="str">
        <f t="shared" si="46"/>
        <v>Error?</v>
      </c>
    </row>
    <row r="3056" spans="1:4" x14ac:dyDescent="0.2">
      <c r="A3056" s="5">
        <v>2995</v>
      </c>
      <c r="B3056" s="138">
        <f>'Expenditures 15-22'!D10</f>
        <v>176</v>
      </c>
      <c r="D3056" s="2" t="str">
        <f t="shared" si="46"/>
        <v>Error?</v>
      </c>
    </row>
    <row r="3057" spans="1:4" x14ac:dyDescent="0.2">
      <c r="A3057" s="5">
        <v>2996</v>
      </c>
      <c r="B3057" s="138">
        <f>'Expenditures 15-22'!E10</f>
        <v>5276</v>
      </c>
      <c r="D3057" s="2" t="str">
        <f t="shared" si="46"/>
        <v>Error?</v>
      </c>
    </row>
    <row r="3058" spans="1:4" x14ac:dyDescent="0.2">
      <c r="A3058" s="5">
        <v>2997</v>
      </c>
      <c r="B3058" s="138">
        <f>'Expenditures 15-22'!F10</f>
        <v>42305</v>
      </c>
      <c r="D3058" s="2" t="str">
        <f t="shared" si="46"/>
        <v>Error?</v>
      </c>
    </row>
    <row r="3059" spans="1:4" x14ac:dyDescent="0.2">
      <c r="A3059" s="5">
        <v>2998</v>
      </c>
      <c r="B3059" s="138">
        <f>'Expenditures 15-22'!G10</f>
        <v>17238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160603</v>
      </c>
      <c r="C3062" s="2" t="s">
        <v>594</v>
      </c>
      <c r="D3062" s="2" t="str">
        <f t="shared" si="46"/>
        <v>Error?</v>
      </c>
    </row>
    <row r="3063" spans="1:4" x14ac:dyDescent="0.2">
      <c r="A3063" s="10">
        <v>3002</v>
      </c>
      <c r="D3063" s="2" t="str">
        <f t="shared" si="46"/>
        <v>OK</v>
      </c>
    </row>
    <row r="3064" spans="1:4" x14ac:dyDescent="0.2">
      <c r="A3064" s="5">
        <v>3003</v>
      </c>
      <c r="B3064" s="138">
        <f>'Expenditures 15-22'!D219</f>
        <v>16532</v>
      </c>
      <c r="D3064" s="2" t="str">
        <f t="shared" si="46"/>
        <v>Error?</v>
      </c>
    </row>
    <row r="3065" spans="1:4" x14ac:dyDescent="0.2">
      <c r="A3065" s="5">
        <v>3004</v>
      </c>
      <c r="B3065" s="138">
        <f>'Expenditures 15-22'!K219</f>
        <v>16532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16727</v>
      </c>
      <c r="C3225" s="2" t="s">
        <v>594</v>
      </c>
      <c r="D3225" s="2" t="str">
        <f t="shared" si="49"/>
        <v>Error?</v>
      </c>
    </row>
    <row r="3226" spans="1:4" x14ac:dyDescent="0.2">
      <c r="A3226" s="5">
        <v>3165</v>
      </c>
      <c r="B3226" s="138">
        <f>'Acct Summary 7-8'!I8</f>
        <v>16727</v>
      </c>
      <c r="C3226" s="2" t="s">
        <v>594</v>
      </c>
      <c r="D3226" s="2" t="str">
        <f t="shared" si="49"/>
        <v>Error?</v>
      </c>
    </row>
    <row r="3227" spans="1:4" x14ac:dyDescent="0.2">
      <c r="A3227" s="5">
        <v>3166</v>
      </c>
      <c r="B3227" s="138">
        <f>'Acct Summary 7-8'!I20</f>
        <v>16727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25000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4755</v>
      </c>
      <c r="C3231" s="2" t="s">
        <v>594</v>
      </c>
      <c r="D3231" s="2" t="str">
        <f t="shared" si="49"/>
        <v>Error?</v>
      </c>
    </row>
    <row r="3232" spans="1:4" x14ac:dyDescent="0.2">
      <c r="A3232" s="5">
        <v>3171</v>
      </c>
      <c r="B3232" s="138">
        <f>'Acct Summary 7-8'!C77</f>
        <v>20245</v>
      </c>
      <c r="C3232" s="2" t="s">
        <v>594</v>
      </c>
      <c r="D3232" s="2" t="str">
        <f t="shared" si="49"/>
        <v>Error?</v>
      </c>
    </row>
    <row r="3233" spans="1:4" x14ac:dyDescent="0.2">
      <c r="A3233" s="5">
        <v>3172</v>
      </c>
      <c r="B3233" s="138">
        <f>'Acct Summary 7-8'!C78</f>
        <v>163402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95084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79200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34902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4755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4755</v>
      </c>
      <c r="C3277" s="2" t="s">
        <v>594</v>
      </c>
      <c r="D3277" s="2" t="str">
        <f t="shared" si="50"/>
        <v>Error?</v>
      </c>
    </row>
    <row r="3278" spans="1:4" x14ac:dyDescent="0.2">
      <c r="A3278" s="5">
        <v>3217</v>
      </c>
      <c r="B3278" s="138">
        <f>'Acct Summary 7-8'!E78</f>
        <v>37530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16727</v>
      </c>
      <c r="C3320" s="2" t="s">
        <v>594</v>
      </c>
      <c r="D3320" s="2" t="str">
        <f t="shared" si="50"/>
        <v>Error?</v>
      </c>
    </row>
    <row r="3321" spans="1:4" x14ac:dyDescent="0.2">
      <c r="A3321" s="5">
        <v>3260</v>
      </c>
      <c r="B3321" s="138">
        <f>'Acct Summary 7-8'!I79</f>
        <v>207754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224481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221670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3016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952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383</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227738</v>
      </c>
      <c r="C3380" s="2" t="s">
        <v>594</v>
      </c>
      <c r="D3380" s="2" t="str">
        <f t="shared" si="51"/>
        <v>Error?</v>
      </c>
    </row>
    <row r="3381" spans="1:4" x14ac:dyDescent="0.2">
      <c r="A3381" s="5">
        <v>3320</v>
      </c>
      <c r="B3381" s="138">
        <f>'Expenditures 15-22'!K19</f>
        <v>383</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30506</v>
      </c>
      <c r="D3387" s="2" t="str">
        <f t="shared" si="51"/>
        <v>Error?</v>
      </c>
    </row>
    <row r="3388" spans="1:4" x14ac:dyDescent="0.2">
      <c r="A3388" s="5">
        <v>3327</v>
      </c>
      <c r="B3388" s="138">
        <f>'Expenditures 15-22'!D217</f>
        <v>5126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30506</v>
      </c>
      <c r="C3390" s="2" t="s">
        <v>594</v>
      </c>
      <c r="D3390" s="2" t="str">
        <f t="shared" si="51"/>
        <v>Error?</v>
      </c>
    </row>
    <row r="3391" spans="1:4" x14ac:dyDescent="0.2">
      <c r="A3391" s="5">
        <v>3330</v>
      </c>
      <c r="B3391" s="138">
        <f>'Expenditures 15-22'!K217</f>
        <v>5126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380840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40214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531</v>
      </c>
      <c r="D3417" s="2" t="str">
        <f t="shared" si="52"/>
        <v>Error?</v>
      </c>
    </row>
    <row r="3418" spans="1:4" x14ac:dyDescent="0.2">
      <c r="A3418" s="10">
        <v>3357</v>
      </c>
      <c r="D3418" s="2" t="str">
        <f t="shared" si="52"/>
        <v>OK</v>
      </c>
    </row>
    <row r="3419" spans="1:4" x14ac:dyDescent="0.2">
      <c r="A3419" s="5">
        <v>3358</v>
      </c>
      <c r="B3419" s="138">
        <f>'Assets-Liab 5-6'!F4</f>
        <v>81992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77686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94319</v>
      </c>
      <c r="C3446" s="2" t="s">
        <v>594</v>
      </c>
      <c r="D3446" s="2" t="str">
        <f t="shared" si="52"/>
        <v>Error?</v>
      </c>
    </row>
    <row r="3447" spans="1:4" x14ac:dyDescent="0.2">
      <c r="A3447" s="5">
        <v>3386</v>
      </c>
      <c r="B3447" s="138">
        <f>'Tax Sched 23'!D16</f>
        <v>94319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82991</v>
      </c>
      <c r="C3449" s="2" t="s">
        <v>594</v>
      </c>
      <c r="D3449" s="2" t="str">
        <f t="shared" si="52"/>
        <v>Error?</v>
      </c>
    </row>
    <row r="3450" spans="1:4" x14ac:dyDescent="0.2">
      <c r="A3450" s="5">
        <v>3389</v>
      </c>
      <c r="B3450" s="138">
        <f>'Tax Sched 23'!E16</f>
        <v>82991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52325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52828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52828</v>
      </c>
      <c r="D3567" s="2" t="str">
        <f t="shared" si="54"/>
        <v>Error?</v>
      </c>
    </row>
    <row r="3568" spans="1:4" x14ac:dyDescent="0.2">
      <c r="A3568" s="5">
        <v>3507</v>
      </c>
      <c r="B3568" s="138">
        <f>'Assets-Liab 5-6'!K41</f>
        <v>52828</v>
      </c>
      <c r="C3568" s="2" t="s">
        <v>594</v>
      </c>
      <c r="D3568" s="2" t="str">
        <f t="shared" si="54"/>
        <v>Error?</v>
      </c>
    </row>
    <row r="3569" spans="1:4" x14ac:dyDescent="0.2">
      <c r="A3569" s="5">
        <v>3508</v>
      </c>
      <c r="B3569" s="138">
        <f>'Acct Summary 7-8'!K4</f>
        <v>15875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15875</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15875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15875</v>
      </c>
      <c r="C3588" s="2" t="s">
        <v>594</v>
      </c>
      <c r="D3588" s="2" t="str">
        <f t="shared" si="55"/>
        <v>Error?</v>
      </c>
    </row>
    <row r="3589" spans="1:4" x14ac:dyDescent="0.2">
      <c r="A3589" s="5">
        <v>3528</v>
      </c>
      <c r="B3589" s="138">
        <f>'Acct Summary 7-8'!K79</f>
        <v>36953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52828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15875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15625</v>
      </c>
      <c r="C3725" s="2" t="s">
        <v>594</v>
      </c>
      <c r="D3725" s="2" t="str">
        <f t="shared" si="57"/>
        <v>Error?</v>
      </c>
    </row>
    <row r="3726" spans="1:4" x14ac:dyDescent="0.2">
      <c r="A3726" s="5">
        <v>3665</v>
      </c>
      <c r="B3726" s="138">
        <f>'Tax Sched 23'!D13</f>
        <v>15625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14433</v>
      </c>
      <c r="C3728" s="2" t="s">
        <v>594</v>
      </c>
      <c r="D3728" s="2" t="str">
        <f t="shared" si="57"/>
        <v>Error?</v>
      </c>
    </row>
    <row r="3729" spans="1:4" x14ac:dyDescent="0.2">
      <c r="A3729" s="5">
        <v>3668</v>
      </c>
      <c r="B3729" s="138">
        <f>'Tax Sched 23'!E13</f>
        <v>14433</v>
      </c>
      <c r="D3729" s="2" t="str">
        <f t="shared" si="57"/>
        <v>Error?</v>
      </c>
    </row>
    <row r="3730" spans="1:4" x14ac:dyDescent="0.2">
      <c r="A3730" s="5">
        <v>3669</v>
      </c>
      <c r="B3730" s="138">
        <f>'ICR Computation 30'!E10</f>
        <v>125407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1688004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5290813</v>
      </c>
      <c r="C4122" s="2" t="s">
        <v>594</v>
      </c>
      <c r="D4122" s="2" t="str">
        <f t="shared" si="63"/>
        <v>Error?</v>
      </c>
    </row>
    <row r="4123" spans="1:4" x14ac:dyDescent="0.2">
      <c r="A4123" s="5">
        <v>4062</v>
      </c>
      <c r="B4123" s="138">
        <f>'Acct Summary 7-8'!D10</f>
        <v>234436</v>
      </c>
      <c r="C4123" s="2" t="s">
        <v>594</v>
      </c>
      <c r="D4123" s="2" t="str">
        <f t="shared" si="63"/>
        <v>Error?</v>
      </c>
    </row>
    <row r="4124" spans="1:4" x14ac:dyDescent="0.2">
      <c r="A4124" s="5">
        <v>4063</v>
      </c>
      <c r="B4124" s="138">
        <f>'Acct Summary 7-8'!E10</f>
        <v>137428</v>
      </c>
      <c r="C4124" s="2" t="s">
        <v>594</v>
      </c>
      <c r="D4124" s="2" t="str">
        <f t="shared" si="63"/>
        <v>Error?</v>
      </c>
    </row>
    <row r="4125" spans="1:4" x14ac:dyDescent="0.2">
      <c r="A4125" s="5">
        <v>4064</v>
      </c>
      <c r="B4125" s="138">
        <f>'Acct Summary 7-8'!F10</f>
        <v>315227</v>
      </c>
      <c r="C4125" s="2" t="s">
        <v>594</v>
      </c>
      <c r="D4125" s="2" t="str">
        <f t="shared" si="63"/>
        <v>Error?</v>
      </c>
    </row>
    <row r="4126" spans="1:4" x14ac:dyDescent="0.2">
      <c r="A4126" s="5">
        <v>4065</v>
      </c>
      <c r="B4126" s="138">
        <f>'Acct Summary 7-8'!G10</f>
        <v>198081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16727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15875</v>
      </c>
      <c r="C4130" s="2" t="s">
        <v>594</v>
      </c>
      <c r="D4130" s="2" t="str">
        <f t="shared" si="63"/>
        <v>Error?</v>
      </c>
    </row>
    <row r="4131" spans="1:4" x14ac:dyDescent="0.2">
      <c r="A4131" s="5">
        <v>4070</v>
      </c>
      <c r="B4131" s="138">
        <f>'Acct Summary 7-8'!C18</f>
        <v>1688004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5147656</v>
      </c>
      <c r="C4136" s="2" t="s">
        <v>594</v>
      </c>
      <c r="D4136" s="2" t="str">
        <f t="shared" si="63"/>
        <v>Error?</v>
      </c>
    </row>
    <row r="4137" spans="1:4" x14ac:dyDescent="0.2">
      <c r="A4137" s="5">
        <v>4076</v>
      </c>
      <c r="B4137" s="138">
        <f>'Acct Summary 7-8'!D19</f>
        <v>139352</v>
      </c>
      <c r="C4137" s="2" t="s">
        <v>594</v>
      </c>
      <c r="D4137" s="2" t="str">
        <f t="shared" si="63"/>
        <v>Error?</v>
      </c>
    </row>
    <row r="4138" spans="1:4" x14ac:dyDescent="0.2">
      <c r="A4138" s="5">
        <v>4077</v>
      </c>
      <c r="B4138" s="138">
        <f>'Acct Summary 7-8'!E19</f>
        <v>104653</v>
      </c>
      <c r="C4138" s="2" t="s">
        <v>594</v>
      </c>
      <c r="D4138" s="2" t="str">
        <f t="shared" si="63"/>
        <v>Error?</v>
      </c>
    </row>
    <row r="4139" spans="1:4" x14ac:dyDescent="0.2">
      <c r="A4139" s="5">
        <v>4078</v>
      </c>
      <c r="B4139" s="138">
        <f>'Acct Summary 7-8'!F19</f>
        <v>236027</v>
      </c>
      <c r="C4139" s="2" t="s">
        <v>594</v>
      </c>
      <c r="D4139" s="2" t="str">
        <f t="shared" si="63"/>
        <v>Error?</v>
      </c>
    </row>
    <row r="4140" spans="1:4" x14ac:dyDescent="0.2">
      <c r="A4140" s="5">
        <v>4079</v>
      </c>
      <c r="B4140" s="138">
        <f>'Acct Summary 7-8'!G19</f>
        <v>163179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1513280</v>
      </c>
      <c r="C4171" s="2" t="s">
        <v>594</v>
      </c>
      <c r="D4171" s="2" t="str">
        <f t="shared" si="64"/>
        <v>Error?</v>
      </c>
    </row>
    <row r="4172" spans="1:4" x14ac:dyDescent="0.2">
      <c r="A4172" s="5">
        <v>4111</v>
      </c>
      <c r="B4172" s="138">
        <f>'Short-Term Long-Term Debt 24'!J49</f>
        <v>618634</v>
      </c>
      <c r="C4172" s="2" t="s">
        <v>594</v>
      </c>
      <c r="D4172" s="2" t="str">
        <f t="shared" si="64"/>
        <v>Error?</v>
      </c>
    </row>
    <row r="4173" spans="1:4" x14ac:dyDescent="0.2">
      <c r="A4173" s="5">
        <v>4112</v>
      </c>
      <c r="B4173" s="138">
        <f>'Short-Term Long-Term Debt 24'!H49</f>
        <v>73720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1661.3300000000002</v>
      </c>
      <c r="C4265" s="2" t="s">
        <v>594</v>
      </c>
      <c r="D4265" s="2" t="str">
        <f t="shared" si="65"/>
        <v>Error?</v>
      </c>
      <c r="E4265" s="128"/>
    </row>
    <row r="4266" spans="1:5" x14ac:dyDescent="0.2">
      <c r="A4266" s="12">
        <v>4205</v>
      </c>
      <c r="B4266" s="138">
        <f>('FP Info 3'!F10)*100000</f>
        <v>451.45000000000005</v>
      </c>
      <c r="C4266" s="2" t="s">
        <v>594</v>
      </c>
      <c r="D4266" s="2" t="str">
        <f t="shared" si="65"/>
        <v>Error?</v>
      </c>
      <c r="E4266" s="128"/>
    </row>
    <row r="4267" spans="1:5" x14ac:dyDescent="0.2">
      <c r="A4267" s="12">
        <v>4206</v>
      </c>
      <c r="B4267" s="138">
        <f>('FP Info 3'!H10)*100000</f>
        <v>180.57</v>
      </c>
      <c r="C4267" s="2" t="s">
        <v>594</v>
      </c>
      <c r="D4267" s="2" t="str">
        <f t="shared" si="65"/>
        <v>Error?</v>
      </c>
      <c r="E4267" s="128"/>
    </row>
    <row r="4268" spans="1:5" x14ac:dyDescent="0.2">
      <c r="A4268" s="12">
        <v>4207</v>
      </c>
      <c r="B4268" s="138">
        <f>('FP Info 3'!J10)*100000</f>
        <v>2293</v>
      </c>
      <c r="C4268" s="2" t="s">
        <v>594</v>
      </c>
      <c r="D4268" s="2" t="str">
        <f t="shared" si="65"/>
        <v>Error?</v>
      </c>
    </row>
    <row r="4269" spans="1:5" x14ac:dyDescent="0.2">
      <c r="A4269" s="12">
        <v>4208</v>
      </c>
      <c r="B4269" s="138">
        <f>'FP Info 3'!J16</f>
        <v>2241286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4113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4398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3469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25979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27880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27880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5645</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31973337</v>
      </c>
      <c r="D4995" s="2" t="str">
        <f t="shared" si="77"/>
        <v>Error?</v>
      </c>
    </row>
    <row r="4996" spans="1:4" x14ac:dyDescent="0.2">
      <c r="A4996" s="12">
        <v>4935</v>
      </c>
      <c r="B4996" s="138">
        <f>'FP Info 3'!H31</f>
        <v>4412320.5060000001</v>
      </c>
      <c r="D4996" s="2" t="str">
        <f t="shared" si="77"/>
        <v>Error?</v>
      </c>
    </row>
    <row r="4997" spans="1:4" x14ac:dyDescent="0.2">
      <c r="A4997" s="12">
        <v>4936</v>
      </c>
      <c r="B4997" s="138">
        <f>'FP Info 3'!H37</f>
        <v>1513280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15625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574121</v>
      </c>
      <c r="D5061" s="2" t="str">
        <f t="shared" si="78"/>
        <v>Error?</v>
      </c>
    </row>
    <row r="5062" spans="1:4" x14ac:dyDescent="0.2">
      <c r="A5062" s="10">
        <v>5001</v>
      </c>
      <c r="D5062" s="2" t="str">
        <f t="shared" si="78"/>
        <v>OK</v>
      </c>
    </row>
    <row r="5063" spans="1:4" x14ac:dyDescent="0.2">
      <c r="A5063" s="5">
        <v>5002</v>
      </c>
      <c r="B5063" s="138">
        <f>'Revenues 9-14'!C7</f>
        <v>12500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602246</v>
      </c>
      <c r="C5066" s="2" t="s">
        <v>594</v>
      </c>
      <c r="D5066" s="2" t="str">
        <f t="shared" si="78"/>
        <v>Error?</v>
      </c>
    </row>
    <row r="5067" spans="1:4" x14ac:dyDescent="0.2">
      <c r="A5067" s="5">
        <v>5006</v>
      </c>
      <c r="B5067" s="138">
        <f>'Revenues 9-14'!C14</f>
        <v>914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173919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174833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8272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8272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4869</v>
      </c>
      <c r="D5093" s="2" t="str">
        <f t="shared" si="78"/>
        <v>Error?</v>
      </c>
    </row>
    <row r="5094" spans="1:4" x14ac:dyDescent="0.2">
      <c r="A5094" s="5">
        <v>5033</v>
      </c>
      <c r="B5094" s="138">
        <f>'Revenues 9-14'!C73</f>
        <v>5454</v>
      </c>
      <c r="D5094" s="2" t="str">
        <f t="shared" si="78"/>
        <v>Error?</v>
      </c>
    </row>
    <row r="5095" spans="1:4" x14ac:dyDescent="0.2">
      <c r="A5095" s="5">
        <v>5034</v>
      </c>
      <c r="B5095" s="138">
        <f>'Revenues 9-14'!C74</f>
        <v>544</v>
      </c>
      <c r="D5095" s="2" t="str">
        <f t="shared" si="78"/>
        <v>Error?</v>
      </c>
    </row>
    <row r="5096" spans="1:4" x14ac:dyDescent="0.2">
      <c r="A5096" s="5">
        <v>5035</v>
      </c>
      <c r="B5096" s="138">
        <f>'Revenues 9-14'!C75</f>
        <v>10932</v>
      </c>
      <c r="C5096" s="2" t="s">
        <v>594</v>
      </c>
      <c r="D5096" s="2" t="str">
        <f t="shared" si="78"/>
        <v>Error?</v>
      </c>
    </row>
    <row r="5097" spans="1:4" x14ac:dyDescent="0.2">
      <c r="A5097" s="5">
        <v>5036</v>
      </c>
      <c r="B5097" s="138">
        <f>'Revenues 9-14'!C77</f>
        <v>19344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16623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35967</v>
      </c>
      <c r="C5102" s="2" t="s">
        <v>594</v>
      </c>
      <c r="D5102" s="2" t="str">
        <f t="shared" si="78"/>
        <v>Error?</v>
      </c>
    </row>
    <row r="5103" spans="1:4" x14ac:dyDescent="0.2">
      <c r="A5103" s="5">
        <v>5042</v>
      </c>
      <c r="B5103" s="138">
        <f>'Revenues 9-14'!C84</f>
        <v>11769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11769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276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21723</v>
      </c>
      <c r="D5119" s="2" t="str">
        <f t="shared" ref="D5119:D5182" si="79">IF(ISBLANK(B5119),"OK",IF(A5119-B5119=0,"OK","Error?"))</f>
        <v>Error?</v>
      </c>
    </row>
    <row r="5120" spans="1:4" x14ac:dyDescent="0.2">
      <c r="A5120" s="5">
        <v>5059</v>
      </c>
      <c r="B5120" s="138">
        <f>'Revenues 9-14'!C108</f>
        <v>31530</v>
      </c>
      <c r="C5120" s="2" t="s">
        <v>594</v>
      </c>
      <c r="D5120" s="2" t="str">
        <f t="shared" si="79"/>
        <v>Error?</v>
      </c>
    </row>
    <row r="5121" spans="1:4" x14ac:dyDescent="0.2">
      <c r="A5121" s="5">
        <v>5060</v>
      </c>
      <c r="B5121" s="138">
        <f>'Revenues 9-14'!C109</f>
        <v>875549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2011040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2011040</v>
      </c>
      <c r="C5132" s="2" t="s">
        <v>594</v>
      </c>
      <c r="D5132" s="2" t="str">
        <f t="shared" si="79"/>
        <v>Error?</v>
      </c>
    </row>
    <row r="5133" spans="1:4" x14ac:dyDescent="0.2">
      <c r="A5133" s="5">
        <v>5072</v>
      </c>
      <c r="B5133" s="138">
        <f>'Revenues 9-14'!C124</f>
        <v>572</v>
      </c>
      <c r="D5133" s="2" t="str">
        <f t="shared" si="79"/>
        <v>Error?</v>
      </c>
    </row>
    <row r="5134" spans="1:4" x14ac:dyDescent="0.2">
      <c r="A5134" s="5">
        <v>5073</v>
      </c>
      <c r="B5134" s="138">
        <f>'Revenues 9-14'!C125</f>
        <v>31098</v>
      </c>
      <c r="D5134" s="2" t="str">
        <f t="shared" si="79"/>
        <v>Error?</v>
      </c>
    </row>
    <row r="5135" spans="1:4" x14ac:dyDescent="0.2">
      <c r="A5135" s="5">
        <v>5074</v>
      </c>
      <c r="B5135" s="138">
        <f>'Revenues 9-14'!C126</f>
        <v>30956</v>
      </c>
      <c r="D5135" s="2" t="str">
        <f t="shared" si="79"/>
        <v>Error?</v>
      </c>
    </row>
    <row r="5136" spans="1:4" x14ac:dyDescent="0.2">
      <c r="A5136" s="10">
        <v>5075</v>
      </c>
      <c r="D5136" s="2" t="str">
        <f t="shared" si="79"/>
        <v>OK</v>
      </c>
    </row>
    <row r="5137" spans="1:4" x14ac:dyDescent="0.2">
      <c r="A5137" s="5">
        <v>5076</v>
      </c>
      <c r="B5137" s="138">
        <f>'Revenues 9-14'!C127</f>
        <v>10093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72719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4685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3954</v>
      </c>
      <c r="D5167" s="2" t="str">
        <f t="shared" si="79"/>
        <v>Error?</v>
      </c>
    </row>
    <row r="5168" spans="1:4" x14ac:dyDescent="0.2">
      <c r="A5168" s="5">
        <v>5107</v>
      </c>
      <c r="B5168" s="138">
        <f>'Revenues 9-14'!C147</f>
        <v>5636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114035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202529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2213569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5645</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175897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50871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226768</v>
      </c>
      <c r="C5246" s="2" t="s">
        <v>594</v>
      </c>
      <c r="D5246" s="2" t="str">
        <f t="shared" si="80"/>
        <v>Error?</v>
      </c>
    </row>
    <row r="5247" spans="1:4" x14ac:dyDescent="0.2">
      <c r="A5247" s="5">
        <v>5186</v>
      </c>
      <c r="B5247" s="138">
        <f>'Revenues 9-14'!C203</f>
        <v>177745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3469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177745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64909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64909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665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665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508046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513691</v>
      </c>
      <c r="C5326" s="2" t="s">
        <v>594</v>
      </c>
      <c r="D5326" s="2" t="str">
        <f t="shared" si="82"/>
        <v>Error?</v>
      </c>
    </row>
    <row r="5327" spans="1:4" x14ac:dyDescent="0.2">
      <c r="A5327" s="5">
        <v>5266</v>
      </c>
      <c r="B5327" s="138">
        <f>'Revenues 9-14'!C275</f>
        <v>3602809</v>
      </c>
      <c r="C5327" s="2" t="s">
        <v>594</v>
      </c>
      <c r="D5327" s="2" t="str">
        <f t="shared" si="82"/>
        <v>Error?</v>
      </c>
    </row>
    <row r="5328" spans="1:4" x14ac:dyDescent="0.2">
      <c r="A5328" s="5">
        <v>5267</v>
      </c>
      <c r="B5328" s="138">
        <f>'Revenues 9-14'!D5</f>
        <v>156020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156020</v>
      </c>
      <c r="C5334" s="2" t="s">
        <v>594</v>
      </c>
      <c r="D5334" s="2" t="str">
        <f t="shared" si="82"/>
        <v>Error?</v>
      </c>
    </row>
    <row r="5335" spans="1:4" x14ac:dyDescent="0.2">
      <c r="A5335" s="5">
        <v>5274</v>
      </c>
      <c r="B5335" s="138">
        <f>'Revenues 9-14'!D14</f>
        <v>248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74991</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75239</v>
      </c>
      <c r="C5339" s="2" t="s">
        <v>594</v>
      </c>
      <c r="D5339" s="2" t="str">
        <f t="shared" si="82"/>
        <v>Error?</v>
      </c>
    </row>
    <row r="5340" spans="1:4" x14ac:dyDescent="0.2">
      <c r="A5340" s="5">
        <v>5279</v>
      </c>
      <c r="B5340" s="138">
        <f>'Revenues 9-14'!D65</f>
        <v>3177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3177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234436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234436</v>
      </c>
      <c r="C5508" s="2" t="s">
        <v>594</v>
      </c>
      <c r="D5508" s="2" t="str">
        <f t="shared" si="85"/>
        <v>Error?</v>
      </c>
    </row>
    <row r="5509" spans="1:4" x14ac:dyDescent="0.2">
      <c r="A5509" s="5">
        <v>5448</v>
      </c>
      <c r="B5509" s="138">
        <f>'Revenues 9-14'!E5</f>
        <v>77834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77834</v>
      </c>
      <c r="C5513" s="2" t="s">
        <v>594</v>
      </c>
      <c r="D5513" s="2" t="str">
        <f t="shared" si="85"/>
        <v>Error?</v>
      </c>
    </row>
    <row r="5514" spans="1:4" x14ac:dyDescent="0.2">
      <c r="A5514" s="5">
        <v>5453</v>
      </c>
      <c r="B5514" s="138">
        <f>'Revenues 9-14'!E14</f>
        <v>112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112</v>
      </c>
      <c r="C5518" s="2" t="s">
        <v>594</v>
      </c>
      <c r="D5518" s="2" t="str">
        <f t="shared" si="85"/>
        <v>Error?</v>
      </c>
    </row>
    <row r="5519" spans="1:4" x14ac:dyDescent="0.2">
      <c r="A5519" s="5">
        <v>5458</v>
      </c>
      <c r="B5519" s="138">
        <f>'Revenues 9-14'!E65</f>
        <v>31602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31602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109548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137428</v>
      </c>
      <c r="C5552" s="2" t="s">
        <v>594</v>
      </c>
      <c r="D5552" s="2" t="str">
        <f t="shared" si="85"/>
        <v>Error?</v>
      </c>
    </row>
    <row r="5553" spans="1:4" x14ac:dyDescent="0.2">
      <c r="A5553" s="5">
        <v>5492</v>
      </c>
      <c r="B5553" s="138">
        <f>'Revenues 9-14'!F5</f>
        <v>62413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62413</v>
      </c>
      <c r="C5557" s="2" t="s">
        <v>594</v>
      </c>
      <c r="D5557" s="2" t="str">
        <f t="shared" si="85"/>
        <v>Error?</v>
      </c>
    </row>
    <row r="5558" spans="1:4" x14ac:dyDescent="0.2">
      <c r="A5558" s="5">
        <v>5497</v>
      </c>
      <c r="B5558" s="138">
        <f>'Revenues 9-14'!F14</f>
        <v>99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99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2463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2463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553</v>
      </c>
      <c r="D5586" s="2" t="str">
        <f t="shared" si="86"/>
        <v>Error?</v>
      </c>
    </row>
    <row r="5587" spans="1:4" x14ac:dyDescent="0.2">
      <c r="A5587" s="5">
        <v>5526</v>
      </c>
      <c r="B5587" s="138">
        <f>'Revenues 9-14'!F108</f>
        <v>553</v>
      </c>
      <c r="C5587" s="2" t="s">
        <v>594</v>
      </c>
      <c r="D5587" s="2" t="str">
        <f t="shared" si="86"/>
        <v>Error?</v>
      </c>
    </row>
    <row r="5588" spans="1:4" x14ac:dyDescent="0.2">
      <c r="A5588" s="5">
        <v>5527</v>
      </c>
      <c r="B5588" s="138">
        <f>'Revenues 9-14'!F109</f>
        <v>65528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196950</v>
      </c>
      <c r="D5615" s="2" t="str">
        <f t="shared" si="86"/>
        <v>Error?</v>
      </c>
    </row>
    <row r="5616" spans="1:4" x14ac:dyDescent="0.2">
      <c r="A5616" s="10">
        <v>5555</v>
      </c>
      <c r="D5616" s="2" t="str">
        <f t="shared" si="86"/>
        <v>OK</v>
      </c>
    </row>
    <row r="5617" spans="1:4" x14ac:dyDescent="0.2">
      <c r="A5617" s="5">
        <v>5556</v>
      </c>
      <c r="B5617" s="138">
        <f>'Revenues 9-14'!F152</f>
        <v>52749</v>
      </c>
      <c r="D5617" s="2" t="str">
        <f t="shared" si="86"/>
        <v>Error?</v>
      </c>
    </row>
    <row r="5618" spans="1:4" x14ac:dyDescent="0.2">
      <c r="A5618" s="5">
        <v>5557</v>
      </c>
      <c r="B5618" s="138">
        <f>'Revenues 9-14'!F154</f>
        <v>249699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249699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249699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315227</v>
      </c>
      <c r="C5720" s="2" t="s">
        <v>594</v>
      </c>
      <c r="D5720" s="2" t="str">
        <f t="shared" si="88"/>
        <v>Error?</v>
      </c>
    </row>
    <row r="5721" spans="1:4" x14ac:dyDescent="0.2">
      <c r="A5721" s="5">
        <v>5660</v>
      </c>
      <c r="B5721" s="138">
        <f>'Revenues 9-14'!G5</f>
        <v>94198</v>
      </c>
      <c r="D5721" s="2" t="str">
        <f t="shared" si="88"/>
        <v>Error?</v>
      </c>
    </row>
    <row r="5722" spans="1:4" x14ac:dyDescent="0.2">
      <c r="A5722" s="5">
        <v>5661</v>
      </c>
      <c r="B5722" s="138">
        <f>'Revenues 9-14'!G7</f>
        <v>0</v>
      </c>
      <c r="D5722" s="2" t="str">
        <f t="shared" si="88"/>
        <v>Error?</v>
      </c>
    </row>
    <row r="5723" spans="1:4" x14ac:dyDescent="0.2">
      <c r="A5723" s="5">
        <v>5662</v>
      </c>
      <c r="B5723" s="138">
        <f>'Revenues 9-14'!G8</f>
        <v>94319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188517</v>
      </c>
      <c r="C5725" s="2" t="s">
        <v>594</v>
      </c>
      <c r="D5725" s="2" t="str">
        <f t="shared" si="88"/>
        <v>Error?</v>
      </c>
    </row>
    <row r="5726" spans="1:4" x14ac:dyDescent="0.2">
      <c r="A5726" s="5">
        <v>5665</v>
      </c>
      <c r="B5726" s="138">
        <f>'Revenues 9-14'!G14</f>
        <v>150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8150</v>
      </c>
      <c r="C5730" s="2" t="s">
        <v>594</v>
      </c>
      <c r="D5730" s="2" t="str">
        <f t="shared" si="88"/>
        <v>Error?</v>
      </c>
    </row>
    <row r="5731" spans="1:4" x14ac:dyDescent="0.2">
      <c r="A5731" s="5">
        <v>5670</v>
      </c>
      <c r="B5731" s="138">
        <f>'Revenues 9-14'!G65</f>
        <v>1414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1414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198081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15601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15601</v>
      </c>
      <c r="C5918" s="2" t="s">
        <v>594</v>
      </c>
      <c r="D5918" s="2" t="str">
        <f t="shared" si="91"/>
        <v>Error?</v>
      </c>
    </row>
    <row r="5919" spans="1:4" x14ac:dyDescent="0.2">
      <c r="A5919" s="5">
        <v>5858</v>
      </c>
      <c r="B5919" s="138">
        <f>'Revenues 9-14'!I14</f>
        <v>25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25</v>
      </c>
      <c r="C5923" s="2" t="s">
        <v>594</v>
      </c>
      <c r="D5923" s="2" t="str">
        <f t="shared" si="91"/>
        <v>Error?</v>
      </c>
    </row>
    <row r="5924" spans="1:4" x14ac:dyDescent="0.2">
      <c r="A5924" s="5">
        <v>5863</v>
      </c>
      <c r="B5924" s="138">
        <f>'Revenues 9-14'!I65</f>
        <v>1101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1101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16727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15601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15601</v>
      </c>
      <c r="C5987" s="2" t="s">
        <v>594</v>
      </c>
      <c r="D5987" s="2" t="str">
        <f t="shared" si="92"/>
        <v>Error?</v>
      </c>
    </row>
    <row r="5988" spans="1:4" x14ac:dyDescent="0.2">
      <c r="A5988" s="5">
        <v>5927</v>
      </c>
      <c r="B5988" s="138">
        <f>'Revenues 9-14'!K14</f>
        <v>25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25</v>
      </c>
      <c r="C5992" s="2" t="s">
        <v>594</v>
      </c>
      <c r="D5992" s="2" t="str">
        <f t="shared" si="92"/>
        <v>Error?</v>
      </c>
    </row>
    <row r="5993" spans="1:4" x14ac:dyDescent="0.2">
      <c r="A5993" s="5">
        <v>5932</v>
      </c>
      <c r="B5993" s="138">
        <f>'Revenues 9-14'!K65</f>
        <v>249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15875</v>
      </c>
      <c r="C6023" s="2" t="s">
        <v>594</v>
      </c>
      <c r="D6023" s="2" t="str">
        <f t="shared" si="93"/>
        <v>Error?</v>
      </c>
    </row>
    <row r="6024" spans="1:5" x14ac:dyDescent="0.2">
      <c r="A6024" s="5">
        <v>5963</v>
      </c>
      <c r="B6024" s="138">
        <f>'Revenues 9-14'!G109</f>
        <v>198081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16727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15875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20141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415.49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96967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3609</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26</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3635</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93332</v>
      </c>
      <c r="D6215" s="2" t="str">
        <f t="shared" si="96"/>
        <v>Error?</v>
      </c>
      <c r="E6215" s="2" t="s">
        <v>199</v>
      </c>
    </row>
    <row r="6216" spans="1:5" x14ac:dyDescent="0.2">
      <c r="A6216">
        <v>6155</v>
      </c>
      <c r="B6216" s="138">
        <f>'Assets-Liab 5-6'!J41</f>
        <v>96967</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96967</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192418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192418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192418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160734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160734</v>
      </c>
      <c r="D6229" s="2" t="str">
        <f t="shared" si="96"/>
        <v>Error?</v>
      </c>
      <c r="E6229" s="2" t="s">
        <v>199</v>
      </c>
    </row>
    <row r="6230" spans="1:5" x14ac:dyDescent="0.2">
      <c r="A6230">
        <v>6169</v>
      </c>
      <c r="B6230" s="138">
        <f>'Acct Summary 7-8'!J20</f>
        <v>31684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3720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1035</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31684</v>
      </c>
      <c r="D6263" s="2" t="str">
        <f t="shared" si="96"/>
        <v>Error?</v>
      </c>
      <c r="E6263" s="2" t="s">
        <v>199</v>
      </c>
    </row>
    <row r="6264" spans="1:5" x14ac:dyDescent="0.2">
      <c r="A6264">
        <v>6203</v>
      </c>
      <c r="B6264" s="138">
        <f>'Acct Summary 7-8'!J79</f>
        <v>61648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93332</v>
      </c>
      <c r="D6266" s="2" t="str">
        <f t="shared" si="96"/>
        <v>Error?</v>
      </c>
      <c r="E6266" s="2" t="s">
        <v>199</v>
      </c>
    </row>
    <row r="6267" spans="1:5" x14ac:dyDescent="0.2">
      <c r="A6267">
        <v>6206</v>
      </c>
      <c r="B6267" s="138">
        <f>'Acct Summary 7-8'!C82</f>
        <v>163402</v>
      </c>
      <c r="D6267" s="2" t="str">
        <f t="shared" si="96"/>
        <v>Error?</v>
      </c>
      <c r="E6267" s="2" t="s">
        <v>199</v>
      </c>
    </row>
    <row r="6268" spans="1:5" x14ac:dyDescent="0.2">
      <c r="A6268">
        <v>6207</v>
      </c>
      <c r="B6268" s="138">
        <f>'Acct Summary 7-8'!D82</f>
        <v>95084</v>
      </c>
      <c r="D6268" s="2" t="str">
        <f t="shared" si="96"/>
        <v>Error?</v>
      </c>
      <c r="E6268" s="2" t="s">
        <v>199</v>
      </c>
    </row>
    <row r="6269" spans="1:5" x14ac:dyDescent="0.2">
      <c r="A6269">
        <v>6208</v>
      </c>
      <c r="B6269" s="138">
        <f>'Acct Summary 7-8'!E82</f>
        <v>37530</v>
      </c>
      <c r="D6269" s="2" t="str">
        <f t="shared" si="96"/>
        <v>Error?</v>
      </c>
      <c r="E6269" s="2" t="s">
        <v>199</v>
      </c>
    </row>
    <row r="6270" spans="1:5" x14ac:dyDescent="0.2">
      <c r="A6270">
        <v>6209</v>
      </c>
      <c r="B6270" s="138">
        <f>'Acct Summary 7-8'!F82</f>
        <v>79200</v>
      </c>
      <c r="D6270" s="2" t="str">
        <f t="shared" si="96"/>
        <v>Error?</v>
      </c>
      <c r="E6270" s="2" t="s">
        <v>199</v>
      </c>
    </row>
    <row r="6271" spans="1:5" x14ac:dyDescent="0.2">
      <c r="A6271">
        <v>6210</v>
      </c>
      <c r="B6271" s="138">
        <f>'Acct Summary 7-8'!G82</f>
        <v>34902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16727</v>
      </c>
      <c r="D6273" s="2" t="str">
        <f t="shared" si="97"/>
        <v>Error?</v>
      </c>
      <c r="E6273" s="2" t="s">
        <v>199</v>
      </c>
    </row>
    <row r="6274" spans="1:5" x14ac:dyDescent="0.2">
      <c r="A6274">
        <v>6213</v>
      </c>
      <c r="B6274" s="138">
        <f>'Acct Summary 7-8'!J82</f>
        <v>31684</v>
      </c>
      <c r="D6274" s="2" t="str">
        <f t="shared" si="97"/>
        <v>Error?</v>
      </c>
      <c r="E6274" s="2" t="s">
        <v>199</v>
      </c>
    </row>
    <row r="6275" spans="1:5" x14ac:dyDescent="0.2">
      <c r="A6275">
        <v>6214</v>
      </c>
      <c r="B6275" s="138">
        <f>'Acct Summary 7-8'!K82</f>
        <v>15875</v>
      </c>
      <c r="D6275" s="2" t="str">
        <f t="shared" si="97"/>
        <v>Error?</v>
      </c>
      <c r="E6275" s="2" t="s">
        <v>199</v>
      </c>
    </row>
    <row r="6276" spans="1:5" x14ac:dyDescent="0.2">
      <c r="A6276">
        <v>6215</v>
      </c>
      <c r="B6276" s="138">
        <f>'Acct Summary 7-8'!C83</f>
        <v>0.1312987894785477</v>
      </c>
      <c r="D6276" s="2" t="str">
        <f t="shared" si="97"/>
        <v>Error?</v>
      </c>
      <c r="E6276" s="2" t="s">
        <v>199</v>
      </c>
    </row>
    <row r="6277" spans="1:5" x14ac:dyDescent="0.2">
      <c r="A6277">
        <v>6216</v>
      </c>
      <c r="B6277" s="138">
        <f>'Acct Summary 7-8'!D83</f>
        <v>0.24306036631347538</v>
      </c>
      <c r="D6277" s="2" t="str">
        <f t="shared" si="97"/>
        <v>Error?</v>
      </c>
      <c r="E6277" s="2" t="s">
        <v>199</v>
      </c>
    </row>
    <row r="6278" spans="1:5" x14ac:dyDescent="0.2">
      <c r="A6278">
        <v>6217</v>
      </c>
      <c r="B6278" s="138">
        <f>'Acct Summary 7-8'!E83</f>
        <v>4.1949553231110409E-2</v>
      </c>
      <c r="D6278" s="2" t="str">
        <f t="shared" si="97"/>
        <v>Error?</v>
      </c>
      <c r="E6278" s="2" t="s">
        <v>199</v>
      </c>
    </row>
    <row r="6279" spans="1:5" x14ac:dyDescent="0.2">
      <c r="A6279">
        <v>6218</v>
      </c>
      <c r="B6279" s="138">
        <f>'Acct Summary 7-8'!F83</f>
        <v>0.20781674341716849</v>
      </c>
      <c r="D6279" s="2" t="str">
        <f t="shared" si="97"/>
        <v>Error?</v>
      </c>
      <c r="E6279" s="2" t="s">
        <v>199</v>
      </c>
    </row>
    <row r="6280" spans="1:5" x14ac:dyDescent="0.2">
      <c r="A6280">
        <v>6219</v>
      </c>
      <c r="B6280" s="138">
        <f>'Acct Summary 7-8'!G83</f>
        <v>0.34215634374448561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7.4514101416155484E-2</v>
      </c>
      <c r="D6282" s="2" t="str">
        <f t="shared" si="97"/>
        <v>Error?</v>
      </c>
      <c r="E6282" s="2" t="s">
        <v>199</v>
      </c>
    </row>
    <row r="6283" spans="1:5" x14ac:dyDescent="0.2">
      <c r="A6283">
        <v>6222</v>
      </c>
      <c r="B6283" s="138">
        <f>'Acct Summary 7-8'!J83</f>
        <v>0.33947627823254617</v>
      </c>
      <c r="D6283" s="2" t="str">
        <f t="shared" si="97"/>
        <v>Error?</v>
      </c>
      <c r="E6283" s="2" t="s">
        <v>199</v>
      </c>
    </row>
    <row r="6284" spans="1:5" x14ac:dyDescent="0.2">
      <c r="A6284">
        <v>6223</v>
      </c>
      <c r="B6284" s="138">
        <f>'Acct Summary 7-8'!K83</f>
        <v>0.30050352086014992</v>
      </c>
      <c r="D6284" s="2" t="str">
        <f t="shared" si="97"/>
        <v>Error?</v>
      </c>
      <c r="E6284" s="2" t="s">
        <v>199</v>
      </c>
    </row>
    <row r="6285" spans="1:5" x14ac:dyDescent="0.2">
      <c r="A6285">
        <v>6224</v>
      </c>
      <c r="B6285" s="138">
        <f>'Acct Summary 7-8'!E37</f>
        <v>3720</v>
      </c>
      <c r="D6285" s="2" t="str">
        <f t="shared" si="97"/>
        <v>Error?</v>
      </c>
      <c r="E6285" s="2" t="s">
        <v>199</v>
      </c>
    </row>
    <row r="6286" spans="1:5" x14ac:dyDescent="0.2">
      <c r="A6286">
        <v>6225</v>
      </c>
      <c r="B6286" s="138">
        <f>'Acct Summary 7-8'!E38</f>
        <v>1035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191101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191101</v>
      </c>
      <c r="D6301" s="2" t="str">
        <f t="shared" si="97"/>
        <v>Error?</v>
      </c>
      <c r="E6301" s="2" t="s">
        <v>199</v>
      </c>
    </row>
    <row r="6302" spans="1:5" x14ac:dyDescent="0.2">
      <c r="A6302">
        <v>6241</v>
      </c>
      <c r="B6302" s="138">
        <f>'Revenues 9-14'!J14</f>
        <v>397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397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920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920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7481</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2050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192418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4685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27880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35630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27880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66116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16099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109122</v>
      </c>
      <c r="D6983" s="2" t="str">
        <f t="shared" si="108"/>
        <v>Error?</v>
      </c>
    </row>
    <row r="6984" spans="1:4" x14ac:dyDescent="0.2">
      <c r="A6984">
        <v>6923</v>
      </c>
      <c r="B6984" s="138">
        <f>'Expenditures 15-22'!K86</f>
        <v>109122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19166</v>
      </c>
      <c r="D6987" s="2" t="str">
        <f t="shared" si="108"/>
        <v>Error?</v>
      </c>
    </row>
    <row r="6988" spans="1:4" x14ac:dyDescent="0.2">
      <c r="A6988">
        <v>6927</v>
      </c>
      <c r="B6988" s="138">
        <f>'Expenditures 15-22'!K88</f>
        <v>19166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128288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160734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192418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2496</v>
      </c>
      <c r="D7073" s="2" t="str">
        <f t="shared" si="109"/>
        <v>Error?</v>
      </c>
    </row>
    <row r="7074" spans="1:4" x14ac:dyDescent="0.2">
      <c r="A7074">
        <v>7013</v>
      </c>
      <c r="B7074" s="138">
        <f>'Expenditures 15-22'!K216</f>
        <v>2496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212</v>
      </c>
      <c r="D7079" s="2" t="str">
        <f t="shared" si="109"/>
        <v>Error?</v>
      </c>
    </row>
    <row r="7080" spans="1:4" x14ac:dyDescent="0.2">
      <c r="A7080">
        <v>7019</v>
      </c>
      <c r="B7080" s="138">
        <f>'Expenditures 15-22'!K226</f>
        <v>212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4491</v>
      </c>
      <c r="D7093" s="2" t="str">
        <f t="shared" si="109"/>
        <v>Error?</v>
      </c>
    </row>
    <row r="7094" spans="1:4" x14ac:dyDescent="0.2">
      <c r="A7094">
        <v>7033</v>
      </c>
      <c r="B7094" s="138">
        <f>'Expenditures 15-22'!K254</f>
        <v>4491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72648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72648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5110</v>
      </c>
      <c r="D7156" s="2" t="str">
        <f t="shared" si="110"/>
        <v>Error?</v>
      </c>
    </row>
    <row r="7157" spans="1:4" x14ac:dyDescent="0.2">
      <c r="A7157">
        <v>7096</v>
      </c>
      <c r="B7157" s="138">
        <f>'Expenditures 15-22'!F323</f>
        <v>677</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5787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70755</v>
      </c>
      <c r="D7172" s="2" t="str">
        <f t="shared" si="111"/>
        <v>Error?</v>
      </c>
    </row>
    <row r="7173" spans="1:4" x14ac:dyDescent="0.2">
      <c r="A7173">
        <v>7112</v>
      </c>
      <c r="B7173" s="138">
        <f>'Expenditures 15-22'!D325</f>
        <v>6533</v>
      </c>
      <c r="D7173" s="2" t="str">
        <f t="shared" si="111"/>
        <v>Error?</v>
      </c>
    </row>
    <row r="7174" spans="1:4" x14ac:dyDescent="0.2">
      <c r="A7174">
        <v>7113</v>
      </c>
      <c r="B7174" s="138">
        <f>'Expenditures 15-22'!E325</f>
        <v>1474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78762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3407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3407</v>
      </c>
      <c r="D7198" s="2" t="str">
        <f t="shared" si="111"/>
        <v>Error?</v>
      </c>
    </row>
    <row r="7199" spans="1:4" x14ac:dyDescent="0.2">
      <c r="A7199">
        <v>7138</v>
      </c>
      <c r="B7199" s="138">
        <f>'Expenditures 15-22'!C330</f>
        <v>70755</v>
      </c>
      <c r="D7199" s="2" t="str">
        <f t="shared" si="111"/>
        <v>Error?</v>
      </c>
    </row>
    <row r="7200" spans="1:4" x14ac:dyDescent="0.2">
      <c r="A7200">
        <v>7139</v>
      </c>
      <c r="B7200" s="138">
        <f>'Expenditures 15-22'!D330</f>
        <v>6533</v>
      </c>
      <c r="D7200" s="2" t="str">
        <f t="shared" si="111"/>
        <v>Error?</v>
      </c>
    </row>
    <row r="7201" spans="1:4" x14ac:dyDescent="0.2">
      <c r="A7201">
        <v>7140</v>
      </c>
      <c r="B7201" s="138">
        <f>'Expenditures 15-22'!E330</f>
        <v>82769</v>
      </c>
      <c r="D7201" s="2" t="str">
        <f t="shared" si="111"/>
        <v>Error?</v>
      </c>
    </row>
    <row r="7202" spans="1:4" x14ac:dyDescent="0.2">
      <c r="A7202">
        <v>7141</v>
      </c>
      <c r="B7202" s="138">
        <f>'Expenditures 15-22'!F330</f>
        <v>677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160734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70755</v>
      </c>
      <c r="D7216" s="2" t="str">
        <f t="shared" si="111"/>
        <v>Error?</v>
      </c>
    </row>
    <row r="7217" spans="1:4" x14ac:dyDescent="0.2">
      <c r="A7217">
        <v>7156</v>
      </c>
      <c r="B7217" s="138">
        <f>'Expenditures 15-22'!D342</f>
        <v>6533</v>
      </c>
      <c r="D7217" s="2" t="str">
        <f t="shared" si="111"/>
        <v>Error?</v>
      </c>
    </row>
    <row r="7218" spans="1:4" x14ac:dyDescent="0.2">
      <c r="A7218">
        <v>7157</v>
      </c>
      <c r="B7218" s="138">
        <f>'Expenditures 15-22'!E342</f>
        <v>82769</v>
      </c>
      <c r="D7218" s="2" t="str">
        <f t="shared" si="111"/>
        <v>Error?</v>
      </c>
    </row>
    <row r="7219" spans="1:4" x14ac:dyDescent="0.2">
      <c r="A7219">
        <v>7158</v>
      </c>
      <c r="B7219" s="138">
        <f>'Expenditures 15-22'!F342</f>
        <v>677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160734</v>
      </c>
      <c r="D7224" s="2" t="str">
        <f t="shared" si="111"/>
        <v>Error?</v>
      </c>
    </row>
    <row r="7225" spans="1:4" x14ac:dyDescent="0.2">
      <c r="A7225">
        <v>7164</v>
      </c>
      <c r="B7225" s="138">
        <f>'Expenditures 15-22'!K343</f>
        <v>31684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327</v>
      </c>
      <c r="D7246" s="2" t="str">
        <f t="shared" si="112"/>
        <v>Error?</v>
      </c>
    </row>
    <row r="7247" spans="1:4" x14ac:dyDescent="0.2">
      <c r="A7247">
        <f t="shared" si="113"/>
        <v>7186</v>
      </c>
      <c r="B7247" s="138">
        <f>'Expenditures 15-22'!E7</f>
        <v>7915</v>
      </c>
      <c r="D7247" s="2" t="str">
        <f t="shared" si="112"/>
        <v>Error?</v>
      </c>
    </row>
    <row r="7248" spans="1:4" x14ac:dyDescent="0.2">
      <c r="A7248">
        <f t="shared" si="113"/>
        <v>7187</v>
      </c>
      <c r="B7248" s="138">
        <f>'Expenditures 15-22'!F7</f>
        <v>4800</v>
      </c>
      <c r="D7248" s="2" t="str">
        <f t="shared" si="112"/>
        <v>Error?</v>
      </c>
    </row>
    <row r="7249" spans="1:4" x14ac:dyDescent="0.2">
      <c r="A7249">
        <f t="shared" si="113"/>
        <v>7188</v>
      </c>
      <c r="B7249" s="138">
        <f>'Expenditures 15-22'!G7</f>
        <v>17444</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14588</v>
      </c>
      <c r="D7263" s="2" t="str">
        <f t="shared" si="112"/>
        <v>Error?</v>
      </c>
    </row>
    <row r="7264" spans="1:4" x14ac:dyDescent="0.2">
      <c r="A7264">
        <f t="shared" si="113"/>
        <v>7203</v>
      </c>
      <c r="B7264" s="138">
        <f>'Expenditures 15-22'!D17</f>
        <v>216</v>
      </c>
      <c r="D7264" s="2" t="str">
        <f t="shared" si="112"/>
        <v>Error?</v>
      </c>
    </row>
    <row r="7265" spans="1:5" x14ac:dyDescent="0.2">
      <c r="A7265">
        <f t="shared" si="113"/>
        <v>7204</v>
      </c>
      <c r="B7265" s="138">
        <f>'Expenditures 15-22'!E17</f>
        <v>1295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15038</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15038</v>
      </c>
      <c r="D7618" s="2" t="str">
        <f t="shared" si="124"/>
        <v>Error?</v>
      </c>
      <c r="E7618" s="2" t="s">
        <v>19</v>
      </c>
    </row>
    <row r="7619" spans="1:5" x14ac:dyDescent="0.2">
      <c r="A7619">
        <f t="shared" si="123"/>
        <v>7558</v>
      </c>
      <c r="B7619" s="138">
        <f>'Cap Outlay Deprec 26'!H14</f>
        <v>15038</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15038</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202132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t="str">
        <f>'Acct Summary 7-8'!C61</f>
        <v xml:space="preserve"> </v>
      </c>
      <c r="D7666" s="2" t="e">
        <f t="shared" si="124"/>
        <v>#VALUE!</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2050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5636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7686</v>
      </c>
      <c r="D7719" s="2" t="str">
        <f t="shared" si="126"/>
        <v>Error?</v>
      </c>
      <c r="E7719" s="2" t="s">
        <v>881</v>
      </c>
    </row>
    <row r="7720" spans="1:6" x14ac:dyDescent="0.2">
      <c r="A7720">
        <v>7659</v>
      </c>
      <c r="B7720" s="138">
        <f>'Rest Tax Levies-Tort Im 25'!H14</f>
        <v>12520</v>
      </c>
      <c r="D7720" s="2" t="str">
        <f t="shared" si="126"/>
        <v>Error?</v>
      </c>
      <c r="E7720" s="2" t="s">
        <v>881</v>
      </c>
    </row>
    <row r="7721" spans="1:6" x14ac:dyDescent="0.2">
      <c r="A7721">
        <v>7660</v>
      </c>
      <c r="B7721" s="138">
        <f>'Rest Tax Levies-Tort Im 25'!K14</f>
        <v>7686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27880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64417.119999999995</v>
      </c>
      <c r="D7797" s="2" t="str">
        <f t="shared" si="127"/>
        <v>Error?</v>
      </c>
      <c r="E7797" s="4" t="s">
        <v>2020</v>
      </c>
    </row>
    <row r="7798" spans="1:5" x14ac:dyDescent="0.2">
      <c r="A7798">
        <v>7737</v>
      </c>
      <c r="B7798" s="138">
        <f>'Contracts Paid in CY 29'!F141</f>
        <v>57302.119999999995</v>
      </c>
      <c r="D7798" s="2" t="str">
        <f t="shared" si="127"/>
        <v>Error?</v>
      </c>
      <c r="E7798" s="4" t="s">
        <v>2020</v>
      </c>
    </row>
    <row r="7799" spans="1:5" x14ac:dyDescent="0.2">
      <c r="A7799">
        <v>7738</v>
      </c>
      <c r="B7799" s="138">
        <f>'Contracts Paid in CY 29'!G141</f>
        <v>7115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8" t="s">
        <v>1253</v>
      </c>
      <c r="B2" s="2428"/>
      <c r="C2" s="2428"/>
      <c r="D2" s="2428"/>
      <c r="E2" s="2428"/>
      <c r="F2" s="2428"/>
      <c r="G2" s="2428"/>
      <c r="H2" s="2428"/>
      <c r="I2" s="2428"/>
      <c r="J2" s="2428"/>
      <c r="K2" s="2428"/>
      <c r="L2" s="2428"/>
    </row>
    <row r="3" spans="1:29" ht="13.5" customHeight="1" x14ac:dyDescent="0.2">
      <c r="A3" s="2414" t="s">
        <v>1252</v>
      </c>
      <c r="B3" s="2414"/>
      <c r="C3" s="2414"/>
      <c r="D3" s="2414"/>
      <c r="E3" s="2414"/>
      <c r="F3" s="2414"/>
      <c r="G3" s="2414"/>
      <c r="H3" s="2414"/>
      <c r="I3" s="2414"/>
      <c r="J3" s="2414"/>
      <c r="K3" s="2414"/>
      <c r="L3" s="2414"/>
    </row>
    <row r="4" spans="1:29" ht="13.5" customHeight="1" x14ac:dyDescent="0.2">
      <c r="A4" s="2428" t="s">
        <v>1799</v>
      </c>
      <c r="B4" s="2445"/>
      <c r="C4" s="2445"/>
      <c r="D4" s="2445"/>
      <c r="E4" s="2445"/>
      <c r="F4" s="2445"/>
      <c r="G4" s="2445"/>
      <c r="H4" s="2445"/>
      <c r="I4" s="2445"/>
      <c r="J4" s="2445"/>
      <c r="K4" s="2445"/>
      <c r="L4" s="244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8" t="str">
        <f>COVER!A17</f>
        <v>St Elmo CUSD 202</v>
      </c>
      <c r="B7" s="2409"/>
      <c r="C7" s="2409"/>
      <c r="D7" s="2446"/>
      <c r="E7" s="2447">
        <f>COVER!A13</f>
        <v>3026202026</v>
      </c>
      <c r="F7" s="2448"/>
      <c r="G7" s="2415" t="str">
        <f>COVER!T23</f>
        <v>066-003845</v>
      </c>
      <c r="H7" s="2416"/>
      <c r="I7" s="2416"/>
      <c r="J7" s="2416"/>
      <c r="K7" s="2416"/>
      <c r="L7" s="2417"/>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8"/>
      <c r="B9" s="2419"/>
      <c r="C9" s="2419"/>
      <c r="D9" s="2419"/>
      <c r="E9" s="2419"/>
      <c r="F9" s="2420"/>
      <c r="G9" s="2421" t="str">
        <f>COVER!T13</f>
        <v>MOSE, YOCKEY, BROWN &amp; KULL, LLC</v>
      </c>
      <c r="H9" s="2422"/>
      <c r="I9" s="2422"/>
      <c r="J9" s="2422"/>
      <c r="K9" s="2422"/>
      <c r="L9" s="2423"/>
    </row>
    <row r="10" spans="1:29" ht="13.5" customHeight="1" x14ac:dyDescent="0.2">
      <c r="A10" s="2405" t="str">
        <f>COVER!A38</f>
        <v>JULIE HEALY</v>
      </c>
      <c r="B10" s="2406"/>
      <c r="C10" s="2406"/>
      <c r="D10" s="2406"/>
      <c r="E10" s="2406"/>
      <c r="F10" s="2407"/>
      <c r="G10" s="2421" t="str">
        <f>COVER!T17</f>
        <v>230 N. MORGAN, PO BOX 317</v>
      </c>
      <c r="H10" s="2434"/>
      <c r="I10" s="2434"/>
      <c r="J10" s="2434"/>
      <c r="K10" s="2434"/>
      <c r="L10" s="2435"/>
    </row>
    <row r="11" spans="1:29" ht="13.5" customHeight="1" x14ac:dyDescent="0.2">
      <c r="A11" s="1184" t="s">
        <v>1599</v>
      </c>
      <c r="B11" s="1185"/>
      <c r="C11" s="1186"/>
      <c r="D11" s="1191"/>
      <c r="E11" s="1186"/>
      <c r="F11" s="1190"/>
      <c r="G11" s="2421" t="str">
        <f>COVER!T19</f>
        <v>SHELBYVILLE</v>
      </c>
      <c r="H11" s="2434"/>
      <c r="I11" s="2434"/>
      <c r="J11" s="2434"/>
      <c r="K11" s="2434"/>
      <c r="L11" s="2435"/>
    </row>
    <row r="12" spans="1:29" ht="13.5" customHeight="1" x14ac:dyDescent="0.2">
      <c r="A12" s="2439" t="s">
        <v>1598</v>
      </c>
      <c r="B12" s="2440"/>
      <c r="C12" s="2440"/>
      <c r="D12" s="2440"/>
      <c r="E12" s="2440"/>
      <c r="F12" s="2441"/>
      <c r="G12" s="2436"/>
      <c r="H12" s="2437"/>
      <c r="I12" s="2437"/>
      <c r="J12" s="2437"/>
      <c r="K12" s="2437"/>
      <c r="L12" s="2438"/>
    </row>
    <row r="13" spans="1:29" ht="13.5" customHeight="1" x14ac:dyDescent="0.2">
      <c r="A13" s="2421"/>
      <c r="B13" s="2434"/>
      <c r="C13" s="2434"/>
      <c r="D13" s="2434"/>
      <c r="E13" s="2434"/>
      <c r="F13" s="2435"/>
      <c r="G13" s="2429" t="s">
        <v>1600</v>
      </c>
      <c r="H13" s="2430"/>
      <c r="I13" s="2442" t="str">
        <f>COVER!T25</f>
        <v>mybkcpas@consolidated.net</v>
      </c>
      <c r="J13" s="2443"/>
      <c r="K13" s="2443"/>
      <c r="L13" s="2444"/>
    </row>
    <row r="14" spans="1:29" ht="13.5" customHeight="1" x14ac:dyDescent="0.2">
      <c r="A14" s="2421" t="str">
        <f>COVER!A19</f>
        <v>200 NORTH WALNUT</v>
      </c>
      <c r="B14" s="2434"/>
      <c r="C14" s="2434"/>
      <c r="D14" s="2434"/>
      <c r="E14" s="2434"/>
      <c r="F14" s="2435"/>
      <c r="G14" s="1195" t="s">
        <v>1247</v>
      </c>
      <c r="H14" s="1193"/>
      <c r="I14" s="1193"/>
      <c r="J14" s="1193"/>
      <c r="K14" s="1193"/>
      <c r="L14" s="1194"/>
    </row>
    <row r="15" spans="1:29" ht="13.5" customHeight="1" x14ac:dyDescent="0.2">
      <c r="A15" s="2421" t="str">
        <f>COVER!A21</f>
        <v>ST ELMO</v>
      </c>
      <c r="B15" s="2434"/>
      <c r="C15" s="2434"/>
      <c r="D15" s="2434"/>
      <c r="E15" s="2434"/>
      <c r="F15" s="2435"/>
      <c r="G15" s="2431" t="str">
        <f>COVER!T15</f>
        <v>KENT D. KULL</v>
      </c>
      <c r="H15" s="2432"/>
      <c r="I15" s="2432"/>
      <c r="J15" s="2432"/>
      <c r="K15" s="2432"/>
      <c r="L15" s="2433"/>
    </row>
    <row r="16" spans="1:29" ht="12.2" customHeight="1" x14ac:dyDescent="0.2">
      <c r="A16" s="2411">
        <f>COVER!A25</f>
        <v>62458</v>
      </c>
      <c r="B16" s="2412"/>
      <c r="C16" s="2412"/>
      <c r="D16" s="2412"/>
      <c r="E16" s="2412"/>
      <c r="F16" s="2413"/>
      <c r="G16" s="2424"/>
      <c r="H16" s="2425"/>
      <c r="I16" s="2425"/>
      <c r="J16" s="2425"/>
      <c r="K16" s="2425"/>
      <c r="L16" s="2426"/>
    </row>
    <row r="17" spans="1:13" ht="12.2" customHeight="1" x14ac:dyDescent="0.2">
      <c r="A17" s="2427"/>
      <c r="B17" s="2412"/>
      <c r="C17" s="2412"/>
      <c r="D17" s="2412"/>
      <c r="E17" s="2412"/>
      <c r="F17" s="2413"/>
      <c r="G17" s="1195" t="s">
        <v>1246</v>
      </c>
      <c r="H17" s="1193"/>
      <c r="I17" s="1193"/>
      <c r="J17" s="1193"/>
      <c r="K17" s="1197" t="s">
        <v>1245</v>
      </c>
      <c r="L17" s="1190"/>
      <c r="M17" s="1183"/>
    </row>
    <row r="18" spans="1:13" ht="12.2" customHeight="1" x14ac:dyDescent="0.2">
      <c r="A18" s="2405"/>
      <c r="B18" s="2406"/>
      <c r="C18" s="2406"/>
      <c r="D18" s="2406"/>
      <c r="E18" s="2406"/>
      <c r="F18" s="2407"/>
      <c r="G18" s="2408" t="str">
        <f>COVER!T21</f>
        <v>217-774-9587</v>
      </c>
      <c r="H18" s="2409"/>
      <c r="I18" s="2409"/>
      <c r="J18" s="2409"/>
      <c r="K18" s="2408" t="str">
        <f>COVER!X21</f>
        <v>217-774-9589</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9" t="str">
        <f>'Single Audit Cover'!A7</f>
        <v>St Elmo CUSD 202</v>
      </c>
      <c r="B1" s="2445"/>
      <c r="C1" s="2445"/>
      <c r="D1" s="2445"/>
    </row>
    <row r="2" spans="1:11" s="1214" customFormat="1" ht="12.75" x14ac:dyDescent="0.2">
      <c r="A2" s="2450">
        <f>'Single Audit Cover'!E7</f>
        <v>3026202026</v>
      </c>
      <c r="B2" s="2451"/>
      <c r="C2" s="2451"/>
      <c r="D2" s="2451"/>
    </row>
    <row r="3" spans="1:11" s="1214" customFormat="1" ht="12.75" x14ac:dyDescent="0.2">
      <c r="A3" s="2449" t="s">
        <v>1593</v>
      </c>
      <c r="B3" s="2445"/>
      <c r="C3" s="2445"/>
      <c r="D3" s="2445"/>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3" t="str">
        <f>'Single Audit Cover'!A7</f>
        <v>St Elmo CUSD 202</v>
      </c>
      <c r="B1" s="2453"/>
      <c r="C1" s="2453"/>
      <c r="D1" s="2453"/>
      <c r="E1" s="2453"/>
    </row>
    <row r="2" spans="1:5" x14ac:dyDescent="0.2">
      <c r="A2" s="2454">
        <f>'Single Audit Cover'!E7</f>
        <v>3026202026</v>
      </c>
      <c r="B2" s="2454"/>
      <c r="C2" s="2454"/>
      <c r="D2" s="2454"/>
      <c r="E2" s="2454"/>
    </row>
    <row r="3" spans="1:5" ht="4.5" customHeight="1" x14ac:dyDescent="0.2"/>
    <row r="4" spans="1:5" x14ac:dyDescent="0.2">
      <c r="A4" s="2453" t="s">
        <v>1307</v>
      </c>
      <c r="B4" s="2453"/>
      <c r="C4" s="2453"/>
      <c r="D4" s="2453"/>
      <c r="E4" s="2453"/>
    </row>
    <row r="5" spans="1:5" x14ac:dyDescent="0.2">
      <c r="A5" s="2456" t="str">
        <f>'Single Audit Cover'!A4</f>
        <v>Year Ending June 30, 2018</v>
      </c>
      <c r="B5" s="2456"/>
      <c r="C5" s="2456"/>
      <c r="D5" s="2456"/>
      <c r="E5" s="2456"/>
    </row>
    <row r="6" spans="1:5" x14ac:dyDescent="0.2">
      <c r="A6" s="2453" t="s">
        <v>1306</v>
      </c>
      <c r="B6" s="2453"/>
      <c r="C6" s="2453"/>
      <c r="D6" s="2453"/>
      <c r="E6" s="2453"/>
    </row>
    <row r="8" spans="1:5" x14ac:dyDescent="0.2">
      <c r="A8" s="1259" t="s">
        <v>1305</v>
      </c>
    </row>
    <row r="10" spans="1:5" x14ac:dyDescent="0.2">
      <c r="A10" s="1260" t="s">
        <v>1304</v>
      </c>
      <c r="B10" s="1261" t="s">
        <v>1303</v>
      </c>
      <c r="C10" s="1261"/>
      <c r="D10" s="1262">
        <f>SUM('Acct Summary 7-8'!C7:K7)</f>
        <v>541571</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20141</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-4398</v>
      </c>
    </row>
    <row r="19" spans="1:4" ht="13.5" thickBot="1" x14ac:dyDescent="0.25">
      <c r="A19" s="1264" t="s">
        <v>1297</v>
      </c>
      <c r="D19" s="1265">
        <f>SUM(D10:D17)</f>
        <v>557314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5"/>
      <c r="B24" s="2455"/>
      <c r="D24" s="1267"/>
    </row>
    <row r="25" spans="1:4" x14ac:dyDescent="0.2">
      <c r="A25" s="2452"/>
      <c r="B25" s="2452"/>
      <c r="D25" s="1267"/>
    </row>
    <row r="26" spans="1:4" x14ac:dyDescent="0.2">
      <c r="A26" s="2452"/>
      <c r="B26" s="2452"/>
      <c r="D26" s="1267"/>
    </row>
    <row r="27" spans="1:4" x14ac:dyDescent="0.2">
      <c r="A27" s="2452"/>
      <c r="B27" s="2452"/>
      <c r="D27" s="1267"/>
    </row>
    <row r="28" spans="1:4" x14ac:dyDescent="0.2">
      <c r="A28" s="2452"/>
      <c r="B28" s="2452"/>
      <c r="D28" s="1267"/>
    </row>
    <row r="29" spans="1:4" x14ac:dyDescent="0.2">
      <c r="A29" s="2452"/>
      <c r="B29" s="2452"/>
      <c r="D29" s="1267"/>
    </row>
    <row r="30" spans="1:4" x14ac:dyDescent="0.2">
      <c r="A30" s="2452"/>
      <c r="B30" s="2452"/>
      <c r="D30" s="1267"/>
    </row>
    <row r="32" spans="1:4" x14ac:dyDescent="0.2">
      <c r="A32" s="1259" t="s">
        <v>1295</v>
      </c>
      <c r="D32" s="1262">
        <f>SUM(D19:D30)</f>
        <v>557314</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2"/>
      <c r="B40" s="2452"/>
      <c r="D40" s="1267"/>
    </row>
    <row r="41" spans="1:4" x14ac:dyDescent="0.2">
      <c r="A41" s="2452"/>
      <c r="B41" s="2452"/>
      <c r="D41" s="1270"/>
    </row>
    <row r="42" spans="1:4" x14ac:dyDescent="0.2">
      <c r="A42" s="2452"/>
      <c r="B42" s="2452"/>
      <c r="D42" s="1270"/>
    </row>
    <row r="43" spans="1:4" x14ac:dyDescent="0.2">
      <c r="A43" s="2452"/>
      <c r="B43" s="2452"/>
      <c r="D43" s="1270"/>
    </row>
    <row r="44" spans="1:4" x14ac:dyDescent="0.2">
      <c r="A44" s="2452"/>
      <c r="B44" s="2452"/>
      <c r="D44" s="1270"/>
    </row>
    <row r="45" spans="1:4" x14ac:dyDescent="0.2">
      <c r="A45" s="2452"/>
      <c r="B45" s="2452"/>
      <c r="D45" s="1270"/>
    </row>
    <row r="47" spans="1:4" x14ac:dyDescent="0.2">
      <c r="B47" s="1271" t="s">
        <v>1289</v>
      </c>
      <c r="C47" s="1271"/>
      <c r="D47" s="1272">
        <f>SUM(D35:D45)</f>
        <v>0</v>
      </c>
    </row>
    <row r="49" spans="2:4" x14ac:dyDescent="0.2">
      <c r="B49" s="1271" t="s">
        <v>1288</v>
      </c>
      <c r="C49" s="1271"/>
      <c r="D49" s="1272">
        <f>D32-D47</f>
        <v>557314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St Elmo CUSD 202</v>
      </c>
      <c r="B1" s="2458"/>
      <c r="C1" s="2458"/>
      <c r="D1" s="2458"/>
      <c r="E1" s="2458"/>
      <c r="F1" s="2458"/>
    </row>
    <row r="2" spans="1:7" ht="13.5" customHeight="1" x14ac:dyDescent="0.2">
      <c r="A2" s="2459">
        <f>'Single Audit Cover'!E7</f>
        <v>3026202026</v>
      </c>
      <c r="B2" s="2459"/>
      <c r="C2" s="2459"/>
      <c r="D2" s="2459"/>
      <c r="E2" s="2459"/>
      <c r="F2" s="2459"/>
      <c r="G2" s="1274"/>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5" t="s">
        <v>1831</v>
      </c>
      <c r="C6" s="317"/>
      <c r="D6" s="317"/>
    </row>
    <row r="7" spans="1:7" ht="60.95" customHeight="1" x14ac:dyDescent="0.2">
      <c r="A7" s="2457" t="s">
        <v>1832</v>
      </c>
      <c r="B7" s="2457"/>
      <c r="C7" s="2457"/>
      <c r="D7" s="2457"/>
      <c r="E7" s="2457"/>
      <c r="F7" s="2457"/>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7" t="s">
        <v>1834</v>
      </c>
      <c r="B13" s="2457"/>
      <c r="C13" s="2457"/>
      <c r="D13" s="2457"/>
      <c r="E13" s="2457"/>
      <c r="F13" s="2457"/>
    </row>
    <row r="14" spans="1:7" ht="9.75" customHeight="1" x14ac:dyDescent="0.2">
      <c r="C14" s="1259"/>
      <c r="D14" s="1259"/>
    </row>
    <row r="15" spans="1:7" ht="13.5" customHeight="1" x14ac:dyDescent="0.2">
      <c r="C15" s="1870" t="s">
        <v>1332</v>
      </c>
      <c r="D15" s="2463" t="s">
        <v>1331</v>
      </c>
      <c r="E15" s="2463"/>
      <c r="F15" s="2463"/>
    </row>
    <row r="16" spans="1:7" ht="13.5" customHeight="1" x14ac:dyDescent="0.2">
      <c r="A16" s="1281"/>
      <c r="B16" s="1275" t="s">
        <v>1330</v>
      </c>
      <c r="C16" s="1870" t="s">
        <v>1329</v>
      </c>
      <c r="D16" s="2464" t="s">
        <v>1670</v>
      </c>
      <c r="E16" s="2464"/>
      <c r="F16" s="2464"/>
    </row>
    <row r="17" spans="1:6" ht="20.45" customHeight="1" x14ac:dyDescent="0.2">
      <c r="A17" s="1282"/>
      <c r="B17" s="1283"/>
      <c r="C17" s="1284"/>
      <c r="D17" s="2462"/>
      <c r="E17" s="2462"/>
      <c r="F17" s="2462"/>
    </row>
    <row r="18" spans="1:6" ht="20.65" customHeight="1" x14ac:dyDescent="0.2">
      <c r="A18" s="1282"/>
      <c r="B18" s="1283"/>
      <c r="C18" s="1284"/>
      <c r="D18" s="2462"/>
      <c r="E18" s="2462"/>
      <c r="F18" s="2462"/>
    </row>
    <row r="19" spans="1:6" ht="20.65" customHeight="1" x14ac:dyDescent="0.2">
      <c r="A19" s="1282"/>
      <c r="B19" s="1283"/>
      <c r="C19" s="1284"/>
      <c r="D19" s="2462"/>
      <c r="E19" s="2462"/>
      <c r="F19" s="2462"/>
    </row>
    <row r="20" spans="1:6" ht="20.65" customHeight="1" x14ac:dyDescent="0.2">
      <c r="A20" s="1282"/>
      <c r="B20" s="1283"/>
      <c r="C20" s="1284"/>
      <c r="D20" s="2462"/>
      <c r="E20" s="2462"/>
      <c r="F20" s="2462"/>
    </row>
    <row r="21" spans="1:6" ht="20.65" customHeight="1" x14ac:dyDescent="0.2">
      <c r="A21" s="1282"/>
      <c r="B21" s="1283"/>
      <c r="C21" s="1284"/>
      <c r="D21" s="2462"/>
      <c r="E21" s="2462"/>
      <c r="F21" s="2462"/>
    </row>
    <row r="22" spans="1:6" ht="20.65" customHeight="1" x14ac:dyDescent="0.2">
      <c r="A22" s="1282"/>
      <c r="B22" s="1283"/>
      <c r="C22" s="1284"/>
      <c r="D22" s="2462"/>
      <c r="E22" s="2462"/>
      <c r="F22" s="2462"/>
    </row>
    <row r="23" spans="1:6" ht="20.65" customHeight="1" x14ac:dyDescent="0.2">
      <c r="A23" s="1282"/>
      <c r="B23" s="1283"/>
      <c r="C23" s="1284"/>
      <c r="D23" s="2462"/>
      <c r="E23" s="2462"/>
      <c r="F23" s="2462"/>
    </row>
    <row r="24" spans="1:6" ht="20.65" customHeight="1" x14ac:dyDescent="0.2">
      <c r="A24" s="1282"/>
      <c r="B24" s="1283"/>
      <c r="C24" s="1284"/>
      <c r="D24" s="2462"/>
      <c r="E24" s="2462"/>
      <c r="F24" s="2462"/>
    </row>
    <row r="25" spans="1:6" ht="20.65" customHeight="1" x14ac:dyDescent="0.2">
      <c r="A25" s="1282"/>
      <c r="B25" s="1283"/>
      <c r="C25" s="1284"/>
      <c r="D25" s="2462"/>
      <c r="E25" s="2462"/>
      <c r="F25" s="2462"/>
    </row>
    <row r="26" spans="1:6" ht="20.65" customHeight="1" x14ac:dyDescent="0.2">
      <c r="A26" s="1282"/>
      <c r="B26" s="1283"/>
      <c r="C26" s="1284"/>
      <c r="D26" s="2462"/>
      <c r="E26" s="2462"/>
      <c r="F26" s="2462"/>
    </row>
    <row r="27" spans="1:6" ht="20.65" customHeight="1" x14ac:dyDescent="0.2">
      <c r="A27" s="1282"/>
      <c r="B27" s="1283"/>
      <c r="C27" s="1284"/>
      <c r="D27" s="2462"/>
      <c r="E27" s="2462"/>
      <c r="F27" s="2462"/>
    </row>
    <row r="28" spans="1:6" ht="20.65" customHeight="1" x14ac:dyDescent="0.2">
      <c r="A28" s="1282"/>
      <c r="B28" s="1283"/>
      <c r="C28" s="1284"/>
      <c r="D28" s="2462"/>
      <c r="E28" s="2462"/>
      <c r="F28" s="2462"/>
    </row>
    <row r="29" spans="1:6" ht="20.65" customHeight="1" x14ac:dyDescent="0.2">
      <c r="A29" s="1282"/>
      <c r="B29" s="1283"/>
      <c r="C29" s="1284"/>
      <c r="D29" s="2462"/>
      <c r="E29" s="2462"/>
      <c r="F29" s="2462"/>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6" t="s">
        <v>1835</v>
      </c>
      <c r="B32" s="2466"/>
      <c r="C32" s="2466"/>
      <c r="D32" s="2466"/>
      <c r="E32" s="2466"/>
      <c r="F32" s="2466"/>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67">
        <f>+C33+C34</f>
        <v>0</v>
      </c>
      <c r="F34" s="2468"/>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9" t="s">
        <v>1672</v>
      </c>
      <c r="C49" s="2469"/>
      <c r="D49" s="2469"/>
      <c r="E49" s="1398"/>
    </row>
    <row r="50" spans="1:5" s="1299" customFormat="1" ht="3.75" customHeight="1" x14ac:dyDescent="0.2">
      <c r="A50" s="1298"/>
      <c r="B50" s="1869"/>
      <c r="C50" s="1869"/>
      <c r="D50" s="1869"/>
      <c r="E50" s="1398"/>
    </row>
    <row r="51" spans="1:5" s="1299" customFormat="1" ht="20.25" customHeight="1" x14ac:dyDescent="0.2">
      <c r="A51" s="1300">
        <v>6</v>
      </c>
      <c r="B51" s="2465" t="s">
        <v>1632</v>
      </c>
      <c r="C51" s="2465"/>
      <c r="D51" s="2465"/>
    </row>
    <row r="52" spans="1:5" ht="14.25" customHeight="1" x14ac:dyDescent="0.2">
      <c r="A52" s="1300"/>
      <c r="B52" s="2465"/>
      <c r="C52" s="2465"/>
      <c r="D52" s="24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4" t="str">
        <f>'Single Audit Cover'!A7</f>
        <v>St Elmo CUSD 202</v>
      </c>
      <c r="C1" s="2470"/>
      <c r="D1" s="2470"/>
      <c r="E1" s="2470"/>
      <c r="F1" s="2470"/>
      <c r="G1" s="2470"/>
      <c r="H1" s="2470"/>
      <c r="I1" s="2470"/>
      <c r="J1" s="2470"/>
      <c r="K1" s="2470"/>
      <c r="L1" s="2470"/>
      <c r="M1" s="2470"/>
    </row>
    <row r="2" spans="2:14" ht="15" x14ac:dyDescent="0.2">
      <c r="B2" s="2459">
        <f>'Single Audit Cover'!E7</f>
        <v>3026202026</v>
      </c>
      <c r="C2" s="2459"/>
      <c r="D2" s="2459"/>
      <c r="E2" s="2459"/>
      <c r="F2" s="2459"/>
      <c r="G2" s="2459"/>
      <c r="H2" s="2459"/>
      <c r="I2" s="2459"/>
      <c r="J2" s="2459"/>
      <c r="K2" s="2459"/>
      <c r="L2" s="2459"/>
      <c r="M2" s="2459"/>
      <c r="N2" s="1301"/>
    </row>
    <row r="3" spans="2:14" ht="15" x14ac:dyDescent="0.2">
      <c r="B3" s="2471" t="s">
        <v>1281</v>
      </c>
      <c r="C3" s="2471"/>
      <c r="D3" s="2471"/>
      <c r="E3" s="2471"/>
      <c r="F3" s="2471"/>
      <c r="G3" s="2471"/>
      <c r="H3" s="2471"/>
      <c r="I3" s="2471"/>
      <c r="J3" s="2471"/>
      <c r="K3" s="2471"/>
      <c r="L3" s="2471"/>
      <c r="M3" s="2471"/>
      <c r="N3" s="1301"/>
    </row>
    <row r="4" spans="2:14" ht="15" x14ac:dyDescent="0.2">
      <c r="B4" s="2472" t="str">
        <f>'Single Audit Cover'!A4</f>
        <v>Year Ending June 30, 2018</v>
      </c>
      <c r="C4" s="2472"/>
      <c r="D4" s="2472"/>
      <c r="E4" s="2472"/>
      <c r="F4" s="2472"/>
      <c r="G4" s="2472"/>
      <c r="H4" s="2472"/>
      <c r="I4" s="2472"/>
      <c r="J4" s="2472"/>
      <c r="K4" s="2472"/>
      <c r="L4" s="2472"/>
      <c r="M4" s="2472"/>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St Elmo CUSD 202</v>
      </c>
      <c r="C1" s="2478"/>
      <c r="D1" s="2478"/>
      <c r="E1" s="2478"/>
      <c r="F1" s="2478"/>
      <c r="G1" s="2478"/>
      <c r="H1" s="2478"/>
      <c r="I1" s="2478"/>
      <c r="J1" s="1421"/>
    </row>
    <row r="2" spans="2:10" s="317" customFormat="1" ht="12.75" customHeight="1" x14ac:dyDescent="0.2">
      <c r="B2" s="2479">
        <f>'Single Audit Cover'!E7</f>
        <v>3026202026</v>
      </c>
      <c r="C2" s="2480"/>
      <c r="D2" s="2480"/>
      <c r="E2" s="2480"/>
      <c r="F2" s="2480"/>
      <c r="G2" s="2480"/>
      <c r="H2" s="2480"/>
      <c r="I2" s="2480"/>
      <c r="J2" s="1421"/>
    </row>
    <row r="3" spans="2:10" s="317" customFormat="1" ht="12.75" customHeight="1" x14ac:dyDescent="0.2">
      <c r="B3" s="2481" t="s">
        <v>1347</v>
      </c>
      <c r="C3" s="2482"/>
      <c r="D3" s="2482"/>
      <c r="E3" s="2482"/>
      <c r="F3" s="2482"/>
      <c r="G3" s="2482"/>
      <c r="H3" s="2482"/>
      <c r="I3" s="2482"/>
      <c r="J3" s="1422"/>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1" t="s">
        <v>1346</v>
      </c>
      <c r="C7" s="2482"/>
      <c r="D7" s="2482"/>
      <c r="E7" s="2482"/>
      <c r="F7" s="2482"/>
      <c r="G7" s="2482"/>
      <c r="H7" s="2482"/>
      <c r="I7" s="248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3"/>
      <c r="D11" s="2483"/>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4"/>
      <c r="E29" s="2484"/>
      <c r="F29" s="2484"/>
      <c r="G29" s="2484"/>
      <c r="H29" s="2484"/>
      <c r="I29" s="2484"/>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5" t="s">
        <v>1854</v>
      </c>
      <c r="D37" s="2486"/>
      <c r="E37" s="2486"/>
      <c r="F37" s="2487"/>
      <c r="G37" s="2485" t="s">
        <v>1674</v>
      </c>
      <c r="H37" s="2486"/>
      <c r="I37" s="2487"/>
    </row>
    <row r="38" spans="2:9" ht="16.5" customHeight="1" x14ac:dyDescent="0.2">
      <c r="B38" s="1443"/>
      <c r="C38" s="2473"/>
      <c r="D38" s="2474"/>
      <c r="E38" s="2474"/>
      <c r="F38" s="2475"/>
      <c r="G38" s="2488"/>
      <c r="H38" s="2489"/>
      <c r="I38" s="2490"/>
    </row>
    <row r="39" spans="2:9" ht="16.5" customHeight="1" x14ac:dyDescent="0.2">
      <c r="B39" s="1443"/>
      <c r="C39" s="2473"/>
      <c r="D39" s="2474"/>
      <c r="E39" s="2474"/>
      <c r="F39" s="2475"/>
      <c r="G39" s="2476"/>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91" t="s">
        <v>1675</v>
      </c>
      <c r="D43" s="2492"/>
      <c r="E43" s="2492"/>
      <c r="F43" s="2493"/>
      <c r="G43" s="2494">
        <f>SUM(G38:I42)</f>
        <v>0</v>
      </c>
      <c r="H43" s="2494"/>
      <c r="I43" s="2494"/>
    </row>
    <row r="44" spans="2:9" ht="12.75" customHeight="1" x14ac:dyDescent="0.2"/>
    <row r="45" spans="2:9" ht="12.75" customHeight="1" x14ac:dyDescent="0.2">
      <c r="B45" s="1434" t="s">
        <v>1952</v>
      </c>
      <c r="D45" s="2495">
        <v>0</v>
      </c>
      <c r="E45" s="2496"/>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7"/>
      <c r="F49" s="2497"/>
      <c r="G49" s="2497"/>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St Elmo CUSD 202</v>
      </c>
      <c r="C1" s="2477"/>
      <c r="D1" s="2477"/>
      <c r="E1" s="2477"/>
      <c r="F1" s="2477"/>
      <c r="G1" s="2477"/>
      <c r="H1" s="2477"/>
      <c r="I1" s="2477"/>
      <c r="J1" s="2477"/>
      <c r="K1" s="2477"/>
      <c r="L1" s="1373"/>
      <c r="M1" s="1373"/>
    </row>
    <row r="2" spans="1:13" ht="12" customHeight="1" x14ac:dyDescent="0.2">
      <c r="B2" s="2479">
        <f>'Single Audit Cover'!E7</f>
        <v>3026202026</v>
      </c>
      <c r="C2" s="2479"/>
      <c r="D2" s="2479"/>
      <c r="E2" s="2479"/>
      <c r="F2" s="2479"/>
      <c r="G2" s="2479"/>
      <c r="H2" s="2479"/>
      <c r="I2" s="2479"/>
      <c r="J2" s="2479"/>
      <c r="K2" s="2479"/>
      <c r="L2" s="1374"/>
      <c r="M2" s="1375"/>
    </row>
    <row r="3" spans="1:13" ht="10.35" customHeight="1" x14ac:dyDescent="0.2">
      <c r="B3" s="2500" t="s">
        <v>1347</v>
      </c>
      <c r="C3" s="2500"/>
      <c r="D3" s="2500"/>
      <c r="E3" s="2500"/>
      <c r="F3" s="2500"/>
      <c r="G3" s="2500"/>
      <c r="H3" s="2500"/>
      <c r="I3" s="2500"/>
      <c r="J3" s="2500"/>
      <c r="K3" s="2500"/>
      <c r="L3" s="1376"/>
      <c r="M3" s="1376"/>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1363</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1</v>
      </c>
      <c r="E10" s="322"/>
      <c r="F10" s="1386" t="s">
        <v>1362</v>
      </c>
      <c r="G10" s="1387" t="s">
        <v>2084</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9" t="s">
        <v>2143</v>
      </c>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9" t="s">
        <v>2137</v>
      </c>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3" t="s">
        <v>2138</v>
      </c>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9" t="s">
        <v>2139</v>
      </c>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9" t="s">
        <v>2140</v>
      </c>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4" t="s">
        <v>2130</v>
      </c>
      <c r="C29" s="2504"/>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8" t="s">
        <v>2131</v>
      </c>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4" sqref="B2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St Elmo CUSD 202</v>
      </c>
      <c r="C1" s="2477"/>
      <c r="D1" s="2477"/>
      <c r="E1" s="2477"/>
      <c r="F1" s="2477"/>
      <c r="G1" s="2477"/>
      <c r="H1" s="2477"/>
      <c r="I1" s="2477"/>
      <c r="J1" s="2477"/>
      <c r="K1" s="2477"/>
      <c r="L1" s="1373"/>
      <c r="M1" s="1373"/>
    </row>
    <row r="2" spans="1:13" ht="12" customHeight="1" x14ac:dyDescent="0.2">
      <c r="B2" s="2479">
        <f>'Single Audit Cover'!E7</f>
        <v>3026202026</v>
      </c>
      <c r="C2" s="2479"/>
      <c r="D2" s="2479"/>
      <c r="E2" s="2479"/>
      <c r="F2" s="2479"/>
      <c r="G2" s="2479"/>
      <c r="H2" s="2479"/>
      <c r="I2" s="2479"/>
      <c r="J2" s="2479"/>
      <c r="K2" s="2479"/>
      <c r="L2" s="1374"/>
      <c r="M2" s="1375"/>
    </row>
    <row r="3" spans="1:13" ht="10.35" customHeight="1" x14ac:dyDescent="0.2">
      <c r="B3" s="2500" t="s">
        <v>1347</v>
      </c>
      <c r="C3" s="2500"/>
      <c r="D3" s="2500"/>
      <c r="E3" s="2500"/>
      <c r="F3" s="2500"/>
      <c r="G3" s="2500"/>
      <c r="H3" s="2500"/>
      <c r="I3" s="2500"/>
      <c r="J3" s="2500"/>
      <c r="K3" s="2500"/>
      <c r="L3" s="1961"/>
      <c r="M3" s="1961"/>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1363</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2</v>
      </c>
      <c r="E10" s="322"/>
      <c r="F10" s="1386" t="s">
        <v>1362</v>
      </c>
      <c r="G10" s="1387" t="s">
        <v>2084</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9" t="s">
        <v>2132</v>
      </c>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9" t="s">
        <v>2141</v>
      </c>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3" t="s">
        <v>2142</v>
      </c>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9" t="s">
        <v>2133</v>
      </c>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9" t="s">
        <v>2134</v>
      </c>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4" t="s">
        <v>2135</v>
      </c>
      <c r="C29" s="2504"/>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8" t="s">
        <v>2136</v>
      </c>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St Elmo CUSD 202</v>
      </c>
      <c r="C1" s="2505"/>
      <c r="D1" s="2505"/>
      <c r="E1" s="2505"/>
      <c r="F1" s="2505"/>
      <c r="G1" s="2505"/>
      <c r="H1" s="2505"/>
      <c r="I1" s="2505"/>
      <c r="J1" s="2505"/>
      <c r="K1" s="2505"/>
      <c r="L1" s="1464"/>
    </row>
    <row r="2" spans="1:12" ht="12.75" customHeight="1" x14ac:dyDescent="0.2">
      <c r="B2" s="2506">
        <f>'Single Audit Cover'!E7</f>
        <v>3026202026</v>
      </c>
      <c r="C2" s="2506"/>
      <c r="D2" s="2506"/>
      <c r="E2" s="2506"/>
      <c r="F2" s="2506"/>
      <c r="G2" s="2506"/>
      <c r="H2" s="2506"/>
      <c r="I2" s="2506"/>
      <c r="J2" s="2506"/>
      <c r="K2" s="2506"/>
      <c r="L2" s="1465"/>
    </row>
    <row r="3" spans="1:12" ht="12.75" customHeight="1" x14ac:dyDescent="0.2">
      <c r="B3" s="2500" t="s">
        <v>1347</v>
      </c>
      <c r="C3" s="2500"/>
      <c r="D3" s="2500"/>
      <c r="E3" s="2500"/>
      <c r="F3" s="2500"/>
      <c r="G3" s="2500"/>
      <c r="H3" s="2500"/>
      <c r="I3" s="2500"/>
      <c r="J3" s="2500"/>
      <c r="K3" s="2500"/>
      <c r="L3" s="1376"/>
    </row>
    <row r="4" spans="1:12" ht="12.75" customHeight="1" x14ac:dyDescent="0.2">
      <c r="B4" s="2500" t="str">
        <f>'Single Audit Cover'!A4</f>
        <v>Year Ending June 30, 2018</v>
      </c>
      <c r="C4" s="2500"/>
      <c r="D4" s="2500"/>
      <c r="E4" s="2500"/>
      <c r="F4" s="2500"/>
      <c r="G4" s="2500"/>
      <c r="H4" s="2500"/>
      <c r="I4" s="2500"/>
      <c r="J4" s="2500"/>
      <c r="K4" s="2500"/>
      <c r="L4" s="1376"/>
    </row>
    <row r="5" spans="1:12" ht="5.25" customHeight="1" x14ac:dyDescent="0.2">
      <c r="B5" s="1259" t="s">
        <v>1231</v>
      </c>
      <c r="C5" s="1259"/>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4"/>
      <c r="G12" s="2484"/>
      <c r="H12" s="2484"/>
      <c r="I12" s="2484"/>
      <c r="J12" s="2484"/>
      <c r="K12" s="248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9"/>
      <c r="E14" s="2509"/>
      <c r="F14" s="2509"/>
      <c r="H14" s="1474" t="s">
        <v>1370</v>
      </c>
      <c r="I14" s="2510"/>
      <c r="J14" s="2510"/>
      <c r="K14" s="2510"/>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0"/>
      <c r="E16" s="2510"/>
      <c r="F16" s="2510"/>
      <c r="G16" s="2510"/>
      <c r="H16" s="2510"/>
      <c r="I16" s="2510"/>
      <c r="J16" s="2510"/>
      <c r="K16" s="2510"/>
      <c r="L16" s="322"/>
    </row>
    <row r="17" spans="2:12" ht="13.5" customHeight="1" x14ac:dyDescent="0.2">
      <c r="B17" s="1386" t="s">
        <v>1368</v>
      </c>
      <c r="C17" s="1386"/>
      <c r="D17" s="2511"/>
      <c r="E17" s="2511"/>
      <c r="F17" s="2511"/>
      <c r="G17" s="2511"/>
      <c r="H17" s="2511"/>
      <c r="I17" s="2511"/>
      <c r="J17" s="2511"/>
      <c r="K17" s="2511"/>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8"/>
      <c r="C20" s="2508"/>
      <c r="D20" s="2508"/>
      <c r="E20" s="2508"/>
      <c r="F20" s="2508"/>
      <c r="G20" s="2508"/>
      <c r="H20" s="2508"/>
      <c r="I20" s="2508"/>
      <c r="J20" s="2508"/>
      <c r="K20" s="2508"/>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8"/>
      <c r="C23" s="2508"/>
      <c r="D23" s="2508"/>
      <c r="E23" s="2508"/>
      <c r="F23" s="2508"/>
      <c r="G23" s="2508"/>
      <c r="H23" s="2508"/>
      <c r="I23" s="2508"/>
      <c r="J23" s="2508"/>
      <c r="K23" s="2508"/>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8"/>
      <c r="C26" s="2508"/>
      <c r="D26" s="2508"/>
      <c r="E26" s="2508"/>
      <c r="F26" s="2508"/>
      <c r="G26" s="2508"/>
      <c r="H26" s="2508"/>
      <c r="I26" s="2508"/>
      <c r="J26" s="2508"/>
      <c r="K26" s="2508"/>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8"/>
      <c r="C29" s="2508"/>
      <c r="D29" s="2508"/>
      <c r="E29" s="2508"/>
      <c r="F29" s="2508"/>
      <c r="G29" s="2508"/>
      <c r="H29" s="2508"/>
      <c r="I29" s="2508"/>
      <c r="J29" s="2508"/>
      <c r="K29" s="2508"/>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8"/>
      <c r="C32" s="2508"/>
      <c r="D32" s="2508"/>
      <c r="E32" s="2508"/>
      <c r="F32" s="2508"/>
      <c r="G32" s="2508"/>
      <c r="H32" s="2508"/>
      <c r="I32" s="2508"/>
      <c r="J32" s="2508"/>
      <c r="K32" s="2508"/>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8"/>
      <c r="C35" s="2508"/>
      <c r="D35" s="2508"/>
      <c r="E35" s="2508"/>
      <c r="F35" s="2508"/>
      <c r="G35" s="2508"/>
      <c r="H35" s="2508"/>
      <c r="I35" s="2508"/>
      <c r="J35" s="2508"/>
      <c r="K35" s="2508"/>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8"/>
      <c r="C38" s="2508"/>
      <c r="D38" s="2508"/>
      <c r="E38" s="2508"/>
      <c r="F38" s="2508"/>
      <c r="G38" s="2508"/>
      <c r="H38" s="2508"/>
      <c r="I38" s="2508"/>
      <c r="J38" s="2508"/>
      <c r="K38" s="2508"/>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8"/>
      <c r="C41" s="2508"/>
      <c r="D41" s="2508"/>
      <c r="E41" s="2508"/>
      <c r="F41" s="2508"/>
      <c r="G41" s="2508"/>
      <c r="H41" s="2508"/>
      <c r="I41" s="2508"/>
      <c r="J41" s="2508"/>
      <c r="K41" s="2508"/>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7" t="str">
        <f>'Single Audit Cover'!A7</f>
        <v>St Elmo CUSD 202</v>
      </c>
      <c r="C1" s="2477"/>
      <c r="D1" s="2477"/>
      <c r="E1" s="1490"/>
    </row>
    <row r="2" spans="2:5" s="1281" customFormat="1" ht="12.75" customHeight="1" x14ac:dyDescent="0.2">
      <c r="B2" s="2479">
        <f>'Single Audit Cover'!E7</f>
        <v>3026202026</v>
      </c>
      <c r="C2" s="2479"/>
      <c r="D2" s="2479"/>
      <c r="E2" s="1491"/>
    </row>
    <row r="3" spans="2:5" ht="12.75" customHeight="1" x14ac:dyDescent="0.2">
      <c r="B3" s="2500" t="s">
        <v>1869</v>
      </c>
      <c r="C3" s="2500"/>
      <c r="D3" s="2500"/>
      <c r="E3" s="1273"/>
    </row>
    <row r="4" spans="2:5" s="1281" customFormat="1" ht="12.75" customHeight="1" x14ac:dyDescent="0.2">
      <c r="B4" s="2512" t="str">
        <f>'Single Audit Cover'!A4</f>
        <v>Year Ending June 30, 2018</v>
      </c>
      <c r="C4" s="2512"/>
      <c r="D4" s="2512"/>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6ce3111e-7420-4802-b50a-75d4e9a0b980"/>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d21dc803-237d-4c68-8692-8d731fd29118"/>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2018-11-15T00:49:04Z</cp:lastPrinted>
  <dcterms:created xsi:type="dcterms:W3CDTF">2003-10-29T19:06:34Z</dcterms:created>
  <dcterms:modified xsi:type="dcterms:W3CDTF">2018-11-28T16:03:41Z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