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07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107" i="5" l="1"/>
  <c r="H169" i="29"/>
  <c r="N21" i="3" l="1"/>
  <c r="L33" i="3"/>
  <c r="I12" i="11"/>
  <c r="D12" i="11"/>
  <c r="C15" i="11"/>
  <c r="C29" i="127" l="1"/>
  <c r="C17" i="127"/>
  <c r="K14" i="12"/>
  <c r="K9" i="12"/>
  <c r="K7" i="12"/>
  <c r="H5" i="12"/>
  <c r="H14" i="12" s="1"/>
  <c r="E16" i="7"/>
  <c r="E323" i="29"/>
  <c r="C323" i="29"/>
  <c r="E322" i="29"/>
  <c r="D321" i="29"/>
  <c r="D268" i="29"/>
  <c r="D267" i="29"/>
  <c r="D266" i="29"/>
  <c r="D245" i="29"/>
  <c r="D241" i="29"/>
  <c r="D240" i="29"/>
  <c r="D236" i="29"/>
  <c r="D233" i="29"/>
  <c r="G124" i="29"/>
  <c r="F124" i="29"/>
  <c r="D124" i="29"/>
  <c r="C124" i="29"/>
  <c r="E5" i="29"/>
  <c r="H86" i="29"/>
  <c r="F63" i="29"/>
  <c r="E63" i="29"/>
  <c r="D63" i="29"/>
  <c r="C63" i="29"/>
  <c r="F61" i="29"/>
  <c r="E61" i="29"/>
  <c r="F60" i="29"/>
  <c r="F55" i="29"/>
  <c r="E55" i="29"/>
  <c r="D55" i="29"/>
  <c r="C55" i="29"/>
  <c r="E50" i="29"/>
  <c r="D50" i="29"/>
  <c r="C50" i="29"/>
  <c r="H49" i="29"/>
  <c r="F49" i="29"/>
  <c r="E49" i="29"/>
  <c r="F45" i="29"/>
  <c r="F44" i="29"/>
  <c r="C44" i="29"/>
  <c r="D40" i="29"/>
  <c r="E39" i="29"/>
  <c r="D39" i="29"/>
  <c r="C37" i="29"/>
  <c r="H14" i="29"/>
  <c r="F14" i="29"/>
  <c r="E14" i="29"/>
  <c r="C14" i="29"/>
  <c r="F13" i="29"/>
  <c r="E13" i="29"/>
  <c r="D13" i="29"/>
  <c r="C13" i="29"/>
  <c r="E10" i="29"/>
  <c r="D10" i="29"/>
  <c r="C10" i="29"/>
  <c r="C9" i="29"/>
  <c r="F8" i="29"/>
  <c r="D8" i="29"/>
  <c r="C8" i="29"/>
  <c r="G5" i="29"/>
  <c r="F5" i="29"/>
  <c r="D5" i="29"/>
  <c r="C5" i="29"/>
  <c r="G65" i="5"/>
  <c r="G15" i="5"/>
  <c r="G14" i="5"/>
  <c r="G8" i="5"/>
  <c r="C268" i="5"/>
  <c r="C107" i="5"/>
  <c r="C84" i="5"/>
  <c r="C81" i="5"/>
  <c r="C77" i="5"/>
  <c r="C73" i="5"/>
  <c r="C69" i="5"/>
  <c r="E10" i="108" l="1"/>
  <c r="H170" i="29"/>
  <c r="H96" i="29"/>
  <c r="H63" i="29"/>
  <c r="C40" i="29"/>
  <c r="G8" i="29"/>
  <c r="C203"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s="1"/>
  <c r="B7729" i="106"/>
  <c r="B7734" i="106"/>
  <c r="D7734" i="106" s="1"/>
  <c r="B7726" i="10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L127" i="29"/>
  <c r="L129" i="29" s="1"/>
  <c r="L139" i="29"/>
  <c r="L149" i="29"/>
  <c r="I7" i="145"/>
  <c r="I6" i="145"/>
  <c r="D78" i="36"/>
  <c r="K75" i="29"/>
  <c r="K130" i="29"/>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B7090" i="106" s="1"/>
  <c r="D7090" i="106" s="1"/>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D26" i="108"/>
  <c r="E26" i="108"/>
  <c r="F26" i="108"/>
  <c r="G26" i="108"/>
  <c r="E27" i="108"/>
  <c r="G27" i="108"/>
  <c r="F31" i="108"/>
  <c r="F36" i="108"/>
  <c r="F37" i="108"/>
  <c r="G28"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D24" i="37"/>
  <c r="B4270" i="106" s="1"/>
  <c r="D4270" i="106" s="1"/>
  <c r="D12" i="7"/>
  <c r="B1769" i="106" s="1"/>
  <c r="D1769" i="106" s="1"/>
  <c r="J210" i="29" l="1"/>
  <c r="B7072" i="106" s="1"/>
  <c r="D7072" i="106" s="1"/>
  <c r="L22" i="37"/>
  <c r="B7047" i="106"/>
  <c r="D7047" i="106" s="1"/>
  <c r="F67" i="34"/>
  <c r="I210" i="29"/>
  <c r="B7071" i="106" s="1"/>
  <c r="D7071" i="106" s="1"/>
  <c r="F38" i="34"/>
  <c r="D4" i="7"/>
  <c r="B1760" i="106" s="1"/>
  <c r="D1760" i="106" s="1"/>
  <c r="F36" i="34"/>
  <c r="B3619" i="106"/>
  <c r="D3619" i="106" s="1"/>
  <c r="L342" i="29"/>
  <c r="B2026" i="106"/>
  <c r="D2026" i="106" s="1"/>
  <c r="M16" i="3"/>
  <c r="B4373" i="106"/>
  <c r="D4373" i="106" s="1"/>
  <c r="K173" i="5"/>
  <c r="K6" i="4" s="1"/>
  <c r="B3570" i="106" s="1"/>
  <c r="D3570" i="106" s="1"/>
  <c r="L312" i="29"/>
  <c r="B2029" i="106"/>
  <c r="D2029" i="106" s="1"/>
  <c r="M19" i="3"/>
  <c r="B276" i="106" s="1"/>
  <c r="D276" i="106" s="1"/>
  <c r="B2028" i="106"/>
  <c r="D2028" i="106" s="1"/>
  <c r="M18" i="3"/>
  <c r="B275" i="106" s="1"/>
  <c r="D275" i="106" s="1"/>
  <c r="B1746" i="106"/>
  <c r="D1746" i="106" s="1"/>
  <c r="F127" i="34"/>
  <c r="B2027" i="106"/>
  <c r="D2027" i="106" s="1"/>
  <c r="M17" i="3"/>
  <c r="B274" i="106" s="1"/>
  <c r="D274" i="106" s="1"/>
  <c r="K274" i="5"/>
  <c r="B6022" i="106" s="1"/>
  <c r="D6022" i="106" s="1"/>
  <c r="J352" i="29"/>
  <c r="J367" i="29" s="1"/>
  <c r="B7245" i="106" s="1"/>
  <c r="D7245" i="106" s="1"/>
  <c r="G172" i="5"/>
  <c r="G173" i="5" s="1"/>
  <c r="B5778" i="106" s="1"/>
  <c r="D5778" i="106" s="1"/>
  <c r="F106" i="34"/>
  <c r="G15" i="145"/>
  <c r="L15" i="11"/>
  <c r="B3459" i="106" s="1"/>
  <c r="D3459" i="106" s="1"/>
  <c r="H173" i="5"/>
  <c r="B5906" i="106" s="1"/>
  <c r="D5906" i="106" s="1"/>
  <c r="B5658" i="106"/>
  <c r="D5658" i="106" s="1"/>
  <c r="B5383" i="106"/>
  <c r="D5383" i="106" s="1"/>
  <c r="J129" i="29"/>
  <c r="B7038" i="106" s="1"/>
  <c r="D7038" i="106" s="1"/>
  <c r="I129" i="29"/>
  <c r="B7037" i="106" s="1"/>
  <c r="D7037" i="106" s="1"/>
  <c r="L13" i="11"/>
  <c r="B2060" i="106" s="1"/>
  <c r="D2060" i="106" s="1"/>
  <c r="I24" i="12"/>
  <c r="H109" i="5"/>
  <c r="B6025" i="106" s="1"/>
  <c r="D6025" i="106" s="1"/>
  <c r="J77" i="4"/>
  <c r="B6262" i="106" s="1"/>
  <c r="D6262" i="106" s="1"/>
  <c r="D15" i="7"/>
  <c r="B1772" i="106" s="1"/>
  <c r="D1772" i="106" s="1"/>
  <c r="J274" i="5"/>
  <c r="B7054" i="106" s="1"/>
  <c r="D7054" i="106" s="1"/>
  <c r="F172" i="5"/>
  <c r="B5644" i="106" s="1"/>
  <c r="D5644" i="106" s="1"/>
  <c r="K76" i="4"/>
  <c r="B3586" i="106" s="1"/>
  <c r="D3586" i="106" s="1"/>
  <c r="H76" i="4"/>
  <c r="B3298" i="106" s="1"/>
  <c r="D3298" i="106" s="1"/>
  <c r="F131" i="34"/>
  <c r="F128" i="34"/>
  <c r="E174" i="29"/>
  <c r="B1309" i="106" s="1"/>
  <c r="D1309" i="106" s="1"/>
  <c r="D6103" i="106"/>
  <c r="B3621" i="106"/>
  <c r="D3621" i="106" s="1"/>
  <c r="C367" i="29"/>
  <c r="B3622" i="106" s="1"/>
  <c r="D3622" i="106" s="1"/>
  <c r="K285" i="29"/>
  <c r="B3724" i="106" s="1"/>
  <c r="D3724" i="106" s="1"/>
  <c r="G210" i="29"/>
  <c r="I173" i="5"/>
  <c r="B4216" i="106" s="1"/>
  <c r="D4216" i="106" s="1"/>
  <c r="B5878" i="106"/>
  <c r="D5878" i="106" s="1"/>
  <c r="I342" i="29"/>
  <c r="B7222" i="106" s="1"/>
  <c r="D7222" i="106" s="1"/>
  <c r="D5" i="4"/>
  <c r="B3406" i="106" s="1"/>
  <c r="D3406" i="106" s="1"/>
  <c r="C342" i="29"/>
  <c r="B7216" i="106" s="1"/>
  <c r="D7216" i="106" s="1"/>
  <c r="H365" i="29"/>
  <c r="B7242" i="106" s="1"/>
  <c r="D7242" i="106" s="1"/>
  <c r="F21" i="8"/>
  <c r="D11" i="7"/>
  <c r="B1768" i="106" s="1"/>
  <c r="D1768" i="106" s="1"/>
  <c r="F130" i="34"/>
  <c r="H342" i="29"/>
  <c r="B7221" i="106" s="1"/>
  <c r="D7221" i="106" s="1"/>
  <c r="B3647" i="106"/>
  <c r="D3647" i="106" s="1"/>
  <c r="F77" i="4"/>
  <c r="B3255" i="106" s="1"/>
  <c r="D3255" i="106" s="1"/>
  <c r="D17" i="7"/>
  <c r="B4104" i="106" s="1"/>
  <c r="D4104" i="106" s="1"/>
  <c r="F136" i="34"/>
  <c r="G5" i="4"/>
  <c r="B3409" i="106" s="1"/>
  <c r="D3409" i="106" s="1"/>
  <c r="D9" i="7"/>
  <c r="B1767" i="106" s="1"/>
  <c r="D1767" i="106" s="1"/>
  <c r="D27" i="108"/>
  <c r="D41" i="108" s="1"/>
  <c r="E43" i="108" s="1"/>
  <c r="K24" i="12"/>
  <c r="F19" i="7"/>
  <c r="B1807" i="106" s="1"/>
  <c r="D1807" i="106" s="1"/>
  <c r="H29" i="118"/>
  <c r="K28" i="118" s="1"/>
  <c r="O27" i="118" s="1"/>
  <c r="O29" i="118" s="1"/>
  <c r="D11" i="37"/>
  <c r="B3649" i="106"/>
  <c r="D3649" i="106" s="1"/>
  <c r="G367" i="29"/>
  <c r="B3650" i="106" s="1"/>
  <c r="D3650" i="106" s="1"/>
  <c r="K350" i="29"/>
  <c r="F68" i="34"/>
  <c r="B1410" i="106"/>
  <c r="D1410" i="106" s="1"/>
  <c r="C129" i="29"/>
  <c r="B1225" i="106" s="1"/>
  <c r="D1225" i="106" s="1"/>
  <c r="F35" i="34"/>
  <c r="L367" i="29"/>
  <c r="G29" i="108"/>
  <c r="E29" i="108"/>
  <c r="K184" i="29"/>
  <c r="F13" i="4" s="1"/>
  <c r="B2596" i="106" s="1"/>
  <c r="D2596" i="106" s="1"/>
  <c r="B1329" i="106"/>
  <c r="D1329" i="106" s="1"/>
  <c r="F61" i="34"/>
  <c r="E30" i="108"/>
  <c r="G30" i="108"/>
  <c r="E28" i="108"/>
  <c r="F28" i="108"/>
  <c r="F41" i="108" s="1"/>
  <c r="G43" i="108" s="1"/>
  <c r="G109" i="5"/>
  <c r="F111" i="34"/>
  <c r="D7" i="7"/>
  <c r="B1763" i="106" s="1"/>
  <c r="D1763" i="106" s="1"/>
  <c r="E109" i="5"/>
  <c r="E4" i="4" s="1"/>
  <c r="B2630" i="106" s="1"/>
  <c r="D2630" i="106" s="1"/>
  <c r="D109" i="5"/>
  <c r="D5" i="7"/>
  <c r="B1761" i="106" s="1"/>
  <c r="D1761" i="106" s="1"/>
  <c r="C172" i="5"/>
  <c r="B5214" i="106" s="1"/>
  <c r="D5214" i="106" s="1"/>
  <c r="B5096" i="106"/>
  <c r="D5096" i="106" s="1"/>
  <c r="C109" i="5"/>
  <c r="B5121" i="106" s="1"/>
  <c r="D5121" i="106" s="1"/>
  <c r="D13" i="7"/>
  <c r="B3726" i="106" s="1"/>
  <c r="D3726" i="106" s="1"/>
  <c r="B5066" i="106"/>
  <c r="D5066"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J34"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7270" i="106"/>
  <c r="B1266" i="106" l="1"/>
  <c r="D1266" i="106" s="1"/>
  <c r="J35" i="8"/>
  <c r="D274" i="5"/>
  <c r="D7" i="4" s="1"/>
  <c r="K77" i="4"/>
  <c r="B3587" i="106" s="1"/>
  <c r="D3587" i="106" s="1"/>
  <c r="I151" i="29"/>
  <c r="F59" i="34" s="1"/>
  <c r="B7215" i="106"/>
  <c r="D7215" i="106" s="1"/>
  <c r="F66" i="34"/>
  <c r="H6" i="4"/>
  <c r="B2656" i="106" s="1"/>
  <c r="D2656" i="106" s="1"/>
  <c r="B5770" i="106"/>
  <c r="D5770" i="106" s="1"/>
  <c r="C151" i="29"/>
  <c r="B1226" i="106" s="1"/>
  <c r="D1226" i="106" s="1"/>
  <c r="B5914" i="106"/>
  <c r="D5914" i="106" s="1"/>
  <c r="B6014" i="106"/>
  <c r="D6014" i="106" s="1"/>
  <c r="D7255" i="106"/>
  <c r="K7" i="4"/>
  <c r="B3718" i="106" s="1"/>
  <c r="D3718" i="106" s="1"/>
  <c r="H275" i="5"/>
  <c r="B5915" i="106" s="1"/>
  <c r="D5915" i="106" s="1"/>
  <c r="B1317" i="106"/>
  <c r="D1317" i="106" s="1"/>
  <c r="B1328" i="106"/>
  <c r="D1328" i="106" s="1"/>
  <c r="B3628" i="106"/>
  <c r="D3628" i="106" s="1"/>
  <c r="H4" i="4"/>
  <c r="B2655" i="106" s="1"/>
  <c r="D2655" i="106" s="1"/>
  <c r="B5527" i="106"/>
  <c r="D5527" i="106" s="1"/>
  <c r="D7256" i="106"/>
  <c r="D7251" i="106"/>
  <c r="F173" i="5"/>
  <c r="B5653" i="106" s="1"/>
  <c r="D5653" i="106" s="1"/>
  <c r="B7235" i="106"/>
  <c r="D7235" i="106" s="1"/>
  <c r="D7254" i="106"/>
  <c r="J151" i="29"/>
  <c r="B7052" i="106" s="1"/>
  <c r="D7052" i="106" s="1"/>
  <c r="F274" i="5"/>
  <c r="B5719" i="106" s="1"/>
  <c r="D5719" i="106" s="1"/>
  <c r="K365" i="29"/>
  <c r="K16" i="4" s="1"/>
  <c r="M23" i="3"/>
  <c r="B273" i="106"/>
  <c r="D273" i="106" s="1"/>
  <c r="L16" i="11"/>
  <c r="B2061" i="106" s="1"/>
  <c r="D2061" i="106" s="1"/>
  <c r="B2031" i="106"/>
  <c r="D2031" i="106" s="1"/>
  <c r="I26" i="12"/>
  <c r="B7741" i="106" s="1"/>
  <c r="D7741" i="106" s="1"/>
  <c r="B1996" i="106"/>
  <c r="D1996" i="106" s="1"/>
  <c r="D7253" i="106"/>
  <c r="D7252" i="106"/>
  <c r="B1365" i="106"/>
  <c r="D1365" i="106" s="1"/>
  <c r="F65" i="34"/>
  <c r="B1879" i="106"/>
  <c r="D1879" i="106" s="1"/>
  <c r="H22" i="37"/>
  <c r="F73" i="34"/>
  <c r="G15" i="4"/>
  <c r="B6032" i="106" s="1"/>
  <c r="D6032" i="106" s="1"/>
  <c r="J31" i="8"/>
  <c r="J33" i="8"/>
  <c r="J32" i="8"/>
  <c r="B7733" i="106"/>
  <c r="D7733" i="106" s="1"/>
  <c r="K26" i="12"/>
  <c r="B7743" i="106" s="1"/>
  <c r="D7743" i="106" s="1"/>
  <c r="K342" i="29"/>
  <c r="F13" i="34" s="1"/>
  <c r="B3670" i="106"/>
  <c r="D3670" i="106" s="1"/>
  <c r="K352" i="29"/>
  <c r="H367" i="29"/>
  <c r="B3660" i="106" s="1"/>
  <c r="D3660" i="106" s="1"/>
  <c r="C4" i="4"/>
  <c r="B2551" i="106" s="1"/>
  <c r="D2551" i="106" s="1"/>
  <c r="L114" i="29"/>
  <c r="B1381" i="106"/>
  <c r="D1381" i="106" s="1"/>
  <c r="C114" i="29"/>
  <c r="B757" i="106" s="1"/>
  <c r="D757" i="106" s="1"/>
  <c r="B6024" i="106"/>
  <c r="D6024" i="106" s="1"/>
  <c r="G4" i="4"/>
  <c r="B2603" i="106" s="1"/>
  <c r="D2603" i="106" s="1"/>
  <c r="B5356" i="106"/>
  <c r="D5356" i="106" s="1"/>
  <c r="D4" i="4"/>
  <c r="B2564" i="106" s="1"/>
  <c r="D2564" i="106" s="1"/>
  <c r="D19" i="7"/>
  <c r="B1775" i="106" s="1"/>
  <c r="D1775" i="106" s="1"/>
  <c r="C173" i="5"/>
  <c r="B5223" i="106" s="1"/>
  <c r="D522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5507" i="106"/>
  <c r="D5507" i="106" s="1"/>
  <c r="B7298" i="106"/>
  <c r="B7299" i="106"/>
  <c r="D275" i="5" l="1"/>
  <c r="B5508" i="106" s="1"/>
  <c r="D5508" i="106" s="1"/>
  <c r="B7051" i="106"/>
  <c r="D7051" i="106" s="1"/>
  <c r="F6" i="4"/>
  <c r="B2593" i="106" s="1"/>
  <c r="D2593" i="106" s="1"/>
  <c r="F7" i="4"/>
  <c r="B2594" i="106" s="1"/>
  <c r="D2594" i="106" s="1"/>
  <c r="H8" i="4"/>
  <c r="F275" i="5"/>
  <c r="B5720" i="106" s="1"/>
  <c r="D5720" i="106" s="1"/>
  <c r="B7224" i="106"/>
  <c r="D7224" i="106" s="1"/>
  <c r="K367" i="29"/>
  <c r="B3678" i="106" s="1"/>
  <c r="D3678" i="106" s="1"/>
  <c r="F24" i="37"/>
  <c r="B7243" i="106"/>
  <c r="D7243" i="106" s="1"/>
  <c r="B279" i="106"/>
  <c r="D279" i="106" s="1"/>
  <c r="M40" i="3"/>
  <c r="J49" i="8"/>
  <c r="B4172" i="106" s="1"/>
  <c r="D4172" i="106" s="1"/>
  <c r="K13" i="4"/>
  <c r="B3572" i="106" s="1"/>
  <c r="D3572" i="106" s="1"/>
  <c r="B3672" i="106"/>
  <c r="D3672" i="106" s="1"/>
  <c r="B1145" i="106"/>
  <c r="D1145" i="106" s="1"/>
  <c r="G41" i="108"/>
  <c r="G44" i="108" s="1"/>
  <c r="G45" i="108" s="1"/>
  <c r="E41" i="108"/>
  <c r="E44" i="108" s="1"/>
  <c r="E45" i="108" s="1"/>
  <c r="J8" i="4"/>
  <c r="B6223" i="106" s="1"/>
  <c r="D6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8" i="4"/>
  <c r="B2595" i="106" s="1"/>
  <c r="D2595" i="106" s="1"/>
  <c r="K17" i="4"/>
  <c r="K20" i="4" s="1"/>
  <c r="B2658" i="106"/>
  <c r="D2658" i="106" s="1"/>
  <c r="H10" i="4"/>
  <c r="B4127" i="106" s="1"/>
  <c r="D4127" i="106" s="1"/>
  <c r="D8" i="4"/>
  <c r="K368" i="29"/>
  <c r="B3681" i="106" s="1"/>
  <c r="D3681" i="106" s="1"/>
  <c r="J10" i="4"/>
  <c r="B6225" i="106" s="1"/>
  <c r="D6225" i="106" s="1"/>
  <c r="B280" i="106"/>
  <c r="D280" i="106" s="1"/>
  <c r="M41" i="3"/>
  <c r="N22" i="3"/>
  <c r="B283" i="106" s="1"/>
  <c r="D283"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8" i="146" l="1"/>
  <c r="F10" i="4"/>
  <c r="B4125" i="106" s="1"/>
  <c r="D4125" i="106" s="1"/>
  <c r="K19" i="4"/>
  <c r="B4144" i="106" s="1"/>
  <c r="D4144" i="106" s="1"/>
  <c r="B3575" i="106"/>
  <c r="D3575" i="106" s="1"/>
  <c r="H13" i="118"/>
  <c r="N23" i="3"/>
  <c r="B284" i="106" s="1"/>
  <c r="D284" i="106" s="1"/>
  <c r="B281" i="106"/>
  <c r="D281" i="106" s="1"/>
  <c r="D54" i="36"/>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14" i="106" s="1"/>
  <c r="D6214" i="106" s="1"/>
  <c r="B6263" i="106"/>
  <c r="D6263" i="106" s="1"/>
  <c r="D78" i="4"/>
  <c r="B2574" i="106"/>
  <c r="D2574" i="106" s="1"/>
  <c r="D55" i="36" l="1"/>
  <c r="F179" i="34"/>
  <c r="F79" i="34"/>
  <c r="B6215" i="106"/>
  <c r="D6215" i="106" s="1"/>
  <c r="J41" i="3"/>
  <c r="B3588" i="106"/>
  <c r="D3588" i="106" s="1"/>
  <c r="K81" i="4"/>
  <c r="K39" i="3" s="1"/>
  <c r="F78" i="4"/>
  <c r="B2601" i="106"/>
  <c r="D2601" i="106" s="1"/>
  <c r="B3320" i="106"/>
  <c r="D3320" i="106" s="1"/>
  <c r="I81" i="4"/>
  <c r="I39" i="3" s="1"/>
  <c r="B2911" i="106" s="1"/>
  <c r="D2911" i="106"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437" i="106" l="1"/>
  <c r="D2437" i="106" s="1"/>
  <c r="B212" i="106"/>
  <c r="D212" i="106" s="1"/>
  <c r="H41" i="3"/>
  <c r="B2912" i="106"/>
  <c r="D2912" i="106" s="1"/>
  <c r="I41" i="3"/>
  <c r="F181" i="34"/>
  <c r="F183" i="34" s="1"/>
  <c r="K41" i="3"/>
  <c r="B3567" i="106"/>
  <c r="D3567" i="106" s="1"/>
  <c r="D51" i="36"/>
  <c r="B6216" i="106"/>
  <c r="D6216" i="106" s="1"/>
  <c r="B123" i="106"/>
  <c r="D123" i="106" s="1"/>
  <c r="D41" i="3"/>
  <c r="B3278" i="106"/>
  <c r="D3278" i="106" s="1"/>
  <c r="E81" i="4"/>
  <c r="E39" i="3" s="1"/>
  <c r="B2504" i="106" s="1"/>
  <c r="D2504" i="106" s="1"/>
  <c r="B3233" i="106"/>
  <c r="D3233" i="106" s="1"/>
  <c r="C81" i="4"/>
  <c r="C39" i="3" s="1"/>
  <c r="A7263" i="106"/>
  <c r="D7262" i="106"/>
  <c r="B1700" i="106"/>
  <c r="D1700" i="106" s="1"/>
  <c r="H82" i="4"/>
  <c r="D62" i="36"/>
  <c r="O16" i="118"/>
  <c r="F81" i="4"/>
  <c r="F39" i="3" s="1"/>
  <c r="B2475" i="106" s="1"/>
  <c r="D2475" i="106"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140" i="106"/>
  <c r="D140" i="106" s="1"/>
  <c r="E41" i="3"/>
  <c r="B2913" i="106"/>
  <c r="D2913" i="106" s="1"/>
  <c r="D50" i="36"/>
  <c r="B213" i="106"/>
  <c r="D213" i="106" s="1"/>
  <c r="D49" i="36"/>
  <c r="B3568" i="106"/>
  <c r="D3568" i="106" s="1"/>
  <c r="D52" i="36"/>
  <c r="B170" i="106"/>
  <c r="D170" i="106" s="1"/>
  <c r="F41" i="3"/>
  <c r="D45" i="36"/>
  <c r="B124" i="106"/>
  <c r="D124" i="106" s="1"/>
  <c r="B189" i="106"/>
  <c r="D189" i="106" s="1"/>
  <c r="G41" i="3"/>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171" i="106"/>
  <c r="D171" i="106" s="1"/>
  <c r="D47" i="36"/>
  <c r="O11" i="118"/>
  <c r="O13" i="118" s="1"/>
  <c r="J20" i="118"/>
  <c r="B190" i="106"/>
  <c r="D190" i="106" s="1"/>
  <c r="D48"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<sst xmlns="http://schemas.openxmlformats.org/spreadsheetml/2006/main" count="5074" uniqueCount="2142">
  <si>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</si>
  <si>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</si>
  <si>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</si>
  <si>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</si>
  <si>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</si>
  <si>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</si>
  <si>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</si>
  <si>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</si>
  <si>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</si>
  <si>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</si>
  <si>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</si>
  <si>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</si>
  <si>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</si>
  <si>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</si>
  <si>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</si>
  <si>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</si>
  <si>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</si>
  <si>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</si>
  <si>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</si>
  <si>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</si>
  <si>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</si>
  <si>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</si>
  <si>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</si>
  <si>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</si>
  <si>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</si>
  <si>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</si>
  <si>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</si>
  <si>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</si>
  <si>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</si>
  <si>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</si>
  <si>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</si>
  <si>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</si>
  <si>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</si>
  <si>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</si>
  <si>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</si>
  <si>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</si>
  <si>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</si>
  <si>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</si>
  <si>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</si>
  <si>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</si>
  <si>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</si>
  <si>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</si>
  <si>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</si>
  <si>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</si>
  <si>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</si>
  <si>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</si>
  <si>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</si>
  <si>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</si>
  <si>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</si>
  <si>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</si>
  <si>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</si>
  <si>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</si>
  <si>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</si>
  <si>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</si>
  <si>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</si>
  <si>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</si>
  <si>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</si>
  <si>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</si>
  <si>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</si>
  <si>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</si>
  <si>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</si>
  <si>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</si>
  <si>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</si>
  <si>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</si>
  <si>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</si>
  <si>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</si>
  <si>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</si>
  <si>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</si>
  <si>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</si>
  <si>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</si>
  <si>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</si>
  <si>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</si>
  <si>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</si>
  <si>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</si>
  <si>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</si>
  <si>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</si>
  <si>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</si>
  <si>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</si>
  <si>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</si>
  <si>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</si>
  <si>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</si>
  <si>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</si>
  <si>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</si>
  <si>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</si>
  <si>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</si>
  <si>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</si>
  <si>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</si>
  <si>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</si>
  <si>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</si>
  <si>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</si>
  <si>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</si>
  <si>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</si>
  <si>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</si>
  <si>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</si>
  <si>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</si>
  <si>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</si>
  <si>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</si>
  <si>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</si>
  <si>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</si>
  <si>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</si>
  <si>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</si>
  <si>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</si>
  <si>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</si>
  <si>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</si>
  <si>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</si>
  <si>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</si>
  <si>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</si>
  <si>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</si>
  <si>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</si>
  <si>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</si>
  <si>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</si>
  <si>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</si>
  <si>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</si>
  <si>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</si>
  <si>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</si>
  <si>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</si>
  <si>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</si>
  <si>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</si>
  <si>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</si>
  <si>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</si>
  <si>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</si>
  <si>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</si>
  <si>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</si>
  <si>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</si>
  <si>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</si>
  <si>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</si>
  <si>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</si>
  <si>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</si>
  <si>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</si>
  <si>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</si>
  <si>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</si>
  <si>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</si>
  <si>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</si>
  <si>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</si>
  <si>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</si>
  <si>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</si>
  <si>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</si>
  <si>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</si>
  <si>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</si>
  <si>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</si>
  <si>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</si>
  <si>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</si>
  <si>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</si>
  <si>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</si>
  <si>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</si>
  <si>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</si>
  <si>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</si>
  <si>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</si>
  <si>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</si>
  <si>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</si>
  <si>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</si>
  <si>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</si>
  <si>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</si>
  <si>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</si>
  <si>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</si>
  <si>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</si>
  <si>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</si>
  <si>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</si>
  <si>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</si>
  <si>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</si>
  <si>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</si>
  <si>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</si>
  <si>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</si>
  <si>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</si>
  <si>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</si>
  <si>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</si>
  <si>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</si>
  <si>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</si>
  <si>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</si>
  <si>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</si>
  <si>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</si>
  <si>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</si>
  <si>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</si>
  <si>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</si>
  <si>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</si>
  <si>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</si>
  <si>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</si>
  <si>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</si>
  <si>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</si>
  <si>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</si>
  <si>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</si>
  <si>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</si>
  <si>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</si>
  <si>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</si>
  <si>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</si>
  <si>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</si>
  <si>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</si>
  <si>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</si>
  <si>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</si>
  <si>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</si>
  <si>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</si>
  <si>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</si>
  <si>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</si>
  <si>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</si>
  <si>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</si>
  <si>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</si>
  <si>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</si>
  <si>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</si>
  <si>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</si>
  <si>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</si>
  <si>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</si>
  <si>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</si>
  <si>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</si>
  <si>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</si>
  <si>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</si>
  <si>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</si>
  <si>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</si>
  <si>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</si>
  <si>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</si>
  <si>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</si>
  <si>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</si>
  <si>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</si>
  <si>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</si>
  <si>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</si>
  <si>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</si>
  <si>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</si>
  <si>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</si>
  <si>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</si>
  <si>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</si>
  <si>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</si>
  <si>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</si>
  <si>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</si>
  <si>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</si>
  <si>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</si>
  <si>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</si>
  <si>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</si>
  <si>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</si>
  <si>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</si>
  <si>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</si>
  <si>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</si>
  <si>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</si>
  <si>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</si>
  <si>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</si>
  <si>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</si>
  <si>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</si>
  <si>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</si>
  <si>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</si>
  <si>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</si>
  <si>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</si>
  <si>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</si>
  <si>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</si>
  <si>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</si>
  <si>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</si>
  <si>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</si>
  <si>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</si>
  <si>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</si>
  <si>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</si>
  <si>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</si>
  <si>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</si>
  <si>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</si>
  <si>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</si>
  <si>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</si>
  <si>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</si>
  <si>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</si>
  <si>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</si>
  <si>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</si>
  <si>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</si>
  <si>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</si>
  <si>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</si>
  <si>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</si>
  <si>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</si>
  <si>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</si>
  <si>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</si>
  <si>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</si>
  <si>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</si>
  <si>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</si>
  <si>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</si>
  <si>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</si>
  <si>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</si>
  <si>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</si>
  <si>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</si>
  <si>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</si>
  <si>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</si>
  <si>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</si>
  <si>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</si>
  <si>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</si>
  <si>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</si>
  <si>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</si>
  <si>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</si>
  <si>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</si>
  <si>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</si>
  <si>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</si>
  <si>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</si>
  <si>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</si>
  <si>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</si>
  <si>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</si>
  <si>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</si>
  <si>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</si>
  <si>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</si>
  <si>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</si>
  <si>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</si>
  <si>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</si>
  <si>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</si>
  <si>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</si>
  <si>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</si>
  <si>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</si>
  <si>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</si>
  <si>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</si>
  <si>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</si>
  <si>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</si>
  <si>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</si>
  <si>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</si>
  <si>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</si>
  <si>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</si>
  <si>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</si>
  <si>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</si>
  <si>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</si>
  <si>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</si>
  <si>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</si>
  <si>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</si>
  <si>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</si>
  <si>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</si>
  <si>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</si>
  <si>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</si>
  <si>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</si>
  <si>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</si>
  <si>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</si>
  <si>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</si>
  <si>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</si>
  <si>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</si>
  <si>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</si>
  <si>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</si>
  <si>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</si>
  <si>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</si>
  <si>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</si>
  <si>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</si>
  <si>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</si>
  <si>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</si>
  <si>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</si>
  <si>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</si>
  <si>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</si>
  <si>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</si>
  <si>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</si>
  <si>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</si>
  <si>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</si>
  <si>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</si>
  <si>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</si>
  <si>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</si>
  <si>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</si>
  <si>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</si>
  <si>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</si>
  <si>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</si>
  <si>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</si>
  <si>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</si>
  <si>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</si>
  <si>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</si>
  <si>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</si>
  <si>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</si>
  <si>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</si>
  <si>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</si>
  <si>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</si>
  <si>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</si>
  <si>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</si>
  <si>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</si>
  <si>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</si>
  <si>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</si>
  <si>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</si>
  <si>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</si>
  <si>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</si>
  <si>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</si>
  <si>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</si>
  <si>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</si>
  <si>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</si>
  <si>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</si>
  <si>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</si>
  <si>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</si>
  <si>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</si>
  <si>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</si>
  <si>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</si>
  <si>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</si>
  <si>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</si>
  <si>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</si>
  <si>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</si>
  <si>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</si>
  <si>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</si>
  <si>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</si>
  <si>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</si>
  <si>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</si>
  <si>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</si>
  <si>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</si>
  <si>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</si>
  <si>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</si>
  <si>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</si>
  <si>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</si>
  <si>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</si>
  <si>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</si>
  <si>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</si>
  <si>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</si>
  <si>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</si>
  <si>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</si>
  <si>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</si>
  <si>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</si>
  <si>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</si>
  <si>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</si>
  <si>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</si>
  <si>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</si>
  <si>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</si>
  <si>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</si>
  <si>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</si>
  <si>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</si>
  <si>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</si>
  <si>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</si>
  <si>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</si>
  <si>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</si>
  <si>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</si>
  <si>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</si>
  <si>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</si>
  <si>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</si>
  <si>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</si>
  <si>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</si>
  <si>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</si>
  <si>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</si>
  <si>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</si>
  <si>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</si>
  <si>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</si>
  <si>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</si>
  <si>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</si>
  <si>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</si>
  <si>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</si>
  <si>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</si>
  <si>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</si>
  <si>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</si>
  <si>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</si>
  <si>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</si>
  <si>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</si>
  <si>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</si>
  <si>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</si>
  <si>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</si>
  <si>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</si>
  <si>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</si>
  <si>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</si>
  <si>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</si>
  <si>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</si>
  <si>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</si>
  <si>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</si>
  <si>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</si>
  <si>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</si>
  <si>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</si>
  <si>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</si>
  <si>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</si>
  <si>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</si>
  <si>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</si>
  <si>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</si>
  <si>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</si>
  <si>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</si>
  <si>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</si>
  <si>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</si>
  <si>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</si>
  <si>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</si>
  <si>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</si>
  <si>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</si>
  <si>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</si>
  <si>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</si>
  <si>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</si>
  <si>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</si>
  <si>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</si>
  <si>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</si>
  <si>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</si>
  <si>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</si>
  <si>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</si>
  <si>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</si>
  <si>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</si>
  <si>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</si>
  <si>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</si>
  <si>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</si>
  <si>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</si>
  <si>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</si>
  <si>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</si>
  <si>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</si>
  <si>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</si>
  <si>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</si>
  <si>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</si>
  <si>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</si>
  <si>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</si>
  <si>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</si>
  <si>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</si>
  <si>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</si>
  <si>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</si>
  <si>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</si>
  <si>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</si>
  <si>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</si>
  <si>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</si>
  <si>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</si>
  <si>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</si>
  <si>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</si>
  <si>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</si>
  <si>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</si>
  <si>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</si>
  <si>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</si>
  <si>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</si>
  <si>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</si>
  <si>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</si>
  <si>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</si>
  <si>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</si>
  <si>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</si>
  <si>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</si>
  <si>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</si>
  <si>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</si>
  <si>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</si>
  <si>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</si>
  <si>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</si>
  <si>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</si>
  <si>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</si>
  <si>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</si>
  <si>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</si>
  <si>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</si>
  <si>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</si>
  <si>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</si>
  <si>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</si>
  <si>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</si>
  <si>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</si>
  <si>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</si>
  <si>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</si>
  <si>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</si>
  <si>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</si>
  <si>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</si>
  <si>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</si>
  <si>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</si>
  <si>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</si>
  <si>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</si>
  <si>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</si>
  <si>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</si>
  <si>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</si>
  <si>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</si>
  <si>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</si>
  <si>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</si>
  <si>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</si>
  <si>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</si>
  <si>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</si>
  <si>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</si>
  <si>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</si>
  <si>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</si>
  <si>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</si>
  <si>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</si>
  <si>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</si>
  <si>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</si>
  <si>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</si>
  <si>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</si>
  <si>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</si>
  <si>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</si>
  <si>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</si>
  <si>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</si>
  <si>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</si>
  <si>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</si>
  <si>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</si>
  <si>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</si>
  <si>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</si>
  <si>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</si>
  <si>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</si>
  <si>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</si>
  <si>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</si>
  <si>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</si>
  <si>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</si>
  <si>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</si>
  <si>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</si>
  <si>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</si>
  <si>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</si>
  <si>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</si>
  <si>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</si>
  <si>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</si>
  <si>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</si>
  <si>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</si>
  <si>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</si>
  <si>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</si>
  <si>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</si>
  <si>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</si>
  <si>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</si>
  <si>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</si>
  <si>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</si>
  <si>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</si>
  <si>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</si>
  <si>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</si>
  <si>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</si>
  <si>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</si>
  <si>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</si>
  <si>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</si>
  <si>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</si>
  <si>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</si>
  <si>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</si>
  <si>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</si>
  <si>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</si>
  <si>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</si>
  <si>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</si>
  <si>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</si>
  <si>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</si>
  <si>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</si>
  <si>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</si>
  <si>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</si>
  <si>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</si>
  <si>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</si>
  <si>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</si>
  <si>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</si>
  <si>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</si>
  <si>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</si>
  <si>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</si>
  <si>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</si>
  <si>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</si>
  <si>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</si>
  <si>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</si>
  <si>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</si>
  <si>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</si>
  <si>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</si>
  <si>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</si>
  <si>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</si>
  <si>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</si>
  <si>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</si>
  <si>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</si>
  <si>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</si>
  <si>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</si>
  <si>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</si>
  <si>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</si>
  <si>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</si>
  <si>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</si>
  <si>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</si>
  <si>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</si>
  <si>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</si>
  <si>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</si>
  <si>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</si>
  <si>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</si>
  <si>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</si>
  <si>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</si>
  <si>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</si>
  <si>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</si>
  <si>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</si>
  <si>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</si>
  <si>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</si>
  <si>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</si>
  <si>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</si>
  <si>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</si>
  <si>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</si>
  <si>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</si>
  <si>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</si>
  <si>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</si>
  <si>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</si>
  <si>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</si>
  <si>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</si>
  <si>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</si>
  <si>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</si>
  <si>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</si>
  <si>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</si>
  <si>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</si>
  <si>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</si>
  <si>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</si>
  <si>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</si>
  <si>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</si>
  <si>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</si>
  <si>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</si>
  <si>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</si>
  <si>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</si>
  <si>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</si>
  <si>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</si>
  <si>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</si>
  <si>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</si>
  <si>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</si>
  <si>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</si>
  <si>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</si>
  <si>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</si>
  <si>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</si>
  <si>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</si>
  <si>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</si>
  <si>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</si>
  <si>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</si>
  <si>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</si>
  <si>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</si>
  <si>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</si>
  <si>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</si>
  <si>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</si>
  <si>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</si>
  <si>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</si>
  <si>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</si>
  <si>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</si>
  <si>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</si>
  <si>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</si>
  <si>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</si>
  <si>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</si>
  <si>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</si>
  <si>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</si>
  <si>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</si>
  <si>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</si>
  <si>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</si>
  <si>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</si>
  <si>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</si>
  <si>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</si>
  <si>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</si>
  <si>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</si>
  <si>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</si>
  <si>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</si>
  <si>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</si>
  <si>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</si>
  <si>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</si>
  <si>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</si>
  <si>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</si>
  <si>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</si>
  <si>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</si>
  <si>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</si>
  <si>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</si>
  <si>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</si>
  <si>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</si>
  <si>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</si>
  <si>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</si>
  <si>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</si>
  <si>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</si>
  <si>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</si>
  <si>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</si>
  <si>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</si>
  <si>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</si>
  <si>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</si>
  <si>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</si>
  <si>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</si>
  <si>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</si>
  <si>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</si>
  <si>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</si>
  <si>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</si>
  <si>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</si>
  <si>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</si>
  <si>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</si>
  <si>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</si>
  <si>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</si>
  <si>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</si>
  <si>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</si>
  <si>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</si>
  <si>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</si>
  <si>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</si>
  <si>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</si>
  <si>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</si>
  <si>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</si>
  <si>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</si>
  <si>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</si>
  <si>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</si>
  <si>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</si>
  <si>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</si>
  <si>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</si>
  <si>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</si>
  <si>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</si>
  <si>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</si>
  <si>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</si>
  <si>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</si>
  <si>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</si>
  <si>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</si>
  <si>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</si>
  <si>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</si>
  <si>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</si>
  <si>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</si>
  <si>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</si>
  <si>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</si>
  <si>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</si>
  <si>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</si>
  <si>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</si>
  <si>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</si>
  <si>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</si>
  <si>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</si>
  <si>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</si>
  <si>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</si>
  <si>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</si>
  <si>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</si>
  <si>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</si>
  <si>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</si>
  <si>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</si>
  <si>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</si>
  <si>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</si>
  <si>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</si>
  <si>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</si>
  <si>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</si>
  <si>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</si>
  <si>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</si>
  <si>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</si>
  <si>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</si>
  <si>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</si>
  <si>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</si>
  <si>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</si>
  <si>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</si>
  <si>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</si>
  <si>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</si>
  <si>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</si>
  <si>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</si>
  <si>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</si>
  <si>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</si>
  <si>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</si>
  <si>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</si>
  <si>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</si>
  <si>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</si>
  <si>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</si>
  <si>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</si>
  <si>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</si>
  <si>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</si>
  <si>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</si>
  <si>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</si>
  <si>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</si>
  <si>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</si>
  <si>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</si>
  <si>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</si>
  <si>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</si>
  <si>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</si>
  <si>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</si>
  <si>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</si>
  <si>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</si>
  <si>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</si>
  <si>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</si>
  <si>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</si>
  <si>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</si>
  <si>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</si>
  <si>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</si>
  <si>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</si>
  <si>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</si>
  <si>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</si>
  <si>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</si>
  <si>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</si>
  <si>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</si>
  <si>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</si>
  <si>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</si>
  <si>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</si>
  <si>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</si>
  <si>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</si>
  <si>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</si>
  <si>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</si>
  <si>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</si>
  <si>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</si>
  <si>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</si>
  <si>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</si>
  <si>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</si>
  <si>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</si>
  <si>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</si>
  <si>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</si>
  <si>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</si>
  <si>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</si>
  <si>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</si>
  <si>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</si>
  <si>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</si>
  <si>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</si>
  <si>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</si>
  <si>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</si>
  <si>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</si>
  <si>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</si>
  <si>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</si>
  <si>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</si>
  <si>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</si>
  <si>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</si>
  <si>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</si>
  <si>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</si>
  <si>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</si>
  <si>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</si>
  <si>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</si>
  <si>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</si>
  <si>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</si>
  <si>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</si>
  <si>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</si>
  <si>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</si>
  <si>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</si>
  <si>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</si>
  <si>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</si>
  <si>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</si>
  <si>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</si>
  <si>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</si>
  <si>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</si>
  <si>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</si>
  <si>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</si>
  <si>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</si>
  <si>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</si>
  <si>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</si>
  <si>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</si>
  <si>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</si>
  <si>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</si>
  <si>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</si>
  <si>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</si>
  <si>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</si>
  <si>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</si>
  <si>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</si>
  <si>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</si>
  <si>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</si>
  <si>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</si>
  <si>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</si>
  <si>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</si>
  <si>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</si>
  <si>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</si>
  <si>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</si>
  <si>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</si>
  <si>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</si>
  <si>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</si>
  <si>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</si>
  <si>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</si>
  <si>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</si>
  <si>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</si>
  <si>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</si>
  <si>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</si>
  <si>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</si>
  <si>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</si>
  <si>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</si>
  <si>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</si>
  <si>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</si>
  <si>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</si>
  <si>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</si>
  <si>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</si>
  <si>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</si>
  <si>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</si>
  <si>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</si>
  <si>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</si>
  <si>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</si>
  <si>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</si>
  <si>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</si>
  <si>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</si>
  <si>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</si>
  <si>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</si>
  <si>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</si>
  <si>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</si>
  <si>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</si>
  <si>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</si>
  <si>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</si>
  <si>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</si>
  <si>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</si>
  <si>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</si>
  <si>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</si>
  <si>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</si>
  <si>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</si>
  <si>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</si>
  <si>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</si>
  <si>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</si>
  <si>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</si>
  <si>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</si>
  <si>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</si>
  <si>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</si>
  <si>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</si>
  <si>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</si>
  <si>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</si>
  <si>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</si>
  <si>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</si>
  <si>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</si>
  <si>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</si>
  <si>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</si>
  <si>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</si>
  <si>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</si>
  <si>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</si>
  <si>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</si>
  <si>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</si>
  <si>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</si>
  <si>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</si>
  <si>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</si>
  <si>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</si>
  <si>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</si>
  <si>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</si>
  <si>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</si>
  <si>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</si>
  <si>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</si>
  <si>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</si>
  <si>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</si>
  <si>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</si>
  <si>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</si>
  <si>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</si>
  <si>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</si>
  <si>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</si>
  <si>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</si>
  <si>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</si>
  <si>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</si>
  <si>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</si>
  <si>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</si>
  <si>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</si>
  <si>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</si>
  <si>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</si>
  <si>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</si>
  <si>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</si>
  <si>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</si>
  <si>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</si>
  <si>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</si>
  <si>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</si>
  <si>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</si>
  <si>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</si>
  <si>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</si>
  <si>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</si>
  <si>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</si>
  <si>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</si>
  <si>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</si>
  <si>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</si>
  <si>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</si>
  <si>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</si>
  <si>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</si>
  <si>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</si>
  <si>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</si>
  <si>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</si>
  <si>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</si>
  <si>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</si>
  <si>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</si>
  <si>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</si>
  <si>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</si>
  <si>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</si>
  <si>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</si>
  <si>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</si>
  <si>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</si>
  <si>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</si>
  <si>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</si>
  <si>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</si>
  <si>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</si>
  <si>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</si>
  <si>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</si>
  <si>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</si>
  <si>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</si>
  <si>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</si>
  <si>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</si>
  <si>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</si>
  <si>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</si>
  <si>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</si>
  <si>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</si>
  <si>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</si>
  <si>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</si>
  <si>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</si>
  <si>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</si>
  <si>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</si>
  <si>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</si>
  <si>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</si>
  <si>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</si>
  <si>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</si>
  <si>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</si>
  <si>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</si>
  <si>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</si>
  <si>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</si>
  <si>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</si>
  <si>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</si>
  <si>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</si>
  <si>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</si>
  <si>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</si>
  <si>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</si>
  <si>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</si>
  <si>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</si>
  <si>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</si>
  <si>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</si>
  <si>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</si>
  <si>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</si>
  <si>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</si>
  <si>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</si>
  <si>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</si>
  <si>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</si>
  <si>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</si>
  <si>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</si>
  <si>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</si>
  <si>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</si>
  <si>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</si>
  <si>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</si>
  <si>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</si>
  <si>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</si>
  <si>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</si>
  <si>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</si>
  <si>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</si>
  <si>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</si>
  <si>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</si>
  <si>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</si>
  <si>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</si>
  <si>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</si>
  <si>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</si>
  <si>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</si>
  <si>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</si>
  <si>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</si>
  <si>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</si>
  <si>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</si>
  <si>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</si>
  <si>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</si>
  <si>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</si>
  <si>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</si>
  <si>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</si>
  <si>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</si>
  <si>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</si>
  <si>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</si>
  <si>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</si>
  <si>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</si>
  <si>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</si>
  <si>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</si>
  <si>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</si>
  <si>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</si>
  <si>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</si>
  <si>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</si>
  <si>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</si>
  <si>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</si>
  <si>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</si>
  <si>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</si>
  <si>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</si>
  <si>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</si>
  <si>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</si>
  <si>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</si>
  <si>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</si>
  <si>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</si>
  <si>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</si>
  <si>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</si>
  <si>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</si>
  <si>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</si>
  <si>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</si>
  <si>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</si>
  <si>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</si>
  <si>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</si>
  <si>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</si>
  <si>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</si>
  <si>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</si>
  <si>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</si>
  <si>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</si>
  <si>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</si>
  <si>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</si>
  <si>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</si>
  <si>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</si>
  <si>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</si>
  <si>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</si>
  <si>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</si>
  <si>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</si>
  <si>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</si>
  <si>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</si>
  <si>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</si>
  <si>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</si>
  <si>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</si>
  <si>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</si>
  <si>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</si>
  <si>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</si>
  <si>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</si>
  <si>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</si>
  <si>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</si>
  <si>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</si>
  <si>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</si>
  <si>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</si>
  <si>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</si>
  <si>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</si>
  <si>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</si>
  <si>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</si>
  <si>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</si>
  <si>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</si>
  <si>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</si>
  <si>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</si>
  <si>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</si>
  <si>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</si>
  <si>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</si>
  <si>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</si>
  <si>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</si>
  <si>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</si>
  <si>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</si>
  <si>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</si>
  <si>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</si>
  <si>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</si>
  <si>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</si>
  <si>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</si>
  <si>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</si>
  <si>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</si>
  <si>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</si>
  <si>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</si>
  <si>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</si>
  <si>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</si>
  <si>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</si>
  <si>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</si>
  <si>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</si>
  <si>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</si>
  <si>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</si>
  <si>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</si>
  <si>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</si>
  <si>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</si>
  <si>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</si>
  <si>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</si>
  <si>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</si>
  <si>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</si>
  <si>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</si>
  <si>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</si>
  <si>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</si>
  <si>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</si>
  <si>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</si>
  <si>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</si>
  <si>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</si>
  <si>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</si>
  <si>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</si>
  <si>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</si>
  <si>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</si>
  <si>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</si>
  <si>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</si>
  <si>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</si>
  <si>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</si>
  <si>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</si>
  <si>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</si>
  <si>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</si>
  <si>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</si>
  <si>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</si>
  <si>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</si>
  <si>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</si>
  <si>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</si>
  <si>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</si>
  <si>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</si>
  <si>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</si>
  <si>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</si>
  <si>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</si>
  <si>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</si>
  <si>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</si>
  <si>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</si>
  <si>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</si>
  <si>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</si>
  <si>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</si>
  <si>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</si>
  <si>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</si>
  <si>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</si>
  <si>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</si>
  <si>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</si>
  <si>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</si>
  <si>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</si>
  <si>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</si>
  <si>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</si>
  <si>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</si>
  <si>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</si>
  <si>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</si>
  <si>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</si>
  <si>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</si>
  <si>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</si>
  <si>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</si>
  <si>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</si>
  <si>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</si>
  <si>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</si>
  <si>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</si>
  <si>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</si>
  <si>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</si>
  <si>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</si>
  <si>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</si>
  <si>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</si>
  <si>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</si>
  <si>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</si>
  <si>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</si>
  <si>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</si>
  <si>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</si>
  <si>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</si>
  <si>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</si>
  <si>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</si>
  <si>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</si>
  <si>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</si>
  <si>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</si>
  <si>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</si>
  <si>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</si>
  <si>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</si>
  <si>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</si>
  <si>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</si>
  <si>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</si>
  <si>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</si>
  <si>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</si>
  <si>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</si>
  <si>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</si>
  <si>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</si>
  <si>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</si>
  <si>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</si>
  <si>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</si>
  <si>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</si>
  <si>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</si>
  <si>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</si>
  <si>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</si>
  <si>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</si>
  <si>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</si>
  <si>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</si>
  <si>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</si>
  <si>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</si>
  <si>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</si>
  <si>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</si>
  <si>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</si>
  <si>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</si>
  <si>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</si>
  <si>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</si>
  <si>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</si>
  <si>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</si>
  <si>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</si>
  <si>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</si>
  <si>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</si>
  <si>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</si>
  <si>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</si>
  <si>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</si>
  <si>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</si>
  <si>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</si>
  <si>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</si>
  <si>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</si>
  <si>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</si>
  <si>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</si>
  <si>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</si>
  <si>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</si>
  <si>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</si>
  <si>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</si>
  <si>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</si>
  <si>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</si>
  <si>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</si>
  <si>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</si>
  <si>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</si>
  <si>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</si>
  <si>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</si>
  <si>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</si>
  <si>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</si>
  <si>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</si>
  <si>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</si>
  <si>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</si>
  <si>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</si>
  <si>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</si>
  <si>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</si>
  <si>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</si>
  <si>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</si>
  <si>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</si>
  <si>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</si>
  <si>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</si>
  <si>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</si>
  <si>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</si>
  <si>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</si>
  <si>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</si>
  <si>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</si>
  <si>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</si>
  <si>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</si>
  <si>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</si>
  <si>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</si>
  <si>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</si>
  <si>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</si>
  <si>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</si>
  <si>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</si>
  <si>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</si>
  <si>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</si>
  <si>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</si>
  <si>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</si>
  <si>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</si>
  <si>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</si>
  <si>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</si>
  <si>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</si>
  <si>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</si>
  <si>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</si>
  <si>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</si>
  <si>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</si>
  <si>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</si>
  <si>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</si>
  <si>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</si>
  <si>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</si>
  <si>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</si>
  <si>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</si>
  <si>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</si>
  <si>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</si>
  <si>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</si>
  <si>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</si>
  <si>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</si>
  <si>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</si>
  <si>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</si>
  <si>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</si>
  <si>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</si>
  <si>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</si>
  <si>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</si>
  <si>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</si>
  <si>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</si>
  <si>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</si>
  <si>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</si>
  <si>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</si>
  <si>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</si>
  <si>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</si>
  <si>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</si>
  <si>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</si>
  <si>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</si>
  <si>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</si>
  <si>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</si>
  <si>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</si>
  <si>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</si>
  <si>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</si>
  <si>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</si>
  <si>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</si>
  <si>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</si>
  <si>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</si>
  <si>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</si>
  <si>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</si>
  <si>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</si>
  <si>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</si>
  <si>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</si>
  <si>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</si>
  <si>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</si>
  <si>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</si>
  <si>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</si>
  <si>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</si>
  <si>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</si>
  <si>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</si>
  <si>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</si>
  <si>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</si>
  <si>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</si>
  <si>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</si>
  <si>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</si>
  <si>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</si>
  <si>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</si>
  <si>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</si>
  <si>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</si>
  <si>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</si>
  <si>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</si>
  <si>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</si>
  <si>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</si>
  <si>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</si>
  <si>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</si>
  <si>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</si>
  <si>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</si>
  <si>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</si>
  <si>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</si>
  <si>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</si>
  <si>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</si>
  <si>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</si>
  <si>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</si>
  <si>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</si>
  <si>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</si>
  <si>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</si>
  <si>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</si>
  <si>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</si>
  <si>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</si>
  <si>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</si>
  <si>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</si>
  <si>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</si>
  <si>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</si>
  <si>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</si>
  <si>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</si>
  <si>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</si>
  <si>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</si>
  <si>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</si>
  <si>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</si>
  <si>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</si>
  <si>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</si>
  <si>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</si>
  <si>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</si>
  <si>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</si>
  <si>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</si>
  <si>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</si>
  <si>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</si>
  <si>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</si>
  <si>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</si>
  <si>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</si>
  <si>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</si>
  <si>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</si>
  <si>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</si>
  <si>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</si>
  <si>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</si>
  <si>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</si>
  <si>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</si>
  <si>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</si>
  <si>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</si>
  <si>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</si>
  <si>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</si>
  <si>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</si>
  <si>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</si>
  <si>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</si>
  <si>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</si>
  <si>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</si>
  <si>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</si>
  <si>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</si>
  <si>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</si>
  <si>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</si>
  <si>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</si>
  <si>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</si>
  <si>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</si>
  <si>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</si>
  <si>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</si>
  <si>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</si>
  <si>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</si>
  <si>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</si>
  <si>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</si>
  <si>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</si>
  <si>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</si>
  <si>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</si>
  <si>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</si>
  <si>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</si>
  <si>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</si>
  <si>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</si>
  <si>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</si>
  <si>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</si>
  <si>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</si>
  <si>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</si>
  <si>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</si>
  <si>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</si>
  <si>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</si>
  <si>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</si>
  <si>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</si>
  <si>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</si>
  <si>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</si>
  <si>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</si>
  <si>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</si>
  <si>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</si>
  <si>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</si>
  <si>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</si>
  <si>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</si>
  <si>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</si>
  <si>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</si>
  <si>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</si>
  <si>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</si>
  <si>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</si>
  <si>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</si>
  <si>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</si>
  <si>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</si>
  <si>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</si>
  <si>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</si>
  <si>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</si>
  <si>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</si>
  <si>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</si>
  <si>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</si>
  <si>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</si>
  <si>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</si>
  <si>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</si>
  <si>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</si>
  <si>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</si>
  <si>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</si>
  <si>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</si>
  <si>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</si>
  <si>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</si>
  <si>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</si>
  <si>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</si>
  <si>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</si>
  <si>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</si>
  <si>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</si>
  <si>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</si>
  <si>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</si>
  <si>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</si>
  <si>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</si>
  <si>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</si>
  <si>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</si>
  <si>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</si>
  <si>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</si>
  <si>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</si>
  <si>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</si>
  <si>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</si>
  <si>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</si>
  <si>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</si>
  <si>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</si>
  <si>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</si>
  <si>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</si>
  <si>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</si>
  <si>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</si>
  <si>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</si>
  <si>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</si>
  <si>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</si>
  <si>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</si>
  <si>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</si>
  <si>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</si>
  <si>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</si>
  <si>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</si>
  <si>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</si>
  <si>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</si>
  <si>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</si>
  <si>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</si>
  <si>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</si>
  <si>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</si>
  <si>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</si>
  <si>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</si>
  <si>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</si>
  <si>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</si>
  <si>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</si>
  <si>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</si>
  <si>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</si>
  <si>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</si>
  <si>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</si>
  <si>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</si>
  <si>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</si>
  <si>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</si>
  <si>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</si>
  <si>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</si>
  <si>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</si>
  <si>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</si>
  <si>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</si>
  <si>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</si>
  <si>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</si>
  <si>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</si>
  <si>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</si>
  <si>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</si>
  <si>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</si>
  <si>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</si>
  <si>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</si>
  <si>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</si>
  <si>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</si>
  <si>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</si>
  <si>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</si>
  <si>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</si>
  <si>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</si>
  <si>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</si>
  <si>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</si>
  <si>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</si>
  <si>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</si>
  <si>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</si>
  <si>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</si>
  <si>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</si>
  <si>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</si>
  <si>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</si>
  <si>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</si>
  <si>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</si>
  <si>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</si>
  <si>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</si>
  <si>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</si>
  <si>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</si>
  <si>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</si>
  <si>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</si>
  <si>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</si>
  <si>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</si>
  <si>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</si>
  <si>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</si>
  <si>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</si>
  <si>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</si>
  <si>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</si>
  <si>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</si>
  <si>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</si>
  <si>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</si>
  <si>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</si>
  <si>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</si>
  <si>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</si>
  <si>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</si>
  <si>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</si>
  <si>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</si>
  <si>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</si>
  <si>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</si>
  <si>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</si>
  <si>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</si>
  <si>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</si>
  <si>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</si>
  <si>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</si>
  <si>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</si>
  <si>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</si>
  <si>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</si>
  <si>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</si>
  <si>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</si>
  <si>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</si>
  <si>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</si>
  <si>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</si>
  <si>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</si>
  <si>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</si>
  <si>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</si>
  <si>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</si>
  <si>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</si>
  <si>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</si>
  <si>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</si>
  <si>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</si>
  <si>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</si>
  <si>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</si>
  <si>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</si>
  <si>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</si>
  <si>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</si>
  <si>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</si>
  <si>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</si>
  <si>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</si>
  <si>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</si>
  <si>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</si>
  <si>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</si>
  <si>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</si>
  <si>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</si>
  <si>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</si>
  <si>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</si>
  <si>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</si>
  <si>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</si>
  <si>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</si>
  <si>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</si>
  <si>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</si>
  <si>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</si>
  <si>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</si>
  <si>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</si>
  <si>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</si>
  <si>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</si>
  <si>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</si>
  <si>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</si>
  <si>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</si>
  <si>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</si>
  <si>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</si>
  <si>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</si>
  <si>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</si>
  <si>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</si>
  <si>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</si>
  <si>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</si>
  <si>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</si>
  <si>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</si>
  <si>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</si>
  <si>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</si>
  <si>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</si>
  <si>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</si>
  <si>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</si>
  <si>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</si>
  <si>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</si>
  <si>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</si>
  <si>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</si>
  <si>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</si>
  <si>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</si>
  <si>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</si>
  <si>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</si>
  <si>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</si>
  <si>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</si>
  <si>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</si>
  <si>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</si>
  <si>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</si>
  <si>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</si>
  <si>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</si>
  <si>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</si>
  <si>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</si>
  <si>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</si>
  <si>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</si>
  <si>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</si>
  <si>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</si>
  <si>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</si>
  <si>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</si>
  <si>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</si>
  <si>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</si>
  <si>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</si>
  <si>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</si>
  <si>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</si>
  <si>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</si>
  <si>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</si>
  <si>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</si>
  <si>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</si>
  <si>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</si>
  <si>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</si>
  <si>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</si>
  <si>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</si>
  <si>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</si>
  <si>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</si>
  <si>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</si>
  <si>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</si>
  <si>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</si>
  <si>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</si>
  <si>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</si>
  <si>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</si>
  <si>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</si>
  <si>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</si>
  <si>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</si>
  <si>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</si>
  <si>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</si>
  <si>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</si>
  <si>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</si>
  <si>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</si>
  <si>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</si>
  <si>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</si>
  <si>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</si>
  <si>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</si>
  <si>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</si>
  <si>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</si>
  <si>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</si>
  <si>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</si>
  <si>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</si>
  <si>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</si>
  <si>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</si>
  <si>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</si>
  <si>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</si>
  <si>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</si>
  <si>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</si>
  <si>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</si>
  <si>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</si>
  <si>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</si>
  <si>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</si>
  <si>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</si>
  <si>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</si>
  <si>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</si>
  <si>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</si>
  <si>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</si>
  <si>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</si>
  <si>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</si>
  <si>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</si>
  <si>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</si>
  <si>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</si>
  <si>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</si>
  <si>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</si>
  <si>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</si>
  <si>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</si>
  <si>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</si>
  <si>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</si>
  <si>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</si>
  <si>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</si>
  <si>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</si>
  <si>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</si>
  <si>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</si>
  <si>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</si>
  <si>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</si>
  <si>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</si>
  <si>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</si>
  <si>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</si>
  <si>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</si>
  <si>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</si>
  <si>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</si>
  <si>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</si>
  <si>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</si>
  <si>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</si>
  <si>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</si>
  <si>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</si>
  <si>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</si>
  <si>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</si>
  <si>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</si>
  <si>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</si>
  <si>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</si>
  <si>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</si>
  <si>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</si>
  <si>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</si>
  <si>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</si>
  <si>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</si>
  <si>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</si>
  <si>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</si>
  <si>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</si>
  <si>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</si>
  <si>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</si>
  <si>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</si>
  <si>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</si>
  <si>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</si>
  <si>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</si>
  <si>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</si>
  <si>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</si>
  <si>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</si>
  <si>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</si>
  <si>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</si>
  <si>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</si>
  <si>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</si>
  <si>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</si>
  <si>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</si>
  <si>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</si>
  <si>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</si>
  <si>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</si>
  <si>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</si>
  <si>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</si>
  <si>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</si>
  <si>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</si>
  <si>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</si>
  <si>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</si>
  <si>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</si>
  <si>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</si>
  <si>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</si>
  <si>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</si>
  <si>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</si>
  <si>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</si>
  <si>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</si>
  <si>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</si>
  <si>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</si>
  <si>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</si>
  <si>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</si>
  <si>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</si>
  <si>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</si>
  <si>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</si>
  <si>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</si>
  <si>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</si>
  <si>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</si>
  <si>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</si>
  <si>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</si>
  <si>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</si>
  <si>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</si>
  <si>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</si>
  <si>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</si>
  <si>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</si>
  <si>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</si>
  <si>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</si>
  <si>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</si>
  <si>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</si>
  <si>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</si>
  <si>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</si>
  <si>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</si>
  <si>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</si>
  <si>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</si>
  <si>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</si>
  <si>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</si>
  <si>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</si>
  <si>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</si>
  <si>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</si>
  <si>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</si>
  <si>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</si>
  <si>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</si>
  <si>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</si>
  <si>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</si>
  <si>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</si>
  <si>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</si>
  <si>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</si>
  <si>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</si>
  <si>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</si>
  <si>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</si>
  <si>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</si>
  <si>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</si>
  <si>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</si>
  <si>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</si>
  <si>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</si>
  <si>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</si>
  <si>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</si>
  <si>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</si>
  <si>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</si>
  <si>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</si>
  <si>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</si>
  <si>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</si>
  <si>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</si>
  <si>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</si>
  <si>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</si>
  <si>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</si>
  <si>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</si>
  <si>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</si>
  <si>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</si>
  <si>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</si>
  <si>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</si>
  <si>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</si>
  <si>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</si>
  <si>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</si>
  <si>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</si>
  <si>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</si>
  <si>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</si>
  <si>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</si>
  <si>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</si>
  <si>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</si>
  <si>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</si>
  <si>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</si>
  <si>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</si>
  <si>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</si>
  <si>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</si>
  <si>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</si>
  <si>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</si>
  <si>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</si>
  <si>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</si>
  <si>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</si>
  <si>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</si>
  <si>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</si>
  <si>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</si>
  <si>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</si>
  <si>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</si>
  <si>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</si>
  <si>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</si>
  <si>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</si>
  <si>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</si>
  <si>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</si>
  <si>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</si>
  <si>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</si>
  <si>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</si>
  <si>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</si>
  <si>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</si>
  <si>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</si>
  <si>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</si>
  <si>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</si>
  <si>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</si>
  <si>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</si>
  <si>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</si>
  <si>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</si>
  <si>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</si>
  <si>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</si>
  <si>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</si>
  <si>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</si>
  <si>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</si>
  <si>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</si>
  <si>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</si>
  <si>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</si>
  <si>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</si>
  <si>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</si>
  <si>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</si>
  <si>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</si>
  <si>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</si>
  <si>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</si>
  <si>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</si>
  <si>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</si>
  <si>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</si>
  <si>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</si>
  <si>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</si>
  <si>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</si>
  <si>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</si>
  <si>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</si>
  <si>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</si>
  <si>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</si>
  <si>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</si>
  <si>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</si>
  <si>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</si>
  <si>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</si>
  <si>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</si>
  <si>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</si>
  <si>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</si>
  <si>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</si>
  <si>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</si>
  <si>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</si>
  <si>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</si>
  <si>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</si>
  <si>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</si>
  <si>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</si>
  <si>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</si>
  <si>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</si>
  <si>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</si>
  <si>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</si>
  <si>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</si>
  <si>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</si>
  <si>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</si>
  <si>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</si>
  <si>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</si>
  <si>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</si>
  <si>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</si>
  <si>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</si>
  <si>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</si>
  <si>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</si>
  <si>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</si>
  <si>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</si>
  <si>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</si>
  <si>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</si>
  <si>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</si>
  <si>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</si>
  <si>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</si>
  <si>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</si>
  <si>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</si>
  <si>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</si>
  <si>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</si>
  <si>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</si>
  <si>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</si>
  <si>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</si>
  <si>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</si>
  <si>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</si>
  <si>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</si>
  <si>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</si>
  <si>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</si>
  <si>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</si>
  <si>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</si>
  <si>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</si>
  <si>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</si>
  <si>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</si>
  <si>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</si>
  <si>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</si>
  <si>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</si>
  <si>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</si>
  <si>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</si>
  <si>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</si>
  <si>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</si>
  <si>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</si>
  <si>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</si>
  <si>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</si>
  <si>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</si>
  <si>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</si>
  <si>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</si>
  <si>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</si>
  <si>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</si>
  <si>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</si>
  <si>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</si>
  <si>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</si>
  <si>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</si>
  <si>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</si>
  <si>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</si>
  <si>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</si>
  <si>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</si>
  <si>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</si>
  <si>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</si>
  <si>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</si>
  <si>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</si>
  <si>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</si>
  <si>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</si>
  <si>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</si>
  <si>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</si>
  <si>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</si>
  <si>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</si>
  <si>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</si>
  <si>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</si>
  <si>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</si>
  <si>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</si>
  <si>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</si>
  <si>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</si>
  <si>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</si>
  <si>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</si>
  <si>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</si>
  <si>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</si>
  <si>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</si>
  <si>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</si>
  <si>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</si>
  <si>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</si>
  <si>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</si>
  <si>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</si>
  <si>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</si>
  <si>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</si>
  <si>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</si>
  <si>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</si>
  <si>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</si>
  <si>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</si>
  <si>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</si>
  <si>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</si>
  <si>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</si>
  <si>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</si>
  <si>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</si>
  <si>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</si>
  <si>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</si>
  <si>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</si>
  <si>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</si>
  <si>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</si>
  <si>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</si>
  <si>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</si>
  <si>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</si>
  <si>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</si>
  <si>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</si>
  <si>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</si>
  <si>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</si>
  <si>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</si>
  <si>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</si>
  <si>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</si>
  <si>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</si>
  <si>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</si>
  <si>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</si>
  <si>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</si>
  <si>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</si>
  <si>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</si>
  <si>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</si>
  <si>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</si>
  <si>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</si>
  <si>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</si>
  <si>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</si>
  <si>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</si>
  <si>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</si>
  <si>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</si>
  <si>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</si>
  <si>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</si>
  <si>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</si>
  <si>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</si>
  <si>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</si>
  <si>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</si>
  <si>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</si>
  <si>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</si>
  <si>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</si>
  <si>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</si>
  <si>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</si>
  <si>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</si>
  <si>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</si>
  <si>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618532-5684</t>
  </si>
  <si>
    <t>gandscpa@sbcglobal.net</t>
  </si>
  <si>
    <t>x</t>
  </si>
  <si>
    <t>WORKING CASH/REFUNDING BONDS</t>
  </si>
  <si>
    <t>FIRE PREVENTION &amp; SAFETY BONDS - SERIES 2011</t>
  </si>
  <si>
    <t>G.O. - LIFE SAFETY, WORKING CASH - SERIES 2015</t>
  </si>
  <si>
    <t>FIRE PREVENTION &amp; SAFETY BONDS -SERIES 2017</t>
  </si>
  <si>
    <t>1&amp;3</t>
  </si>
  <si>
    <t>3&amp;4</t>
  </si>
  <si>
    <t>1,3,&amp;4</t>
  </si>
  <si>
    <t>Page 10, Line 72 - Sales to Pupils - Other:</t>
  </si>
  <si>
    <t xml:space="preserve">     AGS Pupils - Milk</t>
  </si>
  <si>
    <t>Page 10, Line 81 - Other District/School Activity Revenue:</t>
  </si>
  <si>
    <t xml:space="preserve">    AGS Band Fees</t>
  </si>
  <si>
    <t xml:space="preserve">    ACHS Band Fee</t>
  </si>
  <si>
    <t xml:space="preserve">    Activity Fee </t>
  </si>
  <si>
    <t xml:space="preserve">    AGS PE Uniforms </t>
  </si>
  <si>
    <t xml:space="preserve">    ACHS PE Uniforms </t>
  </si>
  <si>
    <t>Page 11, Line 107 - Other Local Revenues:</t>
  </si>
  <si>
    <t>Educational:</t>
  </si>
  <si>
    <t xml:space="preserve">     Miscellaneous</t>
  </si>
  <si>
    <t xml:space="preserve">     Sprint Lease </t>
  </si>
  <si>
    <t xml:space="preserve">     Insurance Reimbursement </t>
  </si>
  <si>
    <t xml:space="preserve">     E-Rate Revenue </t>
  </si>
  <si>
    <t xml:space="preserve">     Credit Card Convience Fee </t>
  </si>
  <si>
    <t xml:space="preserve">     Computer Repair Fees </t>
  </si>
  <si>
    <t>Operations &amp; Maintenance:</t>
  </si>
  <si>
    <t xml:space="preserve">Transportation: </t>
  </si>
  <si>
    <t xml:space="preserve">     Miscellaneous Revenue </t>
  </si>
  <si>
    <t>Tort:</t>
  </si>
  <si>
    <t xml:space="preserve">Miscellaneous </t>
  </si>
  <si>
    <t>Page 12, Line 171 - Other Restricted Revenue from State Sources:</t>
  </si>
  <si>
    <t xml:space="preserve">     Library Per Capita Grant </t>
  </si>
  <si>
    <t>Page 15, Line 41 - Other Support Services - Pupils:</t>
  </si>
  <si>
    <t xml:space="preserve">     Crossing Guard Salaries</t>
  </si>
  <si>
    <t>Page 16, Line 56 - Other Support Services - School Admin:</t>
  </si>
  <si>
    <t xml:space="preserve">     Resource Officer </t>
  </si>
  <si>
    <t>Page 16, Line 73 - Other Supports Services:</t>
  </si>
  <si>
    <t xml:space="preserve">     Insurance (Retired)</t>
  </si>
  <si>
    <t>Page 19, Line 237 - Other Support Services - Pupils:</t>
  </si>
  <si>
    <t xml:space="preserve">     Crossing Guard FICA</t>
  </si>
  <si>
    <t xml:space="preserve">     Crossing Guard Medicare </t>
  </si>
  <si>
    <t>Effingham</t>
  </si>
  <si>
    <t>7 South Ewing</t>
  </si>
  <si>
    <t>Altamont</t>
  </si>
  <si>
    <t>Steve Mayerhofer</t>
  </si>
  <si>
    <t>smayerho@altamontschools.org</t>
  </si>
  <si>
    <t>618-483-9195</t>
  </si>
  <si>
    <t>618-483-6306</t>
  </si>
  <si>
    <t>066-004976</t>
  </si>
  <si>
    <t>Education - Instruction - Purchased Service</t>
  </si>
  <si>
    <t>10-1000-300</t>
  </si>
  <si>
    <t>RICOH USA, INC</t>
  </si>
  <si>
    <t>Beecher City CUSD #20</t>
  </si>
  <si>
    <t>Eastern Illinois Area Special Education</t>
  </si>
  <si>
    <t>Okaw Vocational Center</t>
  </si>
  <si>
    <t>Capital Lease - Chromebooks 2018</t>
  </si>
  <si>
    <t>Captial Lease</t>
  </si>
  <si>
    <t>Altamont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</si>
</sst>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left" vertical="center"/>
    </xf>
    <xf numFmtId="44" fontId="55" fillId="0" borderId="0" xfId="19" applyFont="1"/>
    <xf numFmtId="44" fontId="55" fillId="0" borderId="166" xfId="19" applyFont="1" applyBorder="1"/>
    <xf numFmtId="44" fontId="55" fillId="0" borderId="0" xfId="19" applyFont="1" applyBorder="1"/>
    <xf numFmtId="44" fontId="55" fillId="0" borderId="0" xfId="19" applyFont="1" applyAlignment="1"/>
    <xf numFmtId="44" fontId="55" fillId="0" borderId="78" xfId="19" applyFont="1" applyBorder="1"/>
    <xf numFmtId="44" fontId="55" fillId="0" borderId="167" xfId="19" applyFont="1" applyBorder="1"/>
    <xf numFmtId="44" fontId="55" fillId="0" borderId="167" xfId="0"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47625</xdr:rowOff>
        </xdr:from>
        <xdr:to>
          <xdr:col>1</xdr:col>
          <xdr:colOff>914400</xdr:colOff>
          <xdr:row>11</xdr:row>
          <xdr:rowOff>114300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2" t="s">
        <v>425</v>
      </c>
      <c r="J1" s="2043"/>
      <c r="K1" s="2043"/>
      <c r="L1" s="2043"/>
      <c r="M1" s="2043"/>
      <c r="N1" s="2043"/>
      <c r="O1" s="2043"/>
      <c r="P1" s="2043"/>
      <c r="Q1" s="2043"/>
      <c r="R1" s="2043"/>
      <c r="S1" s="2043"/>
    </row>
    <row r="2" spans="1:28" ht="12" customHeight="1" x14ac:dyDescent="0.2">
      <c r="A2" s="47" t="s">
        <v>1684</v>
      </c>
      <c r="D2" s="48"/>
      <c r="I2" s="2044" t="s">
        <v>1036</v>
      </c>
      <c r="J2" s="2043"/>
      <c r="K2" s="2043"/>
      <c r="L2" s="2043"/>
      <c r="M2" s="2043"/>
      <c r="N2" s="2043"/>
      <c r="O2" s="2043"/>
      <c r="P2" s="2043"/>
      <c r="Q2" s="2043"/>
      <c r="R2" s="2043"/>
      <c r="S2" s="2043"/>
    </row>
    <row r="3" spans="1:28" ht="12" customHeight="1" x14ac:dyDescent="0.2">
      <c r="A3" s="155" t="s">
        <v>1685</v>
      </c>
      <c r="B3" s="156"/>
      <c r="C3" s="156"/>
      <c r="D3" s="157"/>
      <c r="I3" s="2044" t="s">
        <v>54</v>
      </c>
      <c r="J3" s="2043"/>
      <c r="K3" s="2043"/>
      <c r="L3" s="2043"/>
      <c r="M3" s="2043"/>
      <c r="N3" s="2043"/>
      <c r="O3" s="2043"/>
      <c r="P3" s="2043"/>
      <c r="Q3" s="2043"/>
      <c r="R3" s="2043"/>
      <c r="S3" s="2043"/>
    </row>
    <row r="4" spans="1:28" ht="12" customHeight="1" x14ac:dyDescent="0.2">
      <c r="A4" s="37"/>
      <c r="I4" s="2044" t="s">
        <v>545</v>
      </c>
      <c r="J4" s="2043"/>
      <c r="K4" s="2043"/>
      <c r="L4" s="2043"/>
      <c r="M4" s="2043"/>
      <c r="N4" s="2043"/>
      <c r="O4" s="2043"/>
      <c r="P4" s="2043"/>
      <c r="Q4" s="2043"/>
      <c r="R4" s="2043"/>
      <c r="S4" s="2043"/>
    </row>
    <row r="5" spans="1:28" ht="14.1" customHeight="1" x14ac:dyDescent="0.2">
      <c r="B5" s="104" t="s">
        <v>2077</v>
      </c>
      <c r="C5" s="26" t="s">
        <v>966</v>
      </c>
      <c r="D5" s="84"/>
      <c r="E5" s="84"/>
      <c r="H5" s="38"/>
      <c r="I5" s="2051" t="s">
        <v>701</v>
      </c>
      <c r="J5" s="1996"/>
      <c r="K5" s="1996"/>
      <c r="L5" s="1996"/>
      <c r="M5" s="1996"/>
      <c r="N5" s="1996"/>
      <c r="O5" s="1996"/>
      <c r="P5" s="1996"/>
      <c r="Q5" s="1996"/>
      <c r="R5" s="1996"/>
      <c r="S5" s="1996"/>
    </row>
    <row r="6" spans="1:28" ht="14.1" customHeight="1" x14ac:dyDescent="0.2">
      <c r="B6" s="104"/>
      <c r="C6" s="26" t="s">
        <v>967</v>
      </c>
      <c r="D6" s="84"/>
      <c r="E6" s="84"/>
      <c r="I6" s="2050" t="s">
        <v>938</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695</v>
      </c>
      <c r="J9" s="2048"/>
      <c r="K9" s="2048"/>
      <c r="L9" s="2048"/>
      <c r="M9" s="2048"/>
      <c r="N9" s="2048"/>
      <c r="O9" s="2048"/>
      <c r="P9" s="2048"/>
      <c r="Q9" s="2048"/>
      <c r="R9" s="2048"/>
      <c r="S9" s="2049"/>
      <c r="T9" s="1992" t="s">
        <v>554</v>
      </c>
      <c r="U9" s="1993"/>
      <c r="V9" s="1993"/>
      <c r="W9" s="1993"/>
      <c r="X9" s="1993"/>
      <c r="Y9" s="1993"/>
      <c r="Z9" s="1993"/>
      <c r="AA9" s="1994"/>
    </row>
    <row r="10" spans="1:28" ht="13.5" customHeight="1" x14ac:dyDescent="0.2">
      <c r="A10" s="2001" t="s">
        <v>696</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1012</v>
      </c>
      <c r="B11" s="2005"/>
      <c r="C11" s="2005"/>
      <c r="D11" s="2005"/>
      <c r="E11" s="2005"/>
      <c r="F11" s="2005"/>
      <c r="G11" s="2005"/>
      <c r="H11" s="2006"/>
      <c r="I11" s="27"/>
      <c r="J11" s="74"/>
      <c r="K11" s="27"/>
      <c r="O11" s="148" t="s">
        <v>2077</v>
      </c>
      <c r="P11" s="100" t="s">
        <v>210</v>
      </c>
      <c r="Q11" s="30"/>
      <c r="R11" s="28"/>
      <c r="S11" s="27"/>
      <c r="T11" s="1998"/>
      <c r="U11" s="1999"/>
      <c r="V11" s="1999"/>
      <c r="W11" s="1999"/>
      <c r="X11" s="1999"/>
      <c r="Y11" s="1999"/>
      <c r="Z11" s="1999"/>
      <c r="AA11" s="200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2">
        <v>3025010026</v>
      </c>
      <c r="B13" s="2013"/>
      <c r="C13" s="2013"/>
      <c r="D13" s="2013"/>
      <c r="E13" s="2013"/>
      <c r="F13" s="2013"/>
      <c r="G13" s="2013"/>
      <c r="H13" s="2014"/>
      <c r="I13" s="31"/>
      <c r="J13" s="30"/>
      <c r="K13" s="28"/>
      <c r="L13" s="30"/>
      <c r="M13" s="30"/>
      <c r="N13" s="30"/>
      <c r="O13" s="30"/>
      <c r="P13" s="30"/>
      <c r="Q13" s="30"/>
      <c r="R13" s="30"/>
      <c r="S13" s="30"/>
      <c r="T13" s="2017" t="s">
        <v>2078</v>
      </c>
      <c r="U13" s="2018"/>
      <c r="V13" s="2018"/>
      <c r="W13" s="2018"/>
      <c r="X13" s="2018"/>
      <c r="Y13" s="2019"/>
      <c r="Z13" s="2019"/>
      <c r="AA13" s="202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0" t="s">
        <v>2125</v>
      </c>
      <c r="B15" s="2015"/>
      <c r="C15" s="2015"/>
      <c r="D15" s="2015"/>
      <c r="E15" s="2015"/>
      <c r="F15" s="2015"/>
      <c r="G15" s="2015"/>
      <c r="H15" s="2016"/>
      <c r="T15" s="1978"/>
      <c r="U15" s="1979"/>
      <c r="V15" s="1979"/>
      <c r="W15" s="1979"/>
      <c r="X15" s="1979"/>
      <c r="Y15" s="2021"/>
      <c r="Z15" s="2021"/>
      <c r="AA15" s="202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0" t="s">
        <v>2141</v>
      </c>
      <c r="B17" s="2040"/>
      <c r="C17" s="2040"/>
      <c r="D17" s="2040"/>
      <c r="E17" s="2040"/>
      <c r="F17" s="2040"/>
      <c r="G17" s="2040"/>
      <c r="H17" s="2041"/>
      <c r="T17" s="2027" t="s">
        <v>2079</v>
      </c>
      <c r="U17" s="2028"/>
      <c r="V17" s="2028"/>
      <c r="W17" s="2028"/>
      <c r="X17" s="2028"/>
      <c r="Y17" s="2028"/>
      <c r="Z17" s="2028"/>
      <c r="AA17" s="2029"/>
    </row>
    <row r="18" spans="1:27" ht="13.5" customHeight="1" x14ac:dyDescent="0.2">
      <c r="A18" s="85" t="s">
        <v>551</v>
      </c>
      <c r="B18" s="76"/>
      <c r="C18" s="72"/>
      <c r="D18" s="76"/>
      <c r="E18" s="76"/>
      <c r="F18" s="76"/>
      <c r="G18" s="76"/>
      <c r="H18" s="56"/>
      <c r="I18" s="2037" t="s">
        <v>697</v>
      </c>
      <c r="J18" s="2038"/>
      <c r="K18" s="2038"/>
      <c r="L18" s="2038"/>
      <c r="M18" s="2038"/>
      <c r="N18" s="2038"/>
      <c r="O18" s="2038"/>
      <c r="P18" s="2038"/>
      <c r="Q18" s="2038"/>
      <c r="R18" s="2038"/>
      <c r="S18" s="2039"/>
      <c r="T18" s="85" t="s">
        <v>735</v>
      </c>
      <c r="U18" s="51"/>
      <c r="V18" s="72"/>
      <c r="W18" s="50"/>
      <c r="X18" s="85" t="s">
        <v>284</v>
      </c>
      <c r="Y18" s="81"/>
      <c r="Z18" s="159" t="s">
        <v>698</v>
      </c>
      <c r="AA18" s="46"/>
    </row>
    <row r="19" spans="1:27" ht="13.5" customHeight="1" x14ac:dyDescent="0.2">
      <c r="A19" s="2010" t="s">
        <v>2126</v>
      </c>
      <c r="B19" s="2011"/>
      <c r="C19" s="2011"/>
      <c r="D19" s="2011"/>
      <c r="E19" s="2011"/>
      <c r="F19" s="2011"/>
      <c r="G19" s="2011"/>
      <c r="H19" s="2009"/>
      <c r="I19" s="30"/>
      <c r="J19" s="99"/>
      <c r="K19" s="40"/>
      <c r="L19" s="38"/>
      <c r="M19" s="112" t="s">
        <v>333</v>
      </c>
      <c r="P19" s="27"/>
      <c r="Q19" s="27"/>
      <c r="R19" s="27"/>
      <c r="S19" s="31"/>
      <c r="T19" s="2010" t="s">
        <v>2080</v>
      </c>
      <c r="U19" s="2008"/>
      <c r="V19" s="2008"/>
      <c r="W19" s="2009"/>
      <c r="X19" s="2025" t="s">
        <v>2081</v>
      </c>
      <c r="Y19" s="2026"/>
      <c r="Z19" s="2023">
        <v>62801</v>
      </c>
      <c r="AA19" s="202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7" t="s">
        <v>2127</v>
      </c>
      <c r="B21" s="2008"/>
      <c r="C21" s="2008"/>
      <c r="D21" s="2008"/>
      <c r="E21" s="2008"/>
      <c r="F21" s="2008"/>
      <c r="G21" s="2008"/>
      <c r="H21" s="2009"/>
      <c r="I21" s="2033" t="s">
        <v>699</v>
      </c>
      <c r="J21" s="1996"/>
      <c r="K21" s="1996"/>
      <c r="L21" s="1996"/>
      <c r="M21" s="1996"/>
      <c r="N21" s="1996"/>
      <c r="O21" s="1996"/>
      <c r="P21" s="1996"/>
      <c r="Q21" s="1996"/>
      <c r="R21" s="1996"/>
      <c r="S21" s="1997"/>
      <c r="T21" s="1975" t="s">
        <v>2082</v>
      </c>
      <c r="U21" s="1976"/>
      <c r="V21" s="1976"/>
      <c r="W21" s="1976"/>
      <c r="X21" s="1989" t="s">
        <v>2083</v>
      </c>
      <c r="Y21" s="1990"/>
      <c r="Z21" s="1990"/>
      <c r="AA21" s="1991"/>
    </row>
    <row r="22" spans="1:27" ht="13.5" customHeight="1" x14ac:dyDescent="0.2">
      <c r="A22" s="87" t="s">
        <v>552</v>
      </c>
      <c r="B22" s="59"/>
      <c r="C22" s="59"/>
      <c r="D22" s="59"/>
      <c r="E22" s="59"/>
      <c r="F22" s="59"/>
      <c r="G22" s="59"/>
      <c r="H22" s="60"/>
      <c r="I22" s="2034" t="s">
        <v>1504</v>
      </c>
      <c r="J22" s="2035"/>
      <c r="K22" s="2035"/>
      <c r="L22" s="2035"/>
      <c r="M22" s="2035"/>
      <c r="N22" s="2035"/>
      <c r="O22" s="2035"/>
      <c r="P22" s="2035"/>
      <c r="Q22" s="2035"/>
      <c r="R22" s="2035"/>
      <c r="S22" s="2036"/>
      <c r="T22" s="85" t="s">
        <v>1596</v>
      </c>
      <c r="U22" s="51"/>
      <c r="V22" s="72"/>
      <c r="W22" s="51"/>
      <c r="X22" s="160" t="s">
        <v>1385</v>
      </c>
      <c r="Z22" s="45"/>
      <c r="AA22" s="46"/>
    </row>
    <row r="23" spans="1:27" ht="13.5" customHeight="1" x14ac:dyDescent="0.2">
      <c r="A23" s="2030" t="s">
        <v>2129</v>
      </c>
      <c r="B23" s="2031"/>
      <c r="C23" s="2031"/>
      <c r="D23" s="2031"/>
      <c r="E23" s="2031"/>
      <c r="F23" s="2031"/>
      <c r="G23" s="2031"/>
      <c r="H23" s="2032"/>
      <c r="T23" s="1970" t="s">
        <v>2132</v>
      </c>
      <c r="U23" s="1971"/>
      <c r="V23" s="1971"/>
      <c r="W23" s="1971"/>
      <c r="X23" s="1986">
        <v>43434</v>
      </c>
      <c r="Y23" s="1987"/>
      <c r="Z23" s="1987"/>
      <c r="AA23" s="1988"/>
    </row>
    <row r="24" spans="1:27" ht="14.1" customHeight="1" x14ac:dyDescent="0.2">
      <c r="A24" s="88" t="s">
        <v>698</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552</v>
      </c>
      <c r="U24" s="106"/>
      <c r="V24" s="106"/>
      <c r="W24" s="106"/>
      <c r="X24" s="107"/>
      <c r="Y24" s="107"/>
      <c r="Z24" s="107"/>
      <c r="AA24" s="108"/>
    </row>
    <row r="25" spans="1:27" ht="14.1" customHeight="1" x14ac:dyDescent="0.2">
      <c r="A25" s="2007">
        <v>62441</v>
      </c>
      <c r="B25" s="2008"/>
      <c r="C25" s="2008"/>
      <c r="D25" s="2008"/>
      <c r="E25" s="2008"/>
      <c r="F25" s="2008"/>
      <c r="G25" s="2008"/>
      <c r="H25" s="2009"/>
      <c r="I25" s="113"/>
      <c r="J25" s="2074"/>
      <c r="K25" s="2074"/>
      <c r="L25" s="2074"/>
      <c r="M25" s="2074"/>
      <c r="N25" s="2074"/>
      <c r="O25" s="2074"/>
      <c r="P25" s="2074"/>
      <c r="Q25" s="2074"/>
      <c r="R25" s="2074"/>
      <c r="S25" s="2075"/>
      <c r="T25" s="1967" t="s">
        <v>2084</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5" t="s">
        <v>1591</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t="s">
        <v>2085</v>
      </c>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2085</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0" t="s">
        <v>2128</v>
      </c>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552</v>
      </c>
      <c r="B39" s="2064"/>
      <c r="C39" s="72"/>
      <c r="D39" s="69"/>
      <c r="E39" s="69"/>
      <c r="F39" s="79"/>
      <c r="G39" s="69"/>
      <c r="H39" s="56"/>
      <c r="I39" s="2063" t="s">
        <v>552</v>
      </c>
      <c r="J39" s="2064"/>
      <c r="K39" s="2064"/>
      <c r="L39" s="2064"/>
      <c r="M39" s="2064"/>
      <c r="N39" s="67"/>
      <c r="O39" s="72"/>
      <c r="P39" s="72"/>
      <c r="Q39" s="78"/>
      <c r="R39" s="72"/>
      <c r="S39" s="56"/>
      <c r="T39" s="72" t="s">
        <v>552</v>
      </c>
      <c r="U39" s="51"/>
      <c r="V39" s="72"/>
      <c r="W39" s="50"/>
      <c r="X39" s="78"/>
      <c r="Y39" s="45"/>
      <c r="Z39" s="45"/>
      <c r="AA39" s="46"/>
    </row>
    <row r="40" spans="1:27" ht="13.5" customHeight="1" x14ac:dyDescent="0.2">
      <c r="A40" s="2066" t="s">
        <v>2129</v>
      </c>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6" t="s">
        <v>2130</v>
      </c>
      <c r="B42" s="2057"/>
      <c r="C42" s="2058"/>
      <c r="D42" s="2071" t="s">
        <v>2131</v>
      </c>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9" t="s">
        <v>1905</v>
      </c>
      <c r="B2" s="1550" t="s">
        <v>2037</v>
      </c>
      <c r="C2" s="715" t="s">
        <v>1910</v>
      </c>
      <c r="D2" s="715" t="s">
        <v>1911</v>
      </c>
      <c r="E2" s="715" t="s">
        <v>1912</v>
      </c>
      <c r="F2" s="715" t="s">
        <v>1913</v>
      </c>
    </row>
    <row r="3" spans="1:6" ht="12" customHeight="1" x14ac:dyDescent="0.2">
      <c r="A3" s="2210"/>
      <c r="B3" s="1547"/>
      <c r="C3" s="1548"/>
      <c r="D3" s="1549" t="s">
        <v>274</v>
      </c>
      <c r="E3" s="1548"/>
      <c r="F3" s="1549" t="s">
        <v>275</v>
      </c>
    </row>
    <row r="4" spans="1:6" ht="13.7" customHeight="1" x14ac:dyDescent="0.2">
      <c r="A4" s="716" t="s">
        <v>1217</v>
      </c>
      <c r="B4" s="1771">
        <f>'Revenues 9-14'!C5</f>
        <v>1313420</v>
      </c>
      <c r="C4" s="1546"/>
      <c r="D4" s="1774">
        <f>B4-C4</f>
        <v>1313420</v>
      </c>
      <c r="E4" s="1546">
        <v>1389213</v>
      </c>
      <c r="F4" s="1774">
        <f>E4-C4</f>
        <v>1389213</v>
      </c>
    </row>
    <row r="5" spans="1:6" ht="13.7" customHeight="1" x14ac:dyDescent="0.2">
      <c r="A5" s="716" t="s">
        <v>925</v>
      </c>
      <c r="B5" s="1772">
        <f>'Revenues 9-14'!D5</f>
        <v>356908</v>
      </c>
      <c r="C5" s="585"/>
      <c r="D5" s="1775">
        <f t="shared" ref="D5:D18" si="0">B5-C5</f>
        <v>356908</v>
      </c>
      <c r="E5" s="585">
        <v>377504</v>
      </c>
      <c r="F5" s="1775">
        <f>E5-C5</f>
        <v>377504</v>
      </c>
    </row>
    <row r="6" spans="1:6" ht="13.7" customHeight="1" x14ac:dyDescent="0.2">
      <c r="A6" s="716" t="s">
        <v>431</v>
      </c>
      <c r="B6" s="1772">
        <f>'Revenues 9-14'!E5</f>
        <v>524147</v>
      </c>
      <c r="C6" s="585"/>
      <c r="D6" s="1775">
        <f t="shared" si="0"/>
        <v>524147</v>
      </c>
      <c r="E6" s="585">
        <v>574893</v>
      </c>
      <c r="F6" s="1775">
        <f t="shared" ref="F6:F18" si="1">E6-C6</f>
        <v>574893</v>
      </c>
    </row>
    <row r="7" spans="1:6" ht="13.7" customHeight="1" x14ac:dyDescent="0.2">
      <c r="A7" s="716" t="s">
        <v>157</v>
      </c>
      <c r="B7" s="1772">
        <f>'Revenues 9-14'!F5</f>
        <v>142765</v>
      </c>
      <c r="C7" s="585"/>
      <c r="D7" s="1775">
        <f t="shared" si="0"/>
        <v>142765</v>
      </c>
      <c r="E7" s="585">
        <v>151001</v>
      </c>
      <c r="F7" s="1775">
        <f t="shared" si="1"/>
        <v>151001</v>
      </c>
    </row>
    <row r="8" spans="1:6" ht="13.7" customHeight="1" x14ac:dyDescent="0.2">
      <c r="A8" s="716" t="s">
        <v>1241</v>
      </c>
      <c r="B8" s="1772">
        <f>'Revenues 9-14'!G5</f>
        <v>49788</v>
      </c>
      <c r="C8" s="585"/>
      <c r="D8" s="1775">
        <f t="shared" si="0"/>
        <v>49788</v>
      </c>
      <c r="E8" s="585">
        <v>20000</v>
      </c>
      <c r="F8" s="1775">
        <f t="shared" si="1"/>
        <v>20000</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35689</v>
      </c>
      <c r="C10" s="585"/>
      <c r="D10" s="1775">
        <f t="shared" si="0"/>
        <v>35689</v>
      </c>
      <c r="E10" s="585">
        <v>37750</v>
      </c>
      <c r="F10" s="1775">
        <f t="shared" si="1"/>
        <v>37750</v>
      </c>
    </row>
    <row r="11" spans="1:6" x14ac:dyDescent="0.2">
      <c r="A11" s="716" t="s">
        <v>429</v>
      </c>
      <c r="B11" s="1772">
        <f>'Revenues 9-14'!J5</f>
        <v>358435</v>
      </c>
      <c r="C11" s="585"/>
      <c r="D11" s="1775">
        <f t="shared" si="0"/>
        <v>358435</v>
      </c>
      <c r="E11" s="585">
        <v>360002</v>
      </c>
      <c r="F11" s="1775">
        <f t="shared" si="1"/>
        <v>360002</v>
      </c>
    </row>
    <row r="12" spans="1:6" ht="13.7" customHeight="1" x14ac:dyDescent="0.2">
      <c r="A12" s="716" t="s">
        <v>159</v>
      </c>
      <c r="B12" s="1772">
        <f>'Revenues 9-14'!K5</f>
        <v>35690</v>
      </c>
      <c r="C12" s="585"/>
      <c r="D12" s="1775">
        <f t="shared" si="0"/>
        <v>35690</v>
      </c>
      <c r="E12" s="585">
        <v>37750</v>
      </c>
      <c r="F12" s="1775">
        <f t="shared" si="1"/>
        <v>37750</v>
      </c>
    </row>
    <row r="13" spans="1:6" ht="13.7" customHeight="1" x14ac:dyDescent="0.2">
      <c r="A13" s="716" t="s">
        <v>993</v>
      </c>
      <c r="B13" s="1772">
        <f>SUM('Revenues 9-14'!C6:D6)</f>
        <v>35690</v>
      </c>
      <c r="C13" s="585"/>
      <c r="D13" s="1775">
        <f t="shared" si="0"/>
        <v>35690</v>
      </c>
      <c r="E13" s="585">
        <v>37750</v>
      </c>
      <c r="F13" s="1775">
        <f t="shared" si="1"/>
        <v>37750</v>
      </c>
    </row>
    <row r="14" spans="1:6" ht="13.7" customHeight="1" x14ac:dyDescent="0.2">
      <c r="A14" s="716" t="s">
        <v>430</v>
      </c>
      <c r="B14" s="1772">
        <f>SUM('Revenues 9-14'!C7:D7,'Revenues 9-14'!F7:H7)</f>
        <v>28553</v>
      </c>
      <c r="C14" s="585"/>
      <c r="D14" s="1775">
        <f t="shared" si="0"/>
        <v>28553</v>
      </c>
      <c r="E14" s="585">
        <v>30200</v>
      </c>
      <c r="F14" s="1775">
        <f t="shared" si="1"/>
        <v>30200</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113512</v>
      </c>
      <c r="C16" s="585"/>
      <c r="D16" s="1775">
        <f t="shared" si="0"/>
        <v>113512</v>
      </c>
      <c r="E16" s="585">
        <f>64002+45006</f>
        <v>109008</v>
      </c>
      <c r="F16" s="1775">
        <f t="shared" si="1"/>
        <v>109008</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2994597</v>
      </c>
      <c r="C19" s="1773">
        <f>SUM(C4:C18)</f>
        <v>0</v>
      </c>
      <c r="D19" s="1773">
        <f>SUM(D4:D18)</f>
        <v>2994597</v>
      </c>
      <c r="E19" s="1773">
        <f>SUM(E4:E18)</f>
        <v>3125071</v>
      </c>
      <c r="F19" s="1773">
        <f>SUM(F4:F18)</f>
        <v>3125071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F27" colorId="8" zoomScale="130" zoomScaleNormal="130" workbookViewId="0">
      <selection activeCell="J36" sqref="J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650</v>
      </c>
      <c r="B1" s="2216"/>
      <c r="C1" s="722"/>
    </row>
    <row r="2" spans="1:7" ht="33.75" x14ac:dyDescent="0.2">
      <c r="A2" s="2224" t="s">
        <v>1905</v>
      </c>
      <c r="B2" s="2225"/>
      <c r="C2" s="1909" t="s">
        <v>2038</v>
      </c>
      <c r="D2" s="724" t="s">
        <v>2045</v>
      </c>
      <c r="E2" s="724" t="s">
        <v>2046</v>
      </c>
      <c r="F2" s="1909" t="s">
        <v>2039</v>
      </c>
    </row>
    <row r="3" spans="1:7" ht="15.75" customHeight="1" x14ac:dyDescent="0.2">
      <c r="A3" s="2228" t="s">
        <v>1176</v>
      </c>
      <c r="B3" s="2229"/>
      <c r="C3" s="2217"/>
      <c r="D3" s="2218"/>
      <c r="E3" s="2218"/>
      <c r="F3" s="2219"/>
    </row>
    <row r="4" spans="1:7" ht="12.75" customHeight="1" thickBot="1" x14ac:dyDescent="0.25">
      <c r="A4" s="2226" t="s">
        <v>651</v>
      </c>
      <c r="B4" s="2227"/>
      <c r="C4" s="581"/>
      <c r="D4" s="581"/>
      <c r="E4" s="581"/>
      <c r="F4" s="1777">
        <f>SUM(C4+D4)-E4</f>
        <v>0</v>
      </c>
    </row>
    <row r="5" spans="1:7" ht="15.75" customHeight="1" thickTop="1" x14ac:dyDescent="0.2">
      <c r="A5" s="2211" t="s">
        <v>1172</v>
      </c>
      <c r="B5" s="2212"/>
      <c r="C5" s="2220"/>
      <c r="D5" s="2221"/>
      <c r="E5" s="2221"/>
      <c r="F5" s="222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3" t="s">
        <v>1173</v>
      </c>
      <c r="B16" s="2212"/>
      <c r="C16" s="2220"/>
      <c r="D16" s="2221"/>
      <c r="E16" s="2221"/>
      <c r="F16" s="2222"/>
    </row>
    <row r="17" spans="1:11" ht="12.75" customHeight="1" thickBot="1" x14ac:dyDescent="0.25">
      <c r="A17" s="2236" t="s">
        <v>66</v>
      </c>
      <c r="B17" s="2237"/>
      <c r="C17" s="727"/>
      <c r="D17" s="585"/>
      <c r="E17" s="727"/>
      <c r="F17" s="1777">
        <f>SUM(C17+D17)-E17</f>
        <v>0</v>
      </c>
    </row>
    <row r="18" spans="1:11" ht="12.75" customHeight="1" thickTop="1" thickBot="1" x14ac:dyDescent="0.25">
      <c r="A18" s="2236" t="s">
        <v>6</v>
      </c>
      <c r="B18" s="2237"/>
      <c r="C18" s="727"/>
      <c r="D18" s="585"/>
      <c r="E18" s="727"/>
      <c r="F18" s="1777">
        <f>SUM(C18+D18)-E18</f>
        <v>0</v>
      </c>
    </row>
    <row r="19" spans="1:11" ht="12.75" customHeight="1" thickTop="1" thickBot="1" x14ac:dyDescent="0.25">
      <c r="A19" s="2236" t="s">
        <v>406</v>
      </c>
      <c r="B19" s="2237"/>
      <c r="C19" s="727"/>
      <c r="D19" s="585"/>
      <c r="E19" s="727"/>
      <c r="F19" s="1777">
        <f>SUM(C19+D19)-E19</f>
        <v>0</v>
      </c>
    </row>
    <row r="20" spans="1:11" ht="12.75" customHeight="1" thickTop="1" thickBot="1" x14ac:dyDescent="0.25">
      <c r="A20" s="2236" t="s">
        <v>468</v>
      </c>
      <c r="B20" s="2237"/>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38" t="s">
        <v>1174</v>
      </c>
      <c r="B22" s="2212"/>
      <c r="C22" s="2220"/>
      <c r="D22" s="2221"/>
      <c r="E22" s="2221"/>
      <c r="F22" s="2222"/>
    </row>
    <row r="23" spans="1:11" ht="13.5" thickBot="1" x14ac:dyDescent="0.25">
      <c r="A23" s="2226" t="s">
        <v>654</v>
      </c>
      <c r="B23" s="2227"/>
      <c r="C23" s="581"/>
      <c r="D23" s="581"/>
      <c r="E23" s="581"/>
      <c r="F23" s="1777">
        <f>SUM(C23+D23)-E23</f>
        <v>0</v>
      </c>
      <c r="G23" s="552"/>
    </row>
    <row r="24" spans="1:11" ht="15.75" customHeight="1" thickTop="1" x14ac:dyDescent="0.2">
      <c r="A24" s="2238" t="s">
        <v>1175</v>
      </c>
      <c r="B24" s="2212"/>
      <c r="C24" s="2220"/>
      <c r="D24" s="2221"/>
      <c r="E24" s="2221"/>
      <c r="F24" s="2222"/>
    </row>
    <row r="25" spans="1:11" ht="13.5" thickBot="1" x14ac:dyDescent="0.25">
      <c r="A25" s="2226" t="s">
        <v>655</v>
      </c>
      <c r="B25" s="2227"/>
      <c r="C25" s="581"/>
      <c r="D25" s="581"/>
      <c r="E25" s="581"/>
      <c r="F25" s="1777">
        <f>SUM(C25+D25)-E25</f>
        <v>0</v>
      </c>
      <c r="G25" s="552"/>
    </row>
    <row r="26" spans="1:11" ht="15.75" customHeight="1" thickTop="1" x14ac:dyDescent="0.2">
      <c r="A26" s="2211" t="s">
        <v>678</v>
      </c>
      <c r="B26" s="2212"/>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39" t="s">
        <v>603</v>
      </c>
      <c r="B29" s="2216"/>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2086</v>
      </c>
      <c r="B31" s="734">
        <v>40057</v>
      </c>
      <c r="C31" s="735">
        <v>310000</v>
      </c>
      <c r="D31" s="736" t="s">
        <v>2090</v>
      </c>
      <c r="E31" s="735">
        <v>85000</v>
      </c>
      <c r="F31" s="735"/>
      <c r="G31" s="735"/>
      <c r="H31" s="735">
        <v>85000</v>
      </c>
      <c r="I31" s="1778">
        <f>((E31+F31)-H31)+G31</f>
        <v>0</v>
      </c>
      <c r="J31" s="735">
        <f>I31-(I31/I49*'Assets-Liab 5-6'!E4)</f>
        <v>0</v>
      </c>
      <c r="K31" s="737"/>
    </row>
    <row r="32" spans="1:11" ht="12" customHeight="1" x14ac:dyDescent="0.2">
      <c r="A32" s="733" t="s">
        <v>2087</v>
      </c>
      <c r="B32" s="734">
        <v>40683</v>
      </c>
      <c r="C32" s="735">
        <v>4160000</v>
      </c>
      <c r="D32" s="736" t="s">
        <v>2091</v>
      </c>
      <c r="E32" s="735">
        <v>2935000</v>
      </c>
      <c r="F32" s="735"/>
      <c r="G32" s="735"/>
      <c r="H32" s="735">
        <v>90000</v>
      </c>
      <c r="I32" s="1778">
        <f>((E32+F32)-H32)+G32</f>
        <v>2845000</v>
      </c>
      <c r="J32" s="735">
        <f>I32-(I32/I49*'Assets-Liab 5-6'!E4)</f>
        <v>2736858.8124813726</v>
      </c>
      <c r="K32" s="737"/>
    </row>
    <row r="33" spans="1:11" ht="12" customHeight="1" x14ac:dyDescent="0.2">
      <c r="A33" s="733" t="s">
        <v>2088</v>
      </c>
      <c r="B33" s="734">
        <v>42073</v>
      </c>
      <c r="C33" s="735">
        <v>4785000</v>
      </c>
      <c r="D33" s="736" t="s">
        <v>2092</v>
      </c>
      <c r="E33" s="735">
        <v>4785000</v>
      </c>
      <c r="F33" s="735"/>
      <c r="G33" s="735"/>
      <c r="H33" s="735"/>
      <c r="I33" s="1778">
        <f t="shared" ref="I33:I48" si="1">((E33+F33)-H33)+G33</f>
        <v>4785000</v>
      </c>
      <c r="J33" s="735">
        <f>I33-(I33/I49*'Assets-Liab 5-6'!E4)</f>
        <v>4603117.5457727127</v>
      </c>
      <c r="K33" s="737"/>
    </row>
    <row r="34" spans="1:11" ht="12" customHeight="1" x14ac:dyDescent="0.2">
      <c r="A34" s="733" t="s">
        <v>2089</v>
      </c>
      <c r="B34" s="734">
        <v>42863</v>
      </c>
      <c r="C34" s="735">
        <v>155000</v>
      </c>
      <c r="D34" s="736">
        <v>4</v>
      </c>
      <c r="E34" s="735">
        <v>155000</v>
      </c>
      <c r="F34" s="735"/>
      <c r="G34" s="735"/>
      <c r="H34" s="735"/>
      <c r="I34" s="1778">
        <f t="shared" si="1"/>
        <v>155000</v>
      </c>
      <c r="J34" s="735">
        <f>I34-(I34/I49*'Assets-Liab 5-6'!E4)</f>
        <v>149108.30085575141</v>
      </c>
      <c r="K34" s="738"/>
    </row>
    <row r="35" spans="1:11" ht="12" customHeight="1" x14ac:dyDescent="0.2">
      <c r="A35" s="733" t="s">
        <v>2139</v>
      </c>
      <c r="B35" s="734">
        <v>43194</v>
      </c>
      <c r="C35" s="739">
        <v>109933</v>
      </c>
      <c r="D35" s="736">
        <v>7</v>
      </c>
      <c r="E35" s="739"/>
      <c r="F35" s="739">
        <v>109933</v>
      </c>
      <c r="G35" s="739"/>
      <c r="H35" s="739"/>
      <c r="I35" s="1778">
        <f t="shared" si="1"/>
        <v>109933</v>
      </c>
      <c r="J35" s="735">
        <f>I35-(I35/I49*'Assets-Liab 5-6'!E4)</f>
        <v>105754.34089016335</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9519933</v>
      </c>
      <c r="D49" s="746"/>
      <c r="E49" s="1778">
        <f t="shared" ref="E49:J49" si="2">SUM(E31:E48)</f>
        <v>7960000</v>
      </c>
      <c r="F49" s="1778">
        <f t="shared" si="2"/>
        <v>109933</v>
      </c>
      <c r="G49" s="1778">
        <f t="shared" si="2"/>
        <v>0</v>
      </c>
      <c r="H49" s="1778">
        <f t="shared" si="2"/>
        <v>175000</v>
      </c>
      <c r="I49" s="1778">
        <f t="shared" si="2"/>
        <v>7894933</v>
      </c>
      <c r="J49" s="1778">
        <f t="shared" si="2"/>
        <v>7594839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0" t="s">
        <v>605</v>
      </c>
      <c r="C52" s="2231"/>
      <c r="D52" s="2231"/>
      <c r="E52" s="750" t="s">
        <v>900</v>
      </c>
      <c r="F52" s="2232" t="s">
        <v>2140</v>
      </c>
      <c r="G52" s="2233"/>
      <c r="H52" s="737"/>
      <c r="I52" s="737"/>
      <c r="J52" s="747"/>
    </row>
    <row r="53" spans="1:11" ht="11.25" customHeight="1" x14ac:dyDescent="0.2">
      <c r="A53" s="751" t="s">
        <v>969</v>
      </c>
      <c r="B53" s="752" t="s">
        <v>1008</v>
      </c>
      <c r="C53" s="747"/>
      <c r="D53" s="738"/>
      <c r="E53" s="750" t="s">
        <v>518</v>
      </c>
      <c r="F53" s="2234"/>
      <c r="G53" s="2235"/>
      <c r="H53" s="737"/>
      <c r="I53" s="737"/>
      <c r="J53" s="747"/>
    </row>
    <row r="54" spans="1:11" ht="11.25" customHeight="1" x14ac:dyDescent="0.2">
      <c r="A54" s="753" t="s">
        <v>970</v>
      </c>
      <c r="B54" s="748" t="s">
        <v>1009</v>
      </c>
      <c r="C54" s="747"/>
      <c r="D54" s="738"/>
      <c r="E54" s="750" t="s">
        <v>519</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2" sqref="H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911</v>
      </c>
      <c r="B1" s="2265"/>
      <c r="C1" s="2265"/>
      <c r="D1" s="2265"/>
      <c r="E1" s="2265"/>
      <c r="F1" s="2265"/>
      <c r="G1" s="2266"/>
      <c r="H1" s="1552"/>
      <c r="I1" s="761"/>
      <c r="J1" s="433"/>
    </row>
    <row r="2" spans="1:11" ht="26.25" x14ac:dyDescent="0.2">
      <c r="A2" s="2243" t="s">
        <v>1776</v>
      </c>
      <c r="B2" s="2244"/>
      <c r="C2" s="2244"/>
      <c r="D2" s="2244"/>
      <c r="E2" s="2245"/>
      <c r="F2" s="762" t="s">
        <v>960</v>
      </c>
      <c r="G2" s="763" t="s">
        <v>1773</v>
      </c>
      <c r="H2" s="763" t="s">
        <v>430</v>
      </c>
      <c r="I2" s="763" t="s">
        <v>1220</v>
      </c>
      <c r="J2" s="763" t="s">
        <v>1919</v>
      </c>
      <c r="K2" s="763" t="s">
        <v>140</v>
      </c>
    </row>
    <row r="3" spans="1:11" x14ac:dyDescent="0.2">
      <c r="A3" s="2246" t="s">
        <v>1698</v>
      </c>
      <c r="B3" s="2247"/>
      <c r="C3" s="2247"/>
      <c r="D3" s="2247"/>
      <c r="E3" s="2248"/>
      <c r="F3" s="764"/>
      <c r="G3" s="765"/>
      <c r="H3" s="765"/>
      <c r="I3" s="765"/>
      <c r="J3" s="766"/>
      <c r="K3" s="766">
        <v>-78331</v>
      </c>
    </row>
    <row r="4" spans="1:11" x14ac:dyDescent="0.2">
      <c r="A4" s="2249" t="s">
        <v>387</v>
      </c>
      <c r="B4" s="2250"/>
      <c r="C4" s="2250"/>
      <c r="D4" s="2250"/>
      <c r="E4" s="2231"/>
      <c r="F4" s="767"/>
      <c r="G4" s="768"/>
      <c r="H4" s="769"/>
      <c r="I4" s="768"/>
      <c r="J4" s="770"/>
      <c r="K4" s="770"/>
    </row>
    <row r="5" spans="1:11" x14ac:dyDescent="0.2">
      <c r="A5" s="2267" t="s">
        <v>1129</v>
      </c>
      <c r="B5" s="2240"/>
      <c r="C5" s="2240"/>
      <c r="D5" s="2240"/>
      <c r="E5" s="2268"/>
      <c r="F5" s="771" t="s">
        <v>903</v>
      </c>
      <c r="G5" s="772"/>
      <c r="H5" s="765">
        <f>'Revenues 9-14'!C7</f>
        <v>28553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5703</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13379</v>
      </c>
    </row>
    <row r="10" spans="1:11" x14ac:dyDescent="0.2">
      <c r="A10" s="2267" t="s">
        <v>1920</v>
      </c>
      <c r="B10" s="2240"/>
      <c r="C10" s="2240"/>
      <c r="D10" s="2240"/>
      <c r="E10" s="2269"/>
      <c r="F10" s="784" t="s">
        <v>917</v>
      </c>
      <c r="G10" s="783"/>
      <c r="H10" s="785"/>
      <c r="I10" s="765"/>
      <c r="J10" s="766"/>
      <c r="K10" s="766"/>
    </row>
    <row r="11" spans="1:11" x14ac:dyDescent="0.2">
      <c r="A11" s="2267" t="s">
        <v>162</v>
      </c>
      <c r="B11" s="2240"/>
      <c r="C11" s="2240"/>
      <c r="D11" s="2240"/>
      <c r="E11" s="2268"/>
      <c r="F11" s="771" t="s">
        <v>907</v>
      </c>
      <c r="G11" s="772"/>
      <c r="H11" s="765"/>
      <c r="I11" s="765"/>
      <c r="J11" s="766"/>
      <c r="K11" s="774"/>
    </row>
    <row r="12" spans="1:11" ht="13.5" thickBot="1" x14ac:dyDescent="0.25">
      <c r="A12" s="2257" t="s">
        <v>961</v>
      </c>
      <c r="B12" s="2258"/>
      <c r="C12" s="2258"/>
      <c r="D12" s="2258"/>
      <c r="E12" s="2259"/>
      <c r="F12" s="1779"/>
      <c r="G12" s="1780">
        <f>SUM(G5:G11)</f>
        <v>0</v>
      </c>
      <c r="H12" s="1780">
        <f>SUM(H5:H11)</f>
        <v>28553</v>
      </c>
      <c r="I12" s="1780">
        <f>SUM(I5:I11)</f>
        <v>0</v>
      </c>
      <c r="J12" s="1780">
        <f>SUM(J5:J11)</f>
        <v>0</v>
      </c>
      <c r="K12" s="1780">
        <f>SUM(K5:K11)</f>
        <v>19082</v>
      </c>
    </row>
    <row r="13" spans="1:11" ht="13.5" thickTop="1" x14ac:dyDescent="0.2">
      <c r="A13" s="2251" t="s">
        <v>388</v>
      </c>
      <c r="B13" s="2252"/>
      <c r="C13" s="2252"/>
      <c r="D13" s="2252"/>
      <c r="E13" s="2253"/>
      <c r="F13" s="786"/>
      <c r="G13" s="787"/>
      <c r="H13" s="788"/>
      <c r="I13" s="789"/>
      <c r="J13" s="789"/>
      <c r="K13" s="789"/>
    </row>
    <row r="14" spans="1:11" x14ac:dyDescent="0.2">
      <c r="A14" s="2273" t="s">
        <v>476</v>
      </c>
      <c r="B14" s="2273"/>
      <c r="C14" s="2273"/>
      <c r="D14" s="2273"/>
      <c r="E14" s="2274"/>
      <c r="F14" s="790" t="s">
        <v>909</v>
      </c>
      <c r="G14" s="783"/>
      <c r="H14" s="765">
        <f>H5</f>
        <v>28553</v>
      </c>
      <c r="I14" s="772"/>
      <c r="J14" s="774"/>
      <c r="K14" s="766">
        <f>'Expenditures 15-22'!C17</f>
        <v>26870</v>
      </c>
    </row>
    <row r="15" spans="1:11" x14ac:dyDescent="0.2">
      <c r="A15" s="2240" t="s">
        <v>4</v>
      </c>
      <c r="B15" s="2240"/>
      <c r="C15" s="2240"/>
      <c r="D15" s="2240"/>
      <c r="E15" s="2268"/>
      <c r="F15" s="790" t="s">
        <v>910</v>
      </c>
      <c r="G15" s="772"/>
      <c r="H15" s="765"/>
      <c r="I15" s="765"/>
      <c r="J15" s="766"/>
      <c r="K15" s="766"/>
    </row>
    <row r="16" spans="1:11" x14ac:dyDescent="0.2">
      <c r="A16" s="2240" t="s">
        <v>316</v>
      </c>
      <c r="B16" s="2240"/>
      <c r="C16" s="2240"/>
      <c r="D16" s="2240"/>
      <c r="E16" s="2268"/>
      <c r="F16" s="790" t="s">
        <v>980</v>
      </c>
      <c r="G16" s="773"/>
      <c r="H16" s="768"/>
      <c r="I16" s="768"/>
      <c r="J16" s="770"/>
      <c r="K16" s="770"/>
    </row>
    <row r="17" spans="1:11" x14ac:dyDescent="0.2">
      <c r="A17" s="2262" t="s">
        <v>992</v>
      </c>
      <c r="B17" s="2262"/>
      <c r="C17" s="2262"/>
      <c r="D17" s="2262"/>
      <c r="E17" s="2263"/>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75" t="s">
        <v>1916</v>
      </c>
      <c r="B19" s="2275"/>
      <c r="C19" s="2275"/>
      <c r="D19" s="2275"/>
      <c r="E19" s="2276"/>
      <c r="F19" s="790" t="s">
        <v>990</v>
      </c>
      <c r="G19" s="783"/>
      <c r="H19" s="783"/>
      <c r="I19" s="783"/>
      <c r="J19" s="766"/>
      <c r="K19" s="796"/>
    </row>
    <row r="20" spans="1:11" x14ac:dyDescent="0.2">
      <c r="A20" s="2254" t="s">
        <v>1921</v>
      </c>
      <c r="B20" s="2255"/>
      <c r="C20" s="2255"/>
      <c r="D20" s="2255"/>
      <c r="E20" s="2256"/>
      <c r="F20" s="790" t="s">
        <v>991</v>
      </c>
      <c r="G20" s="783"/>
      <c r="H20" s="783"/>
      <c r="I20" s="783"/>
      <c r="J20" s="766"/>
      <c r="K20" s="796"/>
    </row>
    <row r="21" spans="1:11" ht="13.5" thickBot="1" x14ac:dyDescent="0.25">
      <c r="A21" s="2260" t="s">
        <v>659</v>
      </c>
      <c r="B21" s="2260"/>
      <c r="C21" s="2260"/>
      <c r="D21" s="2260"/>
      <c r="E21" s="2260"/>
      <c r="F21" s="1781"/>
      <c r="G21" s="793"/>
      <c r="H21" s="797"/>
      <c r="I21" s="797"/>
      <c r="J21" s="1782">
        <f>SUM(J18:J20)</f>
        <v>0</v>
      </c>
      <c r="K21" s="794"/>
    </row>
    <row r="22" spans="1:11" ht="13.5" thickTop="1" x14ac:dyDescent="0.2">
      <c r="A22" s="2240" t="s">
        <v>1922</v>
      </c>
      <c r="B22" s="2240"/>
      <c r="C22" s="2240"/>
      <c r="D22" s="2240"/>
      <c r="E22" s="2268"/>
      <c r="F22" s="790" t="s">
        <v>917</v>
      </c>
      <c r="G22" s="783"/>
      <c r="H22" s="765"/>
      <c r="I22" s="765"/>
      <c r="J22" s="798"/>
      <c r="K22" s="766"/>
    </row>
    <row r="23" spans="1:11" ht="13.5" thickBot="1" x14ac:dyDescent="0.25">
      <c r="A23" s="2261" t="s">
        <v>962</v>
      </c>
      <c r="B23" s="2260"/>
      <c r="C23" s="2260"/>
      <c r="D23" s="2260"/>
      <c r="E23" s="2260"/>
      <c r="F23" s="1783"/>
      <c r="G23" s="1780">
        <f>SUM(G14:G16,G21,G22)</f>
        <v>0</v>
      </c>
      <c r="H23" s="1780">
        <f>SUM(H14:H16,H21,H22)</f>
        <v>28553</v>
      </c>
      <c r="I23" s="1780">
        <f>SUM(I14:I16,I21,I22)</f>
        <v>0</v>
      </c>
      <c r="J23" s="1780">
        <f>SUM(J14:J16,J21,J22)</f>
        <v>0</v>
      </c>
      <c r="K23" s="1780">
        <f>SUM(K14:K16,K21,K22)</f>
        <v>26870</v>
      </c>
    </row>
    <row r="24" spans="1:11" ht="14.25" thickTop="1" thickBot="1" x14ac:dyDescent="0.25">
      <c r="A24" s="2261" t="s">
        <v>2026</v>
      </c>
      <c r="B24" s="2260"/>
      <c r="C24" s="2260"/>
      <c r="D24" s="2260"/>
      <c r="E24" s="2260"/>
      <c r="F24" s="1784"/>
      <c r="G24" s="1785">
        <f>SUM(G3,G12)-G23</f>
        <v>0</v>
      </c>
      <c r="H24" s="1785">
        <f>SUM(H3,H12)-H23</f>
        <v>0</v>
      </c>
      <c r="I24" s="1785">
        <f>SUM(I3,I12)-I23</f>
        <v>0</v>
      </c>
      <c r="J24" s="1785">
        <f>SUM(J3,J12)-J23</f>
        <v>0</v>
      </c>
      <c r="K24" s="1785">
        <f>SUM(K3,K12)-K23</f>
        <v>-86119</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-86119</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0"/>
      <c r="I31" s="2271"/>
      <c r="J31" s="2271"/>
      <c r="K31" s="2271"/>
    </row>
    <row r="32" spans="1:11" x14ac:dyDescent="0.2">
      <c r="A32" s="810"/>
      <c r="B32" s="237"/>
      <c r="C32" s="237"/>
      <c r="D32" s="237"/>
      <c r="E32" s="806"/>
      <c r="F32" s="812" t="s">
        <v>561</v>
      </c>
      <c r="G32" s="765"/>
      <c r="H32" s="2272"/>
      <c r="I32" s="2271"/>
      <c r="J32" s="2271"/>
      <c r="K32" s="2271"/>
    </row>
    <row r="33" spans="1:11" ht="1.5" customHeight="1" x14ac:dyDescent="0.2">
      <c r="A33" s="813" t="s">
        <v>1231</v>
      </c>
      <c r="B33" s="364"/>
      <c r="C33" s="364"/>
      <c r="D33" s="364"/>
      <c r="E33" s="364"/>
      <c r="F33" s="364"/>
      <c r="G33" s="814"/>
      <c r="H33" s="2272"/>
      <c r="I33" s="2271"/>
      <c r="J33" s="2271"/>
      <c r="K33" s="227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41"/>
      <c r="C41" s="2241"/>
      <c r="D41" s="2241"/>
      <c r="E41" s="2241"/>
      <c r="F41" s="224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D6" colorId="8" zoomScale="110" zoomScaleNormal="110" workbookViewId="0">
      <selection activeCell="I17" sqref="I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2035</v>
      </c>
      <c r="B1" s="2280"/>
      <c r="C1" s="2281"/>
      <c r="D1" s="827"/>
      <c r="E1" s="828"/>
      <c r="F1" s="828"/>
      <c r="G1" s="829"/>
      <c r="H1" s="830"/>
      <c r="I1" s="831"/>
      <c r="J1" s="2277"/>
      <c r="K1" s="2278"/>
      <c r="L1" s="227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v>0</v>
      </c>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103054</v>
      </c>
      <c r="D5" s="842"/>
      <c r="E5" s="842"/>
      <c r="F5" s="1782">
        <f>(C5+D5)-E5</f>
        <v>103054</v>
      </c>
      <c r="G5" s="838"/>
      <c r="H5" s="843"/>
      <c r="I5" s="843"/>
      <c r="J5" s="843"/>
      <c r="K5" s="794"/>
      <c r="L5" s="1791">
        <f>F5-K5</f>
        <v>103054</v>
      </c>
    </row>
    <row r="6" spans="1:14" ht="14.25" thickTop="1" thickBot="1" x14ac:dyDescent="0.25">
      <c r="A6" s="779" t="s">
        <v>1179</v>
      </c>
      <c r="B6" s="841">
        <v>222</v>
      </c>
      <c r="C6" s="766">
        <v>0</v>
      </c>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14542425</v>
      </c>
      <c r="D8" s="845"/>
      <c r="E8" s="845"/>
      <c r="F8" s="1782">
        <f>(C8+D8)-E8</f>
        <v>14542425</v>
      </c>
      <c r="G8" s="844">
        <v>50</v>
      </c>
      <c r="H8" s="766">
        <v>4317218</v>
      </c>
      <c r="I8" s="766">
        <v>283645</v>
      </c>
      <c r="J8" s="766"/>
      <c r="K8" s="1791">
        <f>(H8+I8)-J8</f>
        <v>4600863</v>
      </c>
      <c r="L8" s="1791">
        <f>F8-K8</f>
        <v>9941562</v>
      </c>
    </row>
    <row r="9" spans="1:14" ht="14.25" thickTop="1" thickBot="1" x14ac:dyDescent="0.25">
      <c r="A9" s="779" t="s">
        <v>1181</v>
      </c>
      <c r="B9" s="841">
        <v>232</v>
      </c>
      <c r="C9" s="766">
        <v>0</v>
      </c>
      <c r="D9" s="766"/>
      <c r="E9" s="766"/>
      <c r="F9" s="1782">
        <f>(C9+D9)-E9</f>
        <v>0</v>
      </c>
      <c r="G9" s="844">
        <v>20</v>
      </c>
      <c r="H9" s="766"/>
      <c r="I9" s="766"/>
      <c r="J9" s="766"/>
      <c r="K9" s="1791">
        <f>(H9+I9)-J9</f>
        <v>0</v>
      </c>
      <c r="L9" s="1791">
        <f>F9-K9</f>
        <v>0</v>
      </c>
    </row>
    <row r="10" spans="1:14" ht="24" thickTop="1" thickBot="1" x14ac:dyDescent="0.25">
      <c r="A10" s="846" t="s">
        <v>1182</v>
      </c>
      <c r="B10" s="841">
        <v>240</v>
      </c>
      <c r="C10" s="847">
        <v>1001745</v>
      </c>
      <c r="D10" s="847">
        <v>319256</v>
      </c>
      <c r="E10" s="847"/>
      <c r="F10" s="1786">
        <f>(C10+D10)-E10</f>
        <v>1321001</v>
      </c>
      <c r="G10" s="844">
        <v>20</v>
      </c>
      <c r="H10" s="848">
        <v>437852</v>
      </c>
      <c r="I10" s="848">
        <v>55562</v>
      </c>
      <c r="J10" s="848"/>
      <c r="K10" s="1791">
        <f>(H10+I10)-J10</f>
        <v>493414</v>
      </c>
      <c r="L10" s="1791">
        <f>F10-K10</f>
        <v>827587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3873071</v>
      </c>
      <c r="D12" s="845">
        <f>2722+189413+2157+1300+1439+2471+2116+19176+4315+3360+7700+15560+10037</f>
        <v>261766</v>
      </c>
      <c r="E12" s="845"/>
      <c r="F12" s="1782">
        <f>(C12+D12)-E12</f>
        <v>4134837</v>
      </c>
      <c r="G12" s="844">
        <v>10</v>
      </c>
      <c r="H12" s="766">
        <v>3201131</v>
      </c>
      <c r="I12" s="766">
        <f>3992+165627</f>
        <v>169619</v>
      </c>
      <c r="J12" s="766"/>
      <c r="K12" s="1791">
        <f>(H12+I12)-J12</f>
        <v>3370750</v>
      </c>
      <c r="L12" s="1791">
        <f>F12-K12</f>
        <v>764087</v>
      </c>
    </row>
    <row r="13" spans="1:14" ht="14.25" thickTop="1" thickBot="1" x14ac:dyDescent="0.25">
      <c r="A13" s="849" t="s">
        <v>1184</v>
      </c>
      <c r="B13" s="841">
        <v>252</v>
      </c>
      <c r="C13" s="845">
        <v>1320329</v>
      </c>
      <c r="D13" s="845"/>
      <c r="E13" s="845"/>
      <c r="F13" s="1782">
        <f>(C13+D13)-E13</f>
        <v>1320329</v>
      </c>
      <c r="G13" s="844">
        <v>5</v>
      </c>
      <c r="H13" s="766">
        <v>1196912</v>
      </c>
      <c r="I13" s="766">
        <v>49140</v>
      </c>
      <c r="J13" s="766"/>
      <c r="K13" s="1791">
        <f>(H13+I13)-J13</f>
        <v>1246052</v>
      </c>
      <c r="L13" s="1791">
        <f>F13-K13</f>
        <v>74277</v>
      </c>
    </row>
    <row r="14" spans="1:14" ht="14.25" thickTop="1" thickBot="1" x14ac:dyDescent="0.25">
      <c r="A14" s="849" t="s">
        <v>1185</v>
      </c>
      <c r="B14" s="841">
        <v>253</v>
      </c>
      <c r="C14" s="766">
        <v>0</v>
      </c>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f>94877+31625</f>
        <v>126502</v>
      </c>
      <c r="D15" s="845"/>
      <c r="E15" s="845">
        <v>126502</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20967126</v>
      </c>
      <c r="D16" s="1782">
        <f>SUM(D3,D5:D6,D8:D10,D12:D15)</f>
        <v>581022</v>
      </c>
      <c r="E16" s="1782">
        <f>SUM(E3,E5:E6,E8:E10,E12:E15)</f>
        <v>126502</v>
      </c>
      <c r="F16" s="1782">
        <f>SUM(F3,F5:F6,F8:F10,F12:F15)</f>
        <v>21421646</v>
      </c>
      <c r="G16" s="844"/>
      <c r="H16" s="1782">
        <f>SUM(H3,H6,H8:H10,H12:H14,)</f>
        <v>9153113</v>
      </c>
      <c r="I16" s="1782">
        <f>SUM(I3,I6,I8:I10,I12:I14,)</f>
        <v>557966</v>
      </c>
      <c r="J16" s="1782">
        <f>SUM(J3,J6,J8:J10,J12:J14,)</f>
        <v>0</v>
      </c>
      <c r="K16" s="1782">
        <f>(H16+I16)-J16</f>
        <v>9711079</v>
      </c>
      <c r="L16" s="1782">
        <f>F16-K16</f>
        <v>11710567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557966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8" activePane="bottomLeft" state="frozen"/>
      <selection activeCell="A47" sqref="A47"/>
      <selection pane="bottomLeft" activeCell="F203" sqref="F20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1699</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5451318</v>
      </c>
      <c r="G8" s="866"/>
    </row>
    <row r="9" spans="1:7" x14ac:dyDescent="0.2">
      <c r="A9" s="870" t="s">
        <v>480</v>
      </c>
      <c r="B9" s="871" t="s">
        <v>1989</v>
      </c>
      <c r="C9" s="872"/>
      <c r="D9" s="870" t="s">
        <v>522</v>
      </c>
      <c r="E9" s="869"/>
      <c r="F9" s="1935">
        <f>'Expenditures 15-22'!K151</f>
        <v>534899</v>
      </c>
      <c r="G9" s="873"/>
    </row>
    <row r="10" spans="1:7" x14ac:dyDescent="0.2">
      <c r="A10" s="870" t="s">
        <v>520</v>
      </c>
      <c r="B10" s="871" t="s">
        <v>1990</v>
      </c>
      <c r="C10" s="872"/>
      <c r="D10" s="870" t="s">
        <v>522</v>
      </c>
      <c r="E10" s="869"/>
      <c r="F10" s="1935">
        <f>'Expenditures 15-22'!K174</f>
        <v>527939</v>
      </c>
      <c r="G10" s="873"/>
    </row>
    <row r="11" spans="1:7" x14ac:dyDescent="0.2">
      <c r="A11" s="870" t="s">
        <v>481</v>
      </c>
      <c r="B11" s="871" t="s">
        <v>1991</v>
      </c>
      <c r="C11" s="872"/>
      <c r="D11" s="870" t="s">
        <v>522</v>
      </c>
      <c r="E11" s="869"/>
      <c r="F11" s="1935">
        <f>'Expenditures 15-22'!K210</f>
        <v>358962</v>
      </c>
      <c r="G11" s="873"/>
    </row>
    <row r="12" spans="1:7" x14ac:dyDescent="0.2">
      <c r="A12" s="870" t="s">
        <v>482</v>
      </c>
      <c r="B12" s="871" t="s">
        <v>1992</v>
      </c>
      <c r="C12" s="872"/>
      <c r="D12" s="870" t="s">
        <v>522</v>
      </c>
      <c r="E12" s="869"/>
      <c r="F12" s="1935">
        <f>'Expenditures 15-22'!K295</f>
        <v>200239</v>
      </c>
      <c r="G12" s="873"/>
    </row>
    <row r="13" spans="1:7" x14ac:dyDescent="0.2">
      <c r="A13" s="870" t="s">
        <v>108</v>
      </c>
      <c r="B13" s="871" t="s">
        <v>1993</v>
      </c>
      <c r="C13" s="872"/>
      <c r="D13" s="870" t="s">
        <v>522</v>
      </c>
      <c r="E13" s="869"/>
      <c r="F13" s="1935">
        <f>'Expenditures 15-22'!K342</f>
        <v>314428</v>
      </c>
      <c r="G13" s="874"/>
    </row>
    <row r="14" spans="1:7" ht="12" customHeight="1" thickBot="1" x14ac:dyDescent="0.25">
      <c r="A14" s="1792"/>
      <c r="B14" s="1793"/>
      <c r="C14" s="1794"/>
      <c r="D14" s="1795" t="s">
        <v>522</v>
      </c>
      <c r="E14" s="1796" t="s">
        <v>1015</v>
      </c>
      <c r="F14" s="1797">
        <f>SUM(F8:F13)</f>
        <v>7387785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49717</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7205</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425743</v>
      </c>
      <c r="G53" s="866"/>
    </row>
    <row r="54" spans="1:7" x14ac:dyDescent="0.2">
      <c r="A54" s="870" t="s">
        <v>479</v>
      </c>
      <c r="B54" s="870" t="s">
        <v>1552</v>
      </c>
      <c r="C54" s="890" t="s">
        <v>1039</v>
      </c>
      <c r="D54" s="886" t="s">
        <v>1157</v>
      </c>
      <c r="E54" s="869"/>
      <c r="F54" s="1939">
        <f>'Expenditures 15-22'!G114</f>
        <v>213794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202010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175000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1122</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1074591</v>
      </c>
      <c r="G76" s="866"/>
    </row>
    <row r="77" spans="1:8" s="894" customFormat="1" ht="12" customHeight="1" thickTop="1" thickBot="1" x14ac:dyDescent="0.25">
      <c r="A77" s="1801"/>
      <c r="B77" s="1798"/>
      <c r="C77" s="1794"/>
      <c r="D77" s="1799" t="s">
        <v>2012</v>
      </c>
      <c r="E77" s="1796"/>
      <c r="F77" s="1802">
        <f>(F14-F76)</f>
        <v>6313194</v>
      </c>
      <c r="G77" s="870"/>
    </row>
    <row r="78" spans="1:8" s="894" customFormat="1" ht="12" customHeight="1" thickTop="1" x14ac:dyDescent="0.2">
      <c r="A78" s="1803"/>
      <c r="B78" s="1798"/>
      <c r="C78" s="1794"/>
      <c r="D78" s="1799" t="s">
        <v>2059</v>
      </c>
      <c r="E78" s="1796"/>
      <c r="F78" s="899">
        <v>617.53</v>
      </c>
      <c r="G78" s="900"/>
      <c r="H78" s="870"/>
    </row>
    <row r="79" spans="1:8" s="894" customFormat="1" ht="12" customHeight="1" thickBot="1" x14ac:dyDescent="0.25">
      <c r="A79" s="1804"/>
      <c r="B79" s="1798"/>
      <c r="C79" s="1794"/>
      <c r="D79" s="1799" t="s">
        <v>2013</v>
      </c>
      <c r="E79" s="1796" t="s">
        <v>1015</v>
      </c>
      <c r="F79" s="1805">
        <f>IF(F78&gt;0,F77/F78," Complete Line 78")</f>
        <v>10223.299272909819</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62836</v>
      </c>
      <c r="G94" s="913"/>
    </row>
    <row r="95" spans="1:7" x14ac:dyDescent="0.2">
      <c r="A95" s="909" t="s">
        <v>142</v>
      </c>
      <c r="B95" s="909" t="s">
        <v>177</v>
      </c>
      <c r="C95" s="911">
        <v>1700</v>
      </c>
      <c r="D95" s="919" t="str">
        <f>'Revenues 9-14'!A82</f>
        <v>Total District/School Activity Income</v>
      </c>
      <c r="E95" s="907"/>
      <c r="F95" s="1811">
        <f>SUM('Revenues 9-14'!C82,'Revenues 9-14'!D82)</f>
        <v>38233</v>
      </c>
      <c r="G95" s="913"/>
    </row>
    <row r="96" spans="1:7" x14ac:dyDescent="0.2">
      <c r="A96" s="909" t="s">
        <v>479</v>
      </c>
      <c r="B96" s="909" t="s">
        <v>178</v>
      </c>
      <c r="C96" s="911">
        <f>'Revenues 9-14'!B84</f>
        <v>1811</v>
      </c>
      <c r="D96" s="912" t="str">
        <f>'Revenues 9-14'!A84</f>
        <v>Rentals - Regular Textbooks</v>
      </c>
      <c r="E96" s="907"/>
      <c r="F96" s="1811">
        <f>'Revenues 9-14'!C84</f>
        <v>69248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12390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122642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4014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2669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13379</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329091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156153</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134730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350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47647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115011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19290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16705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35752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1181040</v>
      </c>
    </row>
    <row r="179" spans="1:7" ht="12" customHeight="1" x14ac:dyDescent="0.2">
      <c r="A179" s="1792"/>
      <c r="B179" s="1806"/>
      <c r="C179" s="1807"/>
      <c r="D179" s="1808" t="s">
        <v>2015</v>
      </c>
      <c r="E179" s="1809"/>
      <c r="F179" s="1811">
        <f>'PCTC-OEPP 27-28'!F77-F178</f>
        <v>5132154</v>
      </c>
    </row>
    <row r="180" spans="1:7" ht="12" customHeight="1" x14ac:dyDescent="0.2">
      <c r="A180" s="1792"/>
      <c r="B180" s="1806"/>
      <c r="C180" s="1807"/>
      <c r="D180" s="1808" t="s">
        <v>1924</v>
      </c>
      <c r="E180" s="1809"/>
      <c r="F180" s="1811">
        <f>'Cap Outlay Deprec 26'!I18</f>
        <v>557966</v>
      </c>
    </row>
    <row r="181" spans="1:7" ht="12" customHeight="1" x14ac:dyDescent="0.2">
      <c r="A181" s="1792"/>
      <c r="B181" s="1806"/>
      <c r="C181" s="1807"/>
      <c r="D181" s="1808" t="s">
        <v>2016</v>
      </c>
      <c r="E181" s="1809"/>
      <c r="F181" s="1811">
        <f>F179+F180</f>
        <v>5690120</v>
      </c>
    </row>
    <row r="182" spans="1:7" ht="12" customHeight="1" x14ac:dyDescent="0.2">
      <c r="A182" s="1792"/>
      <c r="B182" s="1812"/>
      <c r="C182" s="1807"/>
      <c r="D182" s="1808" t="str">
        <f>D78</f>
        <v>9 Month ADA from District Average Daily Attendance/Prior General State Aid Inquiry 2017-2018</v>
      </c>
      <c r="E182" s="1809"/>
      <c r="F182" s="1813">
        <f>'PCTC-OEPP 27-28'!F78</f>
        <v>617.53</v>
      </c>
      <c r="G182" s="931"/>
    </row>
    <row r="183" spans="1:7" ht="12" customHeight="1" thickBot="1" x14ac:dyDescent="0.25">
      <c r="A183" s="1792"/>
      <c r="B183" s="1812"/>
      <c r="C183" s="1807"/>
      <c r="D183" s="1808" t="s">
        <v>2017</v>
      </c>
      <c r="E183" s="1809" t="s">
        <v>1626</v>
      </c>
      <c r="F183" s="1814">
        <f>F181/F182</f>
        <v>9214.3215714216312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 zoomScaleNormal="100" workbookViewId="0">
      <selection activeCell="D128" sqref="D12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56" t="s">
        <v>1926</v>
      </c>
      <c r="B6" s="1557"/>
      <c r="C6" s="1557"/>
      <c r="D6" s="1557"/>
      <c r="E6" s="1557"/>
      <c r="F6" s="1557"/>
      <c r="G6" s="1558"/>
    </row>
    <row r="7" spans="1:7" ht="30.75" customHeight="1" x14ac:dyDescent="0.25">
      <c r="A7" s="2302" t="s">
        <v>2075</v>
      </c>
      <c r="B7" s="2303"/>
      <c r="C7" s="2303"/>
      <c r="D7" s="2303"/>
      <c r="E7" s="2303"/>
      <c r="F7" s="2303"/>
      <c r="G7" s="2304"/>
    </row>
    <row r="8" spans="1:7" ht="15.75" customHeight="1" x14ac:dyDescent="0.25">
      <c r="A8" s="2305" t="s">
        <v>2024</v>
      </c>
      <c r="B8" s="2306"/>
      <c r="C8" s="2306"/>
      <c r="D8" s="2306"/>
      <c r="E8" s="2306"/>
      <c r="F8" s="2306"/>
      <c r="G8" s="2307"/>
    </row>
    <row r="9" spans="1:7" ht="35.25" customHeight="1" x14ac:dyDescent="0.25">
      <c r="A9" s="2302" t="s">
        <v>2023</v>
      </c>
      <c r="B9" s="2303"/>
      <c r="C9" s="2303"/>
      <c r="D9" s="2303"/>
      <c r="E9" s="2303"/>
      <c r="F9" s="2303"/>
      <c r="G9" s="2304"/>
    </row>
    <row r="10" spans="1:7" ht="15" customHeight="1" x14ac:dyDescent="0.25">
      <c r="A10" s="1559" t="s">
        <v>1927</v>
      </c>
      <c r="B10" s="1560"/>
      <c r="C10" s="1560"/>
      <c r="D10" s="1560"/>
      <c r="E10" s="1560"/>
      <c r="F10" s="1560"/>
      <c r="G10" s="1561"/>
    </row>
    <row r="11" spans="1:7" ht="17.25" customHeight="1" x14ac:dyDescent="0.25">
      <c r="A11" s="2302" t="s">
        <v>1941</v>
      </c>
      <c r="B11" s="2303"/>
      <c r="C11" s="2303"/>
      <c r="D11" s="2303"/>
      <c r="E11" s="2303"/>
      <c r="F11" s="2303"/>
      <c r="G11" s="2304"/>
    </row>
    <row r="12" spans="1:7" ht="15" customHeight="1" x14ac:dyDescent="0.25">
      <c r="A12" s="1559" t="s">
        <v>1932</v>
      </c>
      <c r="B12" s="1560"/>
      <c r="C12" s="1560"/>
      <c r="D12" s="1560"/>
      <c r="E12" s="1560"/>
      <c r="F12" s="1560"/>
      <c r="G12" s="1561"/>
    </row>
    <row r="13" spans="1:7" ht="32.25" customHeight="1" x14ac:dyDescent="0.25">
      <c r="A13" s="2293" t="s">
        <v>1933</v>
      </c>
      <c r="B13" s="2294"/>
      <c r="C13" s="2294"/>
      <c r="D13" s="2294"/>
      <c r="E13" s="2294"/>
      <c r="F13" s="2294"/>
      <c r="G13" s="229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4" t="s">
        <v>2133</v>
      </c>
      <c r="B17" s="1965" t="s">
        <v>2134</v>
      </c>
      <c r="C17" s="1966" t="s">
        <v>2135</v>
      </c>
      <c r="D17" s="1867">
        <v>11366</v>
      </c>
      <c r="E17" s="1562">
        <f>IF(D17&lt;=25000,D17,IF(D17&gt;25000,25000,0))</f>
        <v>11366</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11366</v>
      </c>
      <c r="G17" s="1816">
        <f>IF(F17=0,0,D17-F17)</f>
        <v>0</v>
      </c>
      <c r="H17" s="1669"/>
    </row>
    <row r="18" spans="1:8" x14ac:dyDescent="0.25">
      <c r="A18" s="1675"/>
      <c r="B18" s="1868"/>
      <c r="C18" s="1678"/>
      <c r="D18" s="1867"/>
      <c r="E18" s="1562">
        <f t="shared" ref="E18:E140" si="0">IF(D18&lt;=25000,D18,IF(D18&gt;25000,25000,0))</f>
        <v>0</v>
      </c>
      <c r="F18" s="1815">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2">IF(F18=0,0,D18-F18)</f>
        <v>0</v>
      </c>
    </row>
    <row r="19" spans="1:8" x14ac:dyDescent="0.25">
      <c r="A19" s="1675"/>
      <c r="B19" s="1869"/>
      <c r="C19" s="1678"/>
      <c r="D19" s="1867"/>
      <c r="E19" s="1562">
        <f t="shared" si="0"/>
        <v>0</v>
      </c>
      <c r="F19" s="1815">
        <f t="shared" si="1"/>
        <v>0</v>
      </c>
      <c r="G19" s="1816">
        <f t="shared" si="2"/>
        <v>0</v>
      </c>
    </row>
    <row r="20" spans="1:8" x14ac:dyDescent="0.25">
      <c r="A20" s="1675"/>
      <c r="B20" s="1868"/>
      <c r="C20" s="1678"/>
      <c r="D20" s="1867"/>
      <c r="E20" s="1562">
        <f t="shared" si="0"/>
        <v>0</v>
      </c>
      <c r="F20" s="1815">
        <f t="shared" si="1"/>
        <v>0</v>
      </c>
      <c r="G20" s="1816">
        <f t="shared" si="2"/>
        <v>0</v>
      </c>
    </row>
    <row r="21" spans="1:8" x14ac:dyDescent="0.25">
      <c r="A21" s="1675"/>
      <c r="B21" s="1868"/>
      <c r="C21" s="1678"/>
      <c r="D21" s="1867"/>
      <c r="E21" s="1562">
        <f t="shared" si="0"/>
        <v>0</v>
      </c>
      <c r="F21" s="1815">
        <f t="shared" si="1"/>
        <v>0</v>
      </c>
      <c r="G21" s="1816">
        <f t="shared" si="2"/>
        <v>0</v>
      </c>
    </row>
    <row r="22" spans="1:8" x14ac:dyDescent="0.25">
      <c r="A22" s="1675"/>
      <c r="B22" s="1868"/>
      <c r="C22" s="1678"/>
      <c r="D22" s="1867"/>
      <c r="E22" s="1562">
        <f t="shared" si="0"/>
        <v>0</v>
      </c>
      <c r="F22" s="1815">
        <f t="shared" si="1"/>
        <v>0</v>
      </c>
      <c r="G22" s="1816">
        <f t="shared" si="2"/>
        <v>0</v>
      </c>
    </row>
    <row r="23" spans="1:8" x14ac:dyDescent="0.25">
      <c r="A23" s="1675"/>
      <c r="B23" s="1868"/>
      <c r="C23" s="1678"/>
      <c r="D23" s="1867"/>
      <c r="E23" s="1562">
        <f t="shared" si="0"/>
        <v>0</v>
      </c>
      <c r="F23" s="1815">
        <f t="shared" si="1"/>
        <v>0</v>
      </c>
      <c r="G23" s="1816">
        <f t="shared" si="2"/>
        <v>0</v>
      </c>
    </row>
    <row r="24" spans="1:8" x14ac:dyDescent="0.25">
      <c r="A24" s="1675"/>
      <c r="B24" s="1869"/>
      <c r="C24" s="1678"/>
      <c r="D24" s="1867"/>
      <c r="E24" s="1562">
        <f t="shared" si="0"/>
        <v>0</v>
      </c>
      <c r="F24" s="1815">
        <f t="shared" si="1"/>
        <v>0</v>
      </c>
      <c r="G24" s="1816">
        <f t="shared" si="2"/>
        <v>0</v>
      </c>
    </row>
    <row r="25" spans="1:8" x14ac:dyDescent="0.25">
      <c r="A25" s="1675"/>
      <c r="B25" s="1868"/>
      <c r="C25" s="1678"/>
      <c r="D25" s="1867"/>
      <c r="E25" s="1562">
        <f t="shared" si="0"/>
        <v>0</v>
      </c>
      <c r="F25" s="1815">
        <f t="shared" si="1"/>
        <v>0</v>
      </c>
      <c r="G25" s="1816">
        <f t="shared" si="2"/>
        <v>0</v>
      </c>
    </row>
    <row r="26" spans="1:8" x14ac:dyDescent="0.25">
      <c r="A26" s="1675"/>
      <c r="B26" s="1869"/>
      <c r="C26" s="1676"/>
      <c r="D26" s="1867"/>
      <c r="E26" s="1562">
        <f t="shared" si="0"/>
        <v>0</v>
      </c>
      <c r="F26" s="1815">
        <f t="shared" si="1"/>
        <v>0</v>
      </c>
      <c r="G26" s="1816">
        <f t="shared" si="2"/>
        <v>0</v>
      </c>
    </row>
    <row r="27" spans="1:8" x14ac:dyDescent="0.25">
      <c r="A27" s="1675"/>
      <c r="B27" s="1869"/>
      <c r="C27" s="1676"/>
      <c r="D27" s="1867"/>
      <c r="E27" s="1562">
        <f t="shared" si="0"/>
        <v>0</v>
      </c>
      <c r="F27" s="1815">
        <f t="shared" si="1"/>
        <v>0</v>
      </c>
      <c r="G27" s="1816">
        <f t="shared" si="2"/>
        <v>0</v>
      </c>
    </row>
    <row r="28" spans="1:8" x14ac:dyDescent="0.25">
      <c r="A28" s="1675"/>
      <c r="B28" s="1869"/>
      <c r="C28" s="1676"/>
      <c r="D28" s="1867"/>
      <c r="E28" s="1562">
        <f t="shared" si="0"/>
        <v>0</v>
      </c>
      <c r="F28" s="1815">
        <f t="shared" si="1"/>
        <v>0</v>
      </c>
      <c r="G28" s="1816">
        <f t="shared" si="2"/>
        <v>0</v>
      </c>
    </row>
    <row r="29" spans="1:8" x14ac:dyDescent="0.25">
      <c r="A29" s="1675"/>
      <c r="B29" s="1869"/>
      <c r="C29" s="1676"/>
      <c r="D29" s="1867"/>
      <c r="E29" s="1562">
        <f t="shared" si="0"/>
        <v>0</v>
      </c>
      <c r="F29" s="1815">
        <f t="shared" si="1"/>
        <v>0</v>
      </c>
      <c r="G29" s="1816">
        <f t="shared" si="2"/>
        <v>0</v>
      </c>
    </row>
    <row r="30" spans="1:8" x14ac:dyDescent="0.25">
      <c r="A30" s="1675"/>
      <c r="B30" s="1869"/>
      <c r="C30" s="1676"/>
      <c r="D30" s="1867"/>
      <c r="E30" s="1562">
        <f t="shared" si="0"/>
        <v>0</v>
      </c>
      <c r="F30" s="1815">
        <f t="shared" si="1"/>
        <v>0</v>
      </c>
      <c r="G30" s="1816">
        <f t="shared" si="2"/>
        <v>0</v>
      </c>
    </row>
    <row r="31" spans="1:8" x14ac:dyDescent="0.25">
      <c r="A31" s="1675"/>
      <c r="B31" s="1869"/>
      <c r="C31" s="1676"/>
      <c r="D31" s="1867"/>
      <c r="E31" s="1562">
        <f t="shared" si="0"/>
        <v>0</v>
      </c>
      <c r="F31" s="1815">
        <f t="shared" si="1"/>
        <v>0</v>
      </c>
      <c r="G31" s="1816">
        <f t="shared" si="2"/>
        <v>0</v>
      </c>
    </row>
    <row r="32" spans="1:8" x14ac:dyDescent="0.25">
      <c r="A32" s="1675"/>
      <c r="B32" s="1869"/>
      <c r="C32" s="1676"/>
      <c r="D32" s="1867"/>
      <c r="E32" s="1562">
        <f t="shared" si="0"/>
        <v>0</v>
      </c>
      <c r="F32" s="1815">
        <f t="shared" si="1"/>
        <v>0</v>
      </c>
      <c r="G32" s="1816">
        <f t="shared" si="2"/>
        <v>0</v>
      </c>
    </row>
    <row r="33" spans="1:7" x14ac:dyDescent="0.25">
      <c r="A33" s="1675"/>
      <c r="B33" s="1869"/>
      <c r="C33" s="1676"/>
      <c r="D33" s="1867"/>
      <c r="E33" s="1562">
        <f t="shared" si="0"/>
        <v>0</v>
      </c>
      <c r="F33" s="1815">
        <f t="shared" si="1"/>
        <v>0</v>
      </c>
      <c r="G33" s="1816">
        <f t="shared" si="2"/>
        <v>0</v>
      </c>
    </row>
    <row r="34" spans="1:7" x14ac:dyDescent="0.25">
      <c r="A34" s="1675"/>
      <c r="B34" s="1869"/>
      <c r="C34" s="1676"/>
      <c r="D34" s="1867"/>
      <c r="E34" s="1562">
        <f t="shared" si="0"/>
        <v>0</v>
      </c>
      <c r="F34" s="1815">
        <f t="shared" si="1"/>
        <v>0</v>
      </c>
      <c r="G34" s="1816">
        <f t="shared" si="2"/>
        <v>0</v>
      </c>
    </row>
    <row r="35" spans="1:7" x14ac:dyDescent="0.25">
      <c r="A35" s="1675"/>
      <c r="B35" s="1869"/>
      <c r="C35" s="1676"/>
      <c r="D35" s="1867"/>
      <c r="E35" s="1562">
        <f t="shared" si="0"/>
        <v>0</v>
      </c>
      <c r="F35" s="1815">
        <f t="shared" si="1"/>
        <v>0</v>
      </c>
      <c r="G35" s="1816">
        <f t="shared" si="2"/>
        <v>0</v>
      </c>
    </row>
    <row r="36" spans="1:7" x14ac:dyDescent="0.25">
      <c r="A36" s="1675"/>
      <c r="B36" s="1869"/>
      <c r="C36" s="1676"/>
      <c r="D36" s="1867"/>
      <c r="E36" s="1562">
        <f t="shared" si="0"/>
        <v>0</v>
      </c>
      <c r="F36" s="1815">
        <f t="shared" si="1"/>
        <v>0</v>
      </c>
      <c r="G36" s="1816">
        <f t="shared" si="2"/>
        <v>0</v>
      </c>
    </row>
    <row r="37" spans="1:7" x14ac:dyDescent="0.25">
      <c r="A37" s="1675"/>
      <c r="B37" s="1869"/>
      <c r="C37" s="1676"/>
      <c r="D37" s="1867"/>
      <c r="E37" s="1562">
        <f t="shared" si="0"/>
        <v>0</v>
      </c>
      <c r="F37" s="1815">
        <f t="shared" si="1"/>
        <v>0</v>
      </c>
      <c r="G37" s="1816">
        <f t="shared" si="2"/>
        <v>0</v>
      </c>
    </row>
    <row r="38" spans="1:7" x14ac:dyDescent="0.25">
      <c r="A38" s="1675"/>
      <c r="B38" s="1689"/>
      <c r="C38" s="1676"/>
      <c r="D38" s="1867"/>
      <c r="E38" s="1562">
        <f t="shared" si="0"/>
        <v>0</v>
      </c>
      <c r="F38" s="1815">
        <f t="shared" si="1"/>
        <v>0</v>
      </c>
      <c r="G38" s="1816">
        <f t="shared" si="2"/>
        <v>0</v>
      </c>
    </row>
    <row r="39" spans="1:7" x14ac:dyDescent="0.25">
      <c r="A39" s="1675"/>
      <c r="B39" s="1689"/>
      <c r="C39" s="1676"/>
      <c r="D39" s="1867"/>
      <c r="E39" s="1562">
        <f t="shared" si="0"/>
        <v>0</v>
      </c>
      <c r="F39" s="1815">
        <f t="shared" si="1"/>
        <v>0</v>
      </c>
      <c r="G39" s="1816">
        <f t="shared" si="2"/>
        <v>0</v>
      </c>
    </row>
    <row r="40" spans="1:7" x14ac:dyDescent="0.25">
      <c r="A40" s="1675"/>
      <c r="B40" s="1689"/>
      <c r="C40" s="1676"/>
      <c r="D40" s="1867"/>
      <c r="E40" s="1562">
        <f t="shared" si="0"/>
        <v>0</v>
      </c>
      <c r="F40" s="1815">
        <f t="shared" si="1"/>
        <v>0</v>
      </c>
      <c r="G40" s="1816">
        <f t="shared" si="2"/>
        <v>0</v>
      </c>
    </row>
    <row r="41" spans="1:7" x14ac:dyDescent="0.25">
      <c r="A41" s="1675"/>
      <c r="B41" s="1689"/>
      <c r="C41" s="1676"/>
      <c r="D41" s="1867"/>
      <c r="E41" s="1562">
        <f t="shared" si="0"/>
        <v>0</v>
      </c>
      <c r="F41" s="1815">
        <f t="shared" si="1"/>
        <v>0</v>
      </c>
      <c r="G41" s="1816">
        <f t="shared" si="2"/>
        <v>0</v>
      </c>
    </row>
    <row r="42" spans="1:7" x14ac:dyDescent="0.25">
      <c r="A42" s="1675"/>
      <c r="B42" s="1689"/>
      <c r="C42" s="1676"/>
      <c r="D42" s="1867"/>
      <c r="E42" s="1562">
        <f t="shared" si="0"/>
        <v>0</v>
      </c>
      <c r="F42" s="1815">
        <f t="shared" si="1"/>
        <v>0</v>
      </c>
      <c r="G42" s="1816">
        <f t="shared" si="2"/>
        <v>0</v>
      </c>
    </row>
    <row r="43" spans="1:7" x14ac:dyDescent="0.25">
      <c r="A43" s="1675"/>
      <c r="B43" s="1689"/>
      <c r="C43" s="1676"/>
      <c r="D43" s="1867"/>
      <c r="E43" s="1562">
        <f t="shared" si="0"/>
        <v>0</v>
      </c>
      <c r="F43" s="1815">
        <f t="shared" si="1"/>
        <v>0</v>
      </c>
      <c r="G43" s="1816">
        <f t="shared" si="2"/>
        <v>0</v>
      </c>
    </row>
    <row r="44" spans="1:7" x14ac:dyDescent="0.25">
      <c r="A44" s="1675"/>
      <c r="B44" s="1689"/>
      <c r="C44" s="1676"/>
      <c r="D44" s="1867"/>
      <c r="E44" s="1562">
        <f t="shared" si="0"/>
        <v>0</v>
      </c>
      <c r="F44" s="1815">
        <f t="shared" si="1"/>
        <v>0</v>
      </c>
      <c r="G44" s="1816">
        <f t="shared" si="2"/>
        <v>0</v>
      </c>
    </row>
    <row r="45" spans="1:7" x14ac:dyDescent="0.25">
      <c r="A45" s="1675"/>
      <c r="B45" s="1689"/>
      <c r="C45" s="1676"/>
      <c r="D45" s="1867"/>
      <c r="E45" s="1562">
        <f t="shared" si="0"/>
        <v>0</v>
      </c>
      <c r="F45" s="1815">
        <f t="shared" si="1"/>
        <v>0</v>
      </c>
      <c r="G45" s="1816">
        <f t="shared" si="2"/>
        <v>0</v>
      </c>
    </row>
    <row r="46" spans="1:7" x14ac:dyDescent="0.25">
      <c r="A46" s="1675"/>
      <c r="B46" s="1689"/>
      <c r="C46" s="1676"/>
      <c r="D46" s="1867"/>
      <c r="E46" s="1562">
        <f t="shared" si="0"/>
        <v>0</v>
      </c>
      <c r="F46" s="1815">
        <f t="shared" si="1"/>
        <v>0</v>
      </c>
      <c r="G46" s="1816">
        <f t="shared" si="2"/>
        <v>0</v>
      </c>
    </row>
    <row r="47" spans="1:7" x14ac:dyDescent="0.25">
      <c r="A47" s="1675"/>
      <c r="B47" s="1689"/>
      <c r="C47" s="1676"/>
      <c r="D47" s="1867"/>
      <c r="E47" s="1562">
        <f t="shared" si="0"/>
        <v>0</v>
      </c>
      <c r="F47" s="1815">
        <f t="shared" si="1"/>
        <v>0</v>
      </c>
      <c r="G47" s="1816">
        <f t="shared" si="2"/>
        <v>0</v>
      </c>
    </row>
    <row r="48" spans="1:7" x14ac:dyDescent="0.25">
      <c r="A48" s="1675"/>
      <c r="B48" s="1689"/>
      <c r="C48" s="1676"/>
      <c r="D48" s="1867"/>
      <c r="E48" s="1562">
        <f t="shared" si="0"/>
        <v>0</v>
      </c>
      <c r="F48" s="1815">
        <f t="shared" si="1"/>
        <v>0</v>
      </c>
      <c r="G48" s="1816">
        <f t="shared" si="2"/>
        <v>0</v>
      </c>
    </row>
    <row r="49" spans="1:7" x14ac:dyDescent="0.25">
      <c r="A49" s="1675"/>
      <c r="B49" s="1689"/>
      <c r="C49" s="1676"/>
      <c r="D49" s="1867"/>
      <c r="E49" s="1562">
        <f t="shared" si="0"/>
        <v>0</v>
      </c>
      <c r="F49" s="1815">
        <f t="shared" si="1"/>
        <v>0</v>
      </c>
      <c r="G49" s="1816">
        <f t="shared" si="2"/>
        <v>0</v>
      </c>
    </row>
    <row r="50" spans="1:7" x14ac:dyDescent="0.25">
      <c r="A50" s="1675"/>
      <c r="B50" s="1689"/>
      <c r="C50" s="1676"/>
      <c r="D50" s="1867"/>
      <c r="E50" s="1562">
        <f t="shared" si="0"/>
        <v>0</v>
      </c>
      <c r="F50" s="1815">
        <f t="shared" si="1"/>
        <v>0</v>
      </c>
      <c r="G50" s="1816">
        <f t="shared" si="2"/>
        <v>0</v>
      </c>
    </row>
    <row r="51" spans="1:7" x14ac:dyDescent="0.25">
      <c r="A51" s="1675"/>
      <c r="B51" s="1689"/>
      <c r="C51" s="1676"/>
      <c r="D51" s="1867"/>
      <c r="E51" s="1562">
        <f t="shared" si="0"/>
        <v>0</v>
      </c>
      <c r="F51" s="1815">
        <f t="shared" si="1"/>
        <v>0</v>
      </c>
      <c r="G51" s="1816">
        <f t="shared" si="2"/>
        <v>0</v>
      </c>
    </row>
    <row r="52" spans="1:7" x14ac:dyDescent="0.25">
      <c r="A52" s="1675"/>
      <c r="B52" s="1689"/>
      <c r="C52" s="1676"/>
      <c r="D52" s="1867"/>
      <c r="E52" s="1562">
        <f t="shared" si="0"/>
        <v>0</v>
      </c>
      <c r="F52" s="1815">
        <f t="shared" si="1"/>
        <v>0</v>
      </c>
      <c r="G52" s="1816">
        <f t="shared" si="2"/>
        <v>0</v>
      </c>
    </row>
    <row r="53" spans="1:7" x14ac:dyDescent="0.25">
      <c r="A53" s="1675"/>
      <c r="B53" s="1689"/>
      <c r="C53" s="1676"/>
      <c r="D53" s="1867"/>
      <c r="E53" s="1562">
        <f t="shared" si="0"/>
        <v>0</v>
      </c>
      <c r="F53" s="1815">
        <f t="shared" si="1"/>
        <v>0</v>
      </c>
      <c r="G53" s="1816">
        <f t="shared" si="2"/>
        <v>0</v>
      </c>
    </row>
    <row r="54" spans="1:7" x14ac:dyDescent="0.25">
      <c r="A54" s="1675"/>
      <c r="B54" s="1689"/>
      <c r="C54" s="1676"/>
      <c r="D54" s="1867"/>
      <c r="E54" s="1562">
        <f t="shared" si="0"/>
        <v>0</v>
      </c>
      <c r="F54" s="1815">
        <f t="shared" si="1"/>
        <v>0</v>
      </c>
      <c r="G54" s="1816">
        <f t="shared" si="2"/>
        <v>0</v>
      </c>
    </row>
    <row r="55" spans="1:7" x14ac:dyDescent="0.25">
      <c r="A55" s="1675"/>
      <c r="B55" s="1689"/>
      <c r="C55" s="1676"/>
      <c r="D55" s="1867"/>
      <c r="E55" s="1562">
        <f t="shared" si="0"/>
        <v>0</v>
      </c>
      <c r="F55" s="1815">
        <f t="shared" si="1"/>
        <v>0</v>
      </c>
      <c r="G55" s="1816">
        <f t="shared" si="2"/>
        <v>0</v>
      </c>
    </row>
    <row r="56" spans="1:7" x14ac:dyDescent="0.25">
      <c r="A56" s="1675"/>
      <c r="B56" s="1689"/>
      <c r="C56" s="1676"/>
      <c r="D56" s="1867"/>
      <c r="E56" s="1562">
        <f t="shared" si="0"/>
        <v>0</v>
      </c>
      <c r="F56" s="1815">
        <f t="shared" si="1"/>
        <v>0</v>
      </c>
      <c r="G56" s="1816">
        <f t="shared" si="2"/>
        <v>0</v>
      </c>
    </row>
    <row r="57" spans="1:7" x14ac:dyDescent="0.25">
      <c r="A57" s="1675"/>
      <c r="B57" s="1689"/>
      <c r="C57" s="1676"/>
      <c r="D57" s="1867"/>
      <c r="E57" s="1562">
        <f t="shared" si="0"/>
        <v>0</v>
      </c>
      <c r="F57" s="1815">
        <f t="shared" si="1"/>
        <v>0</v>
      </c>
      <c r="G57" s="1816">
        <f t="shared" si="2"/>
        <v>0</v>
      </c>
    </row>
    <row r="58" spans="1:7" x14ac:dyDescent="0.25">
      <c r="A58" s="1675"/>
      <c r="B58" s="1689"/>
      <c r="C58" s="1676"/>
      <c r="D58" s="1867"/>
      <c r="E58" s="1562">
        <f t="shared" si="0"/>
        <v>0</v>
      </c>
      <c r="F58" s="1815">
        <f t="shared" si="1"/>
        <v>0</v>
      </c>
      <c r="G58" s="1816">
        <f t="shared" si="2"/>
        <v>0</v>
      </c>
    </row>
    <row r="59" spans="1:7" x14ac:dyDescent="0.25">
      <c r="A59" s="1675"/>
      <c r="B59" s="1689"/>
      <c r="C59" s="1676"/>
      <c r="D59" s="1867"/>
      <c r="E59" s="1562">
        <f t="shared" si="0"/>
        <v>0</v>
      </c>
      <c r="F59" s="1815">
        <f t="shared" si="1"/>
        <v>0</v>
      </c>
      <c r="G59" s="1816">
        <f t="shared" si="2"/>
        <v>0</v>
      </c>
    </row>
    <row r="60" spans="1:7" x14ac:dyDescent="0.25">
      <c r="A60" s="1675"/>
      <c r="B60" s="1689"/>
      <c r="C60" s="1676"/>
      <c r="D60" s="1867"/>
      <c r="E60" s="1562">
        <f t="shared" si="0"/>
        <v>0</v>
      </c>
      <c r="F60" s="1815">
        <f t="shared" si="1"/>
        <v>0</v>
      </c>
      <c r="G60" s="1816">
        <f t="shared" si="2"/>
        <v>0</v>
      </c>
    </row>
    <row r="61" spans="1:7" x14ac:dyDescent="0.25">
      <c r="A61" s="1675"/>
      <c r="B61" s="1689"/>
      <c r="C61" s="1676"/>
      <c r="D61" s="1867"/>
      <c r="E61" s="1562">
        <f t="shared" si="0"/>
        <v>0</v>
      </c>
      <c r="F61" s="1815">
        <f t="shared" si="1"/>
        <v>0</v>
      </c>
      <c r="G61" s="1816">
        <f t="shared" si="2"/>
        <v>0</v>
      </c>
    </row>
    <row r="62" spans="1:7" x14ac:dyDescent="0.25">
      <c r="A62" s="1675"/>
      <c r="B62" s="1689"/>
      <c r="C62" s="1676"/>
      <c r="D62" s="1867"/>
      <c r="E62" s="1562">
        <f t="shared" si="0"/>
        <v>0</v>
      </c>
      <c r="F62" s="1815">
        <f t="shared" si="1"/>
        <v>0</v>
      </c>
      <c r="G62" s="1816">
        <f t="shared" si="2"/>
        <v>0</v>
      </c>
    </row>
    <row r="63" spans="1:7" x14ac:dyDescent="0.25">
      <c r="A63" s="1675"/>
      <c r="B63" s="1689"/>
      <c r="C63" s="1676"/>
      <c r="D63" s="1867"/>
      <c r="E63" s="1562">
        <f t="shared" si="0"/>
        <v>0</v>
      </c>
      <c r="F63" s="1815">
        <f t="shared" si="1"/>
        <v>0</v>
      </c>
      <c r="G63" s="1816">
        <f t="shared" si="2"/>
        <v>0</v>
      </c>
    </row>
    <row r="64" spans="1:7" x14ac:dyDescent="0.25">
      <c r="A64" s="1677"/>
      <c r="B64" s="1689"/>
      <c r="C64" s="1678"/>
      <c r="D64" s="1867"/>
      <c r="E64" s="1562">
        <f t="shared" si="0"/>
        <v>0</v>
      </c>
      <c r="F64" s="1815">
        <f t="shared" si="1"/>
        <v>0</v>
      </c>
      <c r="G64" s="1816">
        <f t="shared" si="2"/>
        <v>0</v>
      </c>
    </row>
    <row r="65" spans="1:7" x14ac:dyDescent="0.25">
      <c r="A65" s="1675"/>
      <c r="B65" s="1689"/>
      <c r="C65" s="1676"/>
      <c r="D65" s="1867"/>
      <c r="E65" s="1562">
        <f t="shared" si="0"/>
        <v>0</v>
      </c>
      <c r="F65" s="1815">
        <f t="shared" si="1"/>
        <v>0</v>
      </c>
      <c r="G65" s="1816">
        <f t="shared" si="2"/>
        <v>0</v>
      </c>
    </row>
    <row r="66" spans="1:7" x14ac:dyDescent="0.25">
      <c r="A66" s="1675"/>
      <c r="B66" s="1689"/>
      <c r="C66" s="1676"/>
      <c r="D66" s="1867"/>
      <c r="E66" s="1562">
        <f t="shared" si="0"/>
        <v>0</v>
      </c>
      <c r="F66" s="1815">
        <f t="shared" si="1"/>
        <v>0</v>
      </c>
      <c r="G66" s="1816">
        <f t="shared" si="2"/>
        <v>0</v>
      </c>
    </row>
    <row r="67" spans="1:7" x14ac:dyDescent="0.25">
      <c r="A67" s="1675"/>
      <c r="B67" s="1689"/>
      <c r="C67" s="1676"/>
      <c r="D67" s="1867"/>
      <c r="E67" s="1562">
        <f t="shared" si="0"/>
        <v>0</v>
      </c>
      <c r="F67" s="1815">
        <f t="shared" si="1"/>
        <v>0</v>
      </c>
      <c r="G67" s="1816">
        <f t="shared" si="2"/>
        <v>0</v>
      </c>
    </row>
    <row r="68" spans="1:7" x14ac:dyDescent="0.25">
      <c r="A68" s="1675"/>
      <c r="B68" s="1689"/>
      <c r="C68" s="1676"/>
      <c r="D68" s="1867"/>
      <c r="E68" s="1562">
        <f t="shared" si="0"/>
        <v>0</v>
      </c>
      <c r="F68" s="1815">
        <f t="shared" si="1"/>
        <v>0</v>
      </c>
      <c r="G68" s="1816">
        <f t="shared" si="2"/>
        <v>0</v>
      </c>
    </row>
    <row r="69" spans="1:7" x14ac:dyDescent="0.25">
      <c r="A69" s="1675"/>
      <c r="B69" s="1689"/>
      <c r="C69" s="1676"/>
      <c r="D69" s="1867"/>
      <c r="E69" s="1562">
        <f t="shared" si="0"/>
        <v>0</v>
      </c>
      <c r="F69" s="1815">
        <f t="shared" si="1"/>
        <v>0</v>
      </c>
      <c r="G69" s="1816">
        <f t="shared" si="2"/>
        <v>0</v>
      </c>
    </row>
    <row r="70" spans="1:7" x14ac:dyDescent="0.25">
      <c r="A70" s="1675"/>
      <c r="B70" s="1689"/>
      <c r="C70" s="1676"/>
      <c r="D70" s="1867"/>
      <c r="E70" s="1562">
        <f t="shared" si="0"/>
        <v>0</v>
      </c>
      <c r="F70" s="1815">
        <f t="shared" si="1"/>
        <v>0</v>
      </c>
      <c r="G70" s="1816">
        <f t="shared" si="2"/>
        <v>0</v>
      </c>
    </row>
    <row r="71" spans="1:7" x14ac:dyDescent="0.25">
      <c r="A71" s="1675"/>
      <c r="B71" s="1689"/>
      <c r="C71" s="1676"/>
      <c r="D71" s="1867"/>
      <c r="E71" s="1562">
        <f t="shared" si="0"/>
        <v>0</v>
      </c>
      <c r="F71" s="1815">
        <f t="shared" si="1"/>
        <v>0</v>
      </c>
      <c r="G71" s="1816">
        <f t="shared" si="2"/>
        <v>0</v>
      </c>
    </row>
    <row r="72" spans="1:7" x14ac:dyDescent="0.25">
      <c r="A72" s="1675"/>
      <c r="B72" s="1689"/>
      <c r="C72" s="1676"/>
      <c r="D72" s="1867"/>
      <c r="E72" s="1562">
        <f t="shared" si="0"/>
        <v>0</v>
      </c>
      <c r="F72" s="1815">
        <f t="shared" si="1"/>
        <v>0</v>
      </c>
      <c r="G72" s="1816">
        <f t="shared" si="2"/>
        <v>0</v>
      </c>
    </row>
    <row r="73" spans="1:7" x14ac:dyDescent="0.25">
      <c r="A73" s="1675"/>
      <c r="B73" s="1689"/>
      <c r="C73" s="1676"/>
      <c r="D73" s="1867"/>
      <c r="E73" s="1562">
        <f t="shared" ref="E73:E84" si="3">IF(D73&lt;=25000,D73,IF(D73&gt;25000,25000,0))</f>
        <v>0</v>
      </c>
      <c r="F73" s="1815">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5">IF(F73=0,0,D73-F73)</f>
        <v>0</v>
      </c>
    </row>
    <row r="74" spans="1:7" x14ac:dyDescent="0.25">
      <c r="A74" s="1675"/>
      <c r="B74" s="1689"/>
      <c r="C74" s="1676"/>
      <c r="D74" s="1867"/>
      <c r="E74" s="1562">
        <f t="shared" si="3"/>
        <v>0</v>
      </c>
      <c r="F74" s="1815">
        <f t="shared" si="4"/>
        <v>0</v>
      </c>
      <c r="G74" s="1816">
        <f t="shared" si="5"/>
        <v>0</v>
      </c>
    </row>
    <row r="75" spans="1:7" x14ac:dyDescent="0.25">
      <c r="A75" s="1675"/>
      <c r="B75" s="1689"/>
      <c r="C75" s="1676"/>
      <c r="D75" s="1867"/>
      <c r="E75" s="1562">
        <f t="shared" si="3"/>
        <v>0</v>
      </c>
      <c r="F75" s="1815">
        <f t="shared" si="4"/>
        <v>0</v>
      </c>
      <c r="G75" s="1816">
        <f t="shared" si="5"/>
        <v>0</v>
      </c>
    </row>
    <row r="76" spans="1:7" x14ac:dyDescent="0.25">
      <c r="A76" s="1675"/>
      <c r="B76" s="1689"/>
      <c r="C76" s="1676"/>
      <c r="D76" s="1867"/>
      <c r="E76" s="1562">
        <f t="shared" si="3"/>
        <v>0</v>
      </c>
      <c r="F76" s="1815">
        <f t="shared" si="4"/>
        <v>0</v>
      </c>
      <c r="G76" s="1816">
        <f t="shared" si="5"/>
        <v>0</v>
      </c>
    </row>
    <row r="77" spans="1:7" x14ac:dyDescent="0.25">
      <c r="A77" s="1675"/>
      <c r="B77" s="1689"/>
      <c r="C77" s="1676"/>
      <c r="D77" s="1867"/>
      <c r="E77" s="1562">
        <f t="shared" si="3"/>
        <v>0</v>
      </c>
      <c r="F77" s="1815">
        <f t="shared" si="4"/>
        <v>0</v>
      </c>
      <c r="G77" s="1816">
        <f t="shared" si="5"/>
        <v>0</v>
      </c>
    </row>
    <row r="78" spans="1:7" x14ac:dyDescent="0.25">
      <c r="A78" s="1675"/>
      <c r="B78" s="1689"/>
      <c r="C78" s="1676"/>
      <c r="D78" s="1867"/>
      <c r="E78" s="1562">
        <f t="shared" si="3"/>
        <v>0</v>
      </c>
      <c r="F78" s="1815">
        <f t="shared" si="4"/>
        <v>0</v>
      </c>
      <c r="G78" s="1816">
        <f t="shared" si="5"/>
        <v>0</v>
      </c>
    </row>
    <row r="79" spans="1:7" x14ac:dyDescent="0.25">
      <c r="A79" s="1675"/>
      <c r="B79" s="1689"/>
      <c r="C79" s="1676"/>
      <c r="D79" s="1867"/>
      <c r="E79" s="1562">
        <f t="shared" si="3"/>
        <v>0</v>
      </c>
      <c r="F79" s="1815">
        <f t="shared" si="4"/>
        <v>0</v>
      </c>
      <c r="G79" s="1816">
        <f t="shared" si="5"/>
        <v>0</v>
      </c>
    </row>
    <row r="80" spans="1:7" x14ac:dyDescent="0.25">
      <c r="A80" s="1675"/>
      <c r="B80" s="1689"/>
      <c r="C80" s="1676"/>
      <c r="D80" s="1867"/>
      <c r="E80" s="1562">
        <f t="shared" si="3"/>
        <v>0</v>
      </c>
      <c r="F80" s="1815">
        <f t="shared" si="4"/>
        <v>0</v>
      </c>
      <c r="G80" s="1816">
        <f t="shared" si="5"/>
        <v>0</v>
      </c>
    </row>
    <row r="81" spans="1:7" x14ac:dyDescent="0.25">
      <c r="A81" s="1675"/>
      <c r="B81" s="1689"/>
      <c r="C81" s="1676"/>
      <c r="D81" s="1867"/>
      <c r="E81" s="1562">
        <f t="shared" si="3"/>
        <v>0</v>
      </c>
      <c r="F81" s="1815">
        <f t="shared" si="4"/>
        <v>0</v>
      </c>
      <c r="G81" s="1816">
        <f t="shared" si="5"/>
        <v>0</v>
      </c>
    </row>
    <row r="82" spans="1:7" x14ac:dyDescent="0.25">
      <c r="A82" s="1675"/>
      <c r="B82" s="1689"/>
      <c r="C82" s="1676"/>
      <c r="D82" s="1867"/>
      <c r="E82" s="1562">
        <f t="shared" si="3"/>
        <v>0</v>
      </c>
      <c r="F82" s="1815">
        <f t="shared" si="4"/>
        <v>0</v>
      </c>
      <c r="G82" s="1816">
        <f t="shared" si="5"/>
        <v>0</v>
      </c>
    </row>
    <row r="83" spans="1:7" x14ac:dyDescent="0.25">
      <c r="A83" s="1675"/>
      <c r="B83" s="1689"/>
      <c r="C83" s="1676"/>
      <c r="D83" s="1867"/>
      <c r="E83" s="1562">
        <f t="shared" si="3"/>
        <v>0</v>
      </c>
      <c r="F83" s="1815">
        <f t="shared" si="4"/>
        <v>0</v>
      </c>
      <c r="G83" s="1816">
        <f t="shared" si="5"/>
        <v>0</v>
      </c>
    </row>
    <row r="84" spans="1:7" x14ac:dyDescent="0.25">
      <c r="A84" s="1675"/>
      <c r="B84" s="1689"/>
      <c r="C84" s="1676"/>
      <c r="D84" s="1867"/>
      <c r="E84" s="1562">
        <f t="shared" si="3"/>
        <v>0</v>
      </c>
      <c r="F84" s="1815">
        <f t="shared" si="4"/>
        <v>0</v>
      </c>
      <c r="G84" s="1816">
        <f t="shared" si="5"/>
        <v>0</v>
      </c>
    </row>
    <row r="85" spans="1:7" x14ac:dyDescent="0.25">
      <c r="A85" s="1675"/>
      <c r="B85" s="1689"/>
      <c r="C85" s="1676"/>
      <c r="D85" s="1867"/>
      <c r="E85" s="1562">
        <f t="shared" si="0"/>
        <v>0</v>
      </c>
      <c r="F85" s="1815">
        <f t="shared" si="1"/>
        <v>0</v>
      </c>
      <c r="G85" s="1816">
        <f t="shared" si="2"/>
        <v>0</v>
      </c>
    </row>
    <row r="86" spans="1:7" x14ac:dyDescent="0.25">
      <c r="A86" s="1675"/>
      <c r="B86" s="1689"/>
      <c r="C86" s="1676"/>
      <c r="D86" s="1867"/>
      <c r="E86" s="1562">
        <f t="shared" si="0"/>
        <v>0</v>
      </c>
      <c r="F86" s="1815">
        <f t="shared" si="1"/>
        <v>0</v>
      </c>
      <c r="G86" s="1816">
        <f t="shared" si="2"/>
        <v>0</v>
      </c>
    </row>
    <row r="87" spans="1:7" x14ac:dyDescent="0.25">
      <c r="A87" s="1675"/>
      <c r="B87" s="1689"/>
      <c r="C87" s="1676"/>
      <c r="D87" s="1867"/>
      <c r="E87" s="1562">
        <f t="shared" si="0"/>
        <v>0</v>
      </c>
      <c r="F87" s="1815">
        <f t="shared" si="1"/>
        <v>0</v>
      </c>
      <c r="G87" s="1816">
        <f t="shared" si="2"/>
        <v>0</v>
      </c>
    </row>
    <row r="88" spans="1:7" x14ac:dyDescent="0.25">
      <c r="A88" s="1675"/>
      <c r="B88" s="1689"/>
      <c r="C88" s="1676"/>
      <c r="D88" s="1867"/>
      <c r="E88" s="1562">
        <f t="shared" si="0"/>
        <v>0</v>
      </c>
      <c r="F88" s="1815">
        <f t="shared" si="1"/>
        <v>0</v>
      </c>
      <c r="G88" s="1816">
        <f t="shared" si="2"/>
        <v>0</v>
      </c>
    </row>
    <row r="89" spans="1:7" x14ac:dyDescent="0.25">
      <c r="A89" s="1675"/>
      <c r="B89" s="1689"/>
      <c r="C89" s="1676"/>
      <c r="D89" s="1867"/>
      <c r="E89" s="1562">
        <f t="shared" si="0"/>
        <v>0</v>
      </c>
      <c r="F89" s="1815">
        <f t="shared" si="1"/>
        <v>0</v>
      </c>
      <c r="G89" s="1816">
        <f t="shared" si="2"/>
        <v>0</v>
      </c>
    </row>
    <row r="90" spans="1:7" x14ac:dyDescent="0.25">
      <c r="A90" s="1675"/>
      <c r="B90" s="1689"/>
      <c r="C90" s="1676"/>
      <c r="D90" s="1867"/>
      <c r="E90" s="1562">
        <f t="shared" si="0"/>
        <v>0</v>
      </c>
      <c r="F90" s="1815">
        <f t="shared" si="1"/>
        <v>0</v>
      </c>
      <c r="G90" s="1816">
        <f t="shared" si="2"/>
        <v>0</v>
      </c>
    </row>
    <row r="91" spans="1:7" x14ac:dyDescent="0.25">
      <c r="A91" s="1675"/>
      <c r="B91" s="1689"/>
      <c r="C91" s="1676"/>
      <c r="D91" s="1867"/>
      <c r="E91" s="1562">
        <f t="shared" si="0"/>
        <v>0</v>
      </c>
      <c r="F91" s="1815">
        <f t="shared" si="1"/>
        <v>0</v>
      </c>
      <c r="G91" s="1816">
        <f t="shared" si="2"/>
        <v>0</v>
      </c>
    </row>
    <row r="92" spans="1:7" x14ac:dyDescent="0.25">
      <c r="A92" s="1675"/>
      <c r="B92" s="1689"/>
      <c r="C92" s="1676"/>
      <c r="D92" s="1867"/>
      <c r="E92" s="1562">
        <f t="shared" si="0"/>
        <v>0</v>
      </c>
      <c r="F92" s="1815">
        <f t="shared" si="1"/>
        <v>0</v>
      </c>
      <c r="G92" s="1816">
        <f t="shared" si="2"/>
        <v>0</v>
      </c>
    </row>
    <row r="93" spans="1:7" x14ac:dyDescent="0.25">
      <c r="A93" s="1675"/>
      <c r="B93" s="1689"/>
      <c r="C93" s="1676"/>
      <c r="D93" s="1867"/>
      <c r="E93" s="1562">
        <f>IF(D93&lt;=25000,D93,IF(D93&gt;25000,25000,0))</f>
        <v>0</v>
      </c>
      <c r="F93" s="1815">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IF(F93=0,0,D93-F93)</f>
        <v>0</v>
      </c>
    </row>
    <row r="94" spans="1:7" x14ac:dyDescent="0.25">
      <c r="A94" s="1675"/>
      <c r="B94" s="1689"/>
      <c r="C94" s="1676"/>
      <c r="D94" s="1867"/>
      <c r="E94" s="1562">
        <f t="shared" si="0"/>
        <v>0</v>
      </c>
      <c r="F94" s="1815">
        <f t="shared" si="1"/>
        <v>0</v>
      </c>
      <c r="G94" s="1816">
        <f t="shared" si="2"/>
        <v>0</v>
      </c>
    </row>
    <row r="95" spans="1:7" x14ac:dyDescent="0.25">
      <c r="A95" s="1675"/>
      <c r="B95" s="1689"/>
      <c r="C95" s="1676"/>
      <c r="D95" s="1867"/>
      <c r="E95" s="1562">
        <f>IF(D95&lt;=25000,D95,IF(D95&gt;25000,25000,0))</f>
        <v>0</v>
      </c>
      <c r="F95" s="1815">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IF(F95=0,0,D95-F95)</f>
        <v>0</v>
      </c>
    </row>
    <row r="96" spans="1:7" x14ac:dyDescent="0.25">
      <c r="A96" s="1675"/>
      <c r="B96" s="1689"/>
      <c r="C96" s="1676"/>
      <c r="D96" s="1867"/>
      <c r="E96" s="1562">
        <f>IF(D96&lt;=25000,D96,IF(D96&gt;25000,25000,0))</f>
        <v>0</v>
      </c>
      <c r="F96" s="1815">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6">
        <f>IF(F96=0,0,D96-F96)</f>
        <v>0</v>
      </c>
    </row>
    <row r="97" spans="1:7" x14ac:dyDescent="0.25">
      <c r="A97" s="1675"/>
      <c r="B97" s="1689"/>
      <c r="C97" s="1676"/>
      <c r="D97" s="1867"/>
      <c r="E97" s="1562">
        <f>IF(D97&lt;=25000,D97,IF(D97&gt;25000,25000,0))</f>
        <v>0</v>
      </c>
      <c r="F97" s="1815">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6">
        <f>IF(F97=0,0,D97-F97)</f>
        <v>0</v>
      </c>
    </row>
    <row r="98" spans="1:7" x14ac:dyDescent="0.25">
      <c r="A98" s="1675"/>
      <c r="B98" s="1689"/>
      <c r="C98" s="1676"/>
      <c r="D98" s="1867"/>
      <c r="E98" s="1562">
        <f>IF(D98&lt;=25000,D98,IF(D98&gt;25000,25000,0))</f>
        <v>0</v>
      </c>
      <c r="F98" s="1815">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6">
        <f>IF(F98=0,0,D98-F98)</f>
        <v>0</v>
      </c>
    </row>
    <row r="99" spans="1:7" x14ac:dyDescent="0.25">
      <c r="A99" s="1675"/>
      <c r="B99" s="1689"/>
      <c r="C99" s="1676"/>
      <c r="D99" s="1867"/>
      <c r="E99" s="1562">
        <f>IF(D99&lt;=25000,D99,IF(D99&gt;25000,25000,0))</f>
        <v>0</v>
      </c>
      <c r="F99" s="1815">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IF(F99=0,0,D99-F99)</f>
        <v>0</v>
      </c>
    </row>
    <row r="100" spans="1:7" x14ac:dyDescent="0.25">
      <c r="A100" s="1675"/>
      <c r="B100" s="1689"/>
      <c r="C100" s="1676"/>
      <c r="D100" s="1867"/>
      <c r="E100" s="1562">
        <f t="shared" ref="E100:E112" si="6">IF(D100&lt;=25000,D100,IF(D100&gt;25000,25000,0))</f>
        <v>0</v>
      </c>
      <c r="F100" s="1815">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8">IF(F100=0,0,D100-F100)</f>
        <v>0</v>
      </c>
    </row>
    <row r="101" spans="1:7" x14ac:dyDescent="0.25">
      <c r="A101" s="1675"/>
      <c r="B101" s="1689"/>
      <c r="C101" s="1676"/>
      <c r="D101" s="1867"/>
      <c r="E101" s="1562">
        <f t="shared" si="6"/>
        <v>0</v>
      </c>
      <c r="F101" s="1815">
        <f t="shared" si="7"/>
        <v>0</v>
      </c>
      <c r="G101" s="1816">
        <f t="shared" si="8"/>
        <v>0</v>
      </c>
    </row>
    <row r="102" spans="1:7" x14ac:dyDescent="0.25">
      <c r="A102" s="1675"/>
      <c r="B102" s="1689"/>
      <c r="C102" s="1676"/>
      <c r="D102" s="1867"/>
      <c r="E102" s="1562">
        <f t="shared" si="6"/>
        <v>0</v>
      </c>
      <c r="F102" s="1815">
        <f t="shared" si="7"/>
        <v>0</v>
      </c>
      <c r="G102" s="1816">
        <f t="shared" si="8"/>
        <v>0</v>
      </c>
    </row>
    <row r="103" spans="1:7" x14ac:dyDescent="0.25">
      <c r="A103" s="1675"/>
      <c r="B103" s="1689"/>
      <c r="C103" s="1676"/>
      <c r="D103" s="1867"/>
      <c r="E103" s="1562">
        <f t="shared" si="6"/>
        <v>0</v>
      </c>
      <c r="F103" s="1815">
        <f t="shared" si="7"/>
        <v>0</v>
      </c>
      <c r="G103" s="1816">
        <f t="shared" si="8"/>
        <v>0</v>
      </c>
    </row>
    <row r="104" spans="1:7" x14ac:dyDescent="0.25">
      <c r="A104" s="1675"/>
      <c r="B104" s="1689"/>
      <c r="C104" s="1676"/>
      <c r="D104" s="1867"/>
      <c r="E104" s="1562">
        <f t="shared" si="6"/>
        <v>0</v>
      </c>
      <c r="F104" s="1815">
        <f t="shared" si="7"/>
        <v>0</v>
      </c>
      <c r="G104" s="1816">
        <f t="shared" si="8"/>
        <v>0</v>
      </c>
    </row>
    <row r="105" spans="1:7" x14ac:dyDescent="0.25">
      <c r="A105" s="1675"/>
      <c r="B105" s="1689"/>
      <c r="C105" s="1676"/>
      <c r="D105" s="1867"/>
      <c r="E105" s="1562">
        <f t="shared" si="6"/>
        <v>0</v>
      </c>
      <c r="F105" s="1815">
        <f t="shared" si="7"/>
        <v>0</v>
      </c>
      <c r="G105" s="1816">
        <f t="shared" si="8"/>
        <v>0</v>
      </c>
    </row>
    <row r="106" spans="1:7" x14ac:dyDescent="0.25">
      <c r="A106" s="1675"/>
      <c r="B106" s="1689"/>
      <c r="C106" s="1676"/>
      <c r="D106" s="1867"/>
      <c r="E106" s="1562">
        <f t="shared" si="6"/>
        <v>0</v>
      </c>
      <c r="F106" s="1815">
        <f t="shared" si="7"/>
        <v>0</v>
      </c>
      <c r="G106" s="1816">
        <f t="shared" si="8"/>
        <v>0</v>
      </c>
    </row>
    <row r="107" spans="1:7" x14ac:dyDescent="0.25">
      <c r="A107" s="1675"/>
      <c r="B107" s="1689"/>
      <c r="C107" s="1676"/>
      <c r="D107" s="1867"/>
      <c r="E107" s="1562">
        <f t="shared" si="6"/>
        <v>0</v>
      </c>
      <c r="F107" s="1815">
        <f t="shared" si="7"/>
        <v>0</v>
      </c>
      <c r="G107" s="1816">
        <f t="shared" si="8"/>
        <v>0</v>
      </c>
    </row>
    <row r="108" spans="1:7" x14ac:dyDescent="0.25">
      <c r="A108" s="1675"/>
      <c r="B108" s="1689"/>
      <c r="C108" s="1676"/>
      <c r="D108" s="1867"/>
      <c r="E108" s="1562">
        <f t="shared" si="6"/>
        <v>0</v>
      </c>
      <c r="F108" s="1815">
        <f t="shared" si="7"/>
        <v>0</v>
      </c>
      <c r="G108" s="1816">
        <f t="shared" si="8"/>
        <v>0</v>
      </c>
    </row>
    <row r="109" spans="1:7" x14ac:dyDescent="0.25">
      <c r="A109" s="1675"/>
      <c r="B109" s="1689"/>
      <c r="C109" s="1676"/>
      <c r="D109" s="1867"/>
      <c r="E109" s="1562">
        <f t="shared" si="6"/>
        <v>0</v>
      </c>
      <c r="F109" s="1815">
        <f t="shared" si="7"/>
        <v>0</v>
      </c>
      <c r="G109" s="1816">
        <f t="shared" si="8"/>
        <v>0</v>
      </c>
    </row>
    <row r="110" spans="1:7" x14ac:dyDescent="0.25">
      <c r="A110" s="1675"/>
      <c r="B110" s="1689"/>
      <c r="C110" s="1676"/>
      <c r="D110" s="1867"/>
      <c r="E110" s="1562">
        <f t="shared" si="6"/>
        <v>0</v>
      </c>
      <c r="F110" s="1815">
        <f t="shared" si="7"/>
        <v>0</v>
      </c>
      <c r="G110" s="1816">
        <f t="shared" si="8"/>
        <v>0</v>
      </c>
    </row>
    <row r="111" spans="1:7" x14ac:dyDescent="0.25">
      <c r="A111" s="1675"/>
      <c r="B111" s="1689"/>
      <c r="C111" s="1676"/>
      <c r="D111" s="1867"/>
      <c r="E111" s="1562">
        <f t="shared" si="6"/>
        <v>0</v>
      </c>
      <c r="F111" s="1815">
        <f t="shared" si="7"/>
        <v>0</v>
      </c>
      <c r="G111" s="1816">
        <f t="shared" si="8"/>
        <v>0</v>
      </c>
    </row>
    <row r="112" spans="1:7" x14ac:dyDescent="0.25">
      <c r="A112" s="1675"/>
      <c r="B112" s="1689"/>
      <c r="C112" s="1676"/>
      <c r="D112" s="1867"/>
      <c r="E112" s="1562">
        <f t="shared" si="6"/>
        <v>0</v>
      </c>
      <c r="F112" s="1815">
        <f t="shared" si="7"/>
        <v>0</v>
      </c>
      <c r="G112" s="1816">
        <f t="shared" si="8"/>
        <v>0</v>
      </c>
    </row>
    <row r="113" spans="1:7" x14ac:dyDescent="0.25">
      <c r="A113" s="1675"/>
      <c r="B113" s="1689"/>
      <c r="C113" s="1676"/>
      <c r="D113" s="1867"/>
      <c r="E113" s="1562">
        <f t="shared" ref="E113:E125" si="9">IF(D113&lt;=25000,D113,IF(D113&gt;25000,25000,0))</f>
        <v>0</v>
      </c>
      <c r="F113" s="1815">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11">IF(F113=0,0,D113-F113)</f>
        <v>0</v>
      </c>
    </row>
    <row r="114" spans="1:7" x14ac:dyDescent="0.25">
      <c r="A114" s="1675"/>
      <c r="B114" s="1689"/>
      <c r="C114" s="1676"/>
      <c r="D114" s="1867"/>
      <c r="E114" s="1562">
        <f t="shared" si="9"/>
        <v>0</v>
      </c>
      <c r="F114" s="1815">
        <f t="shared" si="10"/>
        <v>0</v>
      </c>
      <c r="G114" s="1816">
        <f t="shared" si="11"/>
        <v>0</v>
      </c>
    </row>
    <row r="115" spans="1:7" x14ac:dyDescent="0.25">
      <c r="A115" s="1675"/>
      <c r="B115" s="1689"/>
      <c r="C115" s="1676"/>
      <c r="D115" s="1867"/>
      <c r="E115" s="1562">
        <f t="shared" si="9"/>
        <v>0</v>
      </c>
      <c r="F115" s="1815">
        <f t="shared" si="10"/>
        <v>0</v>
      </c>
      <c r="G115" s="1816">
        <f t="shared" si="11"/>
        <v>0</v>
      </c>
    </row>
    <row r="116" spans="1:7" x14ac:dyDescent="0.25">
      <c r="A116" s="1675"/>
      <c r="B116" s="1689"/>
      <c r="C116" s="1676"/>
      <c r="D116" s="1867"/>
      <c r="E116" s="1562">
        <f t="shared" si="9"/>
        <v>0</v>
      </c>
      <c r="F116" s="1815">
        <f t="shared" si="10"/>
        <v>0</v>
      </c>
      <c r="G116" s="1816">
        <f t="shared" si="11"/>
        <v>0</v>
      </c>
    </row>
    <row r="117" spans="1:7" x14ac:dyDescent="0.25">
      <c r="A117" s="1675"/>
      <c r="B117" s="1689"/>
      <c r="C117" s="1676"/>
      <c r="D117" s="1867"/>
      <c r="E117" s="1562">
        <f t="shared" si="9"/>
        <v>0</v>
      </c>
      <c r="F117" s="1815">
        <f t="shared" si="10"/>
        <v>0</v>
      </c>
      <c r="G117" s="1816">
        <f t="shared" si="11"/>
        <v>0</v>
      </c>
    </row>
    <row r="118" spans="1:7" x14ac:dyDescent="0.25">
      <c r="A118" s="1675"/>
      <c r="B118" s="1689"/>
      <c r="C118" s="1676"/>
      <c r="D118" s="1867"/>
      <c r="E118" s="1562">
        <f t="shared" si="9"/>
        <v>0</v>
      </c>
      <c r="F118" s="1815">
        <f t="shared" si="10"/>
        <v>0</v>
      </c>
      <c r="G118" s="1816">
        <f t="shared" si="11"/>
        <v>0</v>
      </c>
    </row>
    <row r="119" spans="1:7" x14ac:dyDescent="0.25">
      <c r="A119" s="1675"/>
      <c r="B119" s="1689"/>
      <c r="C119" s="1676"/>
      <c r="D119" s="1867"/>
      <c r="E119" s="1562">
        <f t="shared" si="9"/>
        <v>0</v>
      </c>
      <c r="F119" s="1815">
        <f t="shared" si="10"/>
        <v>0</v>
      </c>
      <c r="G119" s="1816">
        <f t="shared" si="11"/>
        <v>0</v>
      </c>
    </row>
    <row r="120" spans="1:7" x14ac:dyDescent="0.25">
      <c r="A120" s="1675"/>
      <c r="B120" s="1689"/>
      <c r="C120" s="1676"/>
      <c r="D120" s="1867"/>
      <c r="E120" s="1562">
        <f t="shared" si="9"/>
        <v>0</v>
      </c>
      <c r="F120" s="1815">
        <f t="shared" si="10"/>
        <v>0</v>
      </c>
      <c r="G120" s="1816">
        <f t="shared" si="11"/>
        <v>0</v>
      </c>
    </row>
    <row r="121" spans="1:7" x14ac:dyDescent="0.25">
      <c r="A121" s="1675"/>
      <c r="B121" s="1689"/>
      <c r="C121" s="1676"/>
      <c r="D121" s="1867"/>
      <c r="E121" s="1562">
        <f t="shared" si="9"/>
        <v>0</v>
      </c>
      <c r="F121" s="1815">
        <f t="shared" si="10"/>
        <v>0</v>
      </c>
      <c r="G121" s="1816">
        <f t="shared" si="11"/>
        <v>0</v>
      </c>
    </row>
    <row r="122" spans="1:7" x14ac:dyDescent="0.25">
      <c r="A122" s="1675"/>
      <c r="B122" s="1689"/>
      <c r="C122" s="1676"/>
      <c r="D122" s="1867"/>
      <c r="E122" s="1562">
        <f t="shared" si="9"/>
        <v>0</v>
      </c>
      <c r="F122" s="1815">
        <f t="shared" si="10"/>
        <v>0</v>
      </c>
      <c r="G122" s="1816">
        <f t="shared" si="11"/>
        <v>0</v>
      </c>
    </row>
    <row r="123" spans="1:7" x14ac:dyDescent="0.25">
      <c r="A123" s="1675"/>
      <c r="B123" s="1689"/>
      <c r="C123" s="1676"/>
      <c r="D123" s="1867"/>
      <c r="E123" s="1562">
        <f t="shared" si="9"/>
        <v>0</v>
      </c>
      <c r="F123" s="1815">
        <f t="shared" si="10"/>
        <v>0</v>
      </c>
      <c r="G123" s="1816">
        <f t="shared" si="11"/>
        <v>0</v>
      </c>
    </row>
    <row r="124" spans="1:7" x14ac:dyDescent="0.25">
      <c r="A124" s="1675"/>
      <c r="B124" s="1689"/>
      <c r="C124" s="1676"/>
      <c r="D124" s="1867"/>
      <c r="E124" s="1562">
        <f t="shared" si="9"/>
        <v>0</v>
      </c>
      <c r="F124" s="1815">
        <f t="shared" si="10"/>
        <v>0</v>
      </c>
      <c r="G124" s="1816">
        <f t="shared" si="11"/>
        <v>0</v>
      </c>
    </row>
    <row r="125" spans="1:7" x14ac:dyDescent="0.25">
      <c r="A125" s="1675"/>
      <c r="B125" s="1689"/>
      <c r="C125" s="1676"/>
      <c r="D125" s="1867"/>
      <c r="E125" s="1562">
        <f t="shared" si="9"/>
        <v>0</v>
      </c>
      <c r="F125" s="1815">
        <f t="shared" si="10"/>
        <v>0</v>
      </c>
      <c r="G125" s="1816">
        <f t="shared" si="11"/>
        <v>0</v>
      </c>
    </row>
    <row r="126" spans="1:7" x14ac:dyDescent="0.25">
      <c r="A126" s="1675"/>
      <c r="B126" s="1689"/>
      <c r="C126" s="1676"/>
      <c r="D126" s="1867"/>
      <c r="E126" s="1562">
        <f t="shared" ref="E126:E134" si="12">IF(D126&lt;=25000,D126,IF(D126&gt;25000,25000,0))</f>
        <v>0</v>
      </c>
      <c r="F126" s="1815">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14">IF(F126=0,0,D126-F126)</f>
        <v>0</v>
      </c>
    </row>
    <row r="127" spans="1:7" x14ac:dyDescent="0.25">
      <c r="A127" s="1675"/>
      <c r="B127" s="1689"/>
      <c r="C127" s="1676"/>
      <c r="D127" s="1867"/>
      <c r="E127" s="1562">
        <f t="shared" si="12"/>
        <v>0</v>
      </c>
      <c r="F127" s="1815">
        <f t="shared" si="13"/>
        <v>0</v>
      </c>
      <c r="G127" s="1816">
        <f t="shared" si="14"/>
        <v>0</v>
      </c>
    </row>
    <row r="128" spans="1:7" x14ac:dyDescent="0.25">
      <c r="A128" s="1675"/>
      <c r="B128" s="1689"/>
      <c r="C128" s="1676"/>
      <c r="D128" s="1867"/>
      <c r="E128" s="1562">
        <f t="shared" si="12"/>
        <v>0</v>
      </c>
      <c r="F128" s="1815">
        <f t="shared" si="13"/>
        <v>0</v>
      </c>
      <c r="G128" s="1816">
        <f t="shared" si="14"/>
        <v>0</v>
      </c>
    </row>
    <row r="129" spans="1:7" x14ac:dyDescent="0.25">
      <c r="A129" s="1675"/>
      <c r="B129" s="1689"/>
      <c r="C129" s="1676"/>
      <c r="D129" s="1867"/>
      <c r="E129" s="1562">
        <f t="shared" si="12"/>
        <v>0</v>
      </c>
      <c r="F129" s="1815">
        <f t="shared" si="13"/>
        <v>0</v>
      </c>
      <c r="G129" s="1816">
        <f t="shared" si="14"/>
        <v>0</v>
      </c>
    </row>
    <row r="130" spans="1:7" x14ac:dyDescent="0.25">
      <c r="A130" s="1675"/>
      <c r="B130" s="1689"/>
      <c r="C130" s="1676"/>
      <c r="D130" s="1867"/>
      <c r="E130" s="1562">
        <f t="shared" si="12"/>
        <v>0</v>
      </c>
      <c r="F130" s="1815">
        <f t="shared" si="13"/>
        <v>0</v>
      </c>
      <c r="G130" s="1816">
        <f t="shared" si="14"/>
        <v>0</v>
      </c>
    </row>
    <row r="131" spans="1:7" x14ac:dyDescent="0.25">
      <c r="A131" s="1675"/>
      <c r="B131" s="1860"/>
      <c r="C131" s="1676"/>
      <c r="D131" s="1867"/>
      <c r="E131" s="1562">
        <f t="shared" si="12"/>
        <v>0</v>
      </c>
      <c r="F131" s="1815">
        <f t="shared" si="13"/>
        <v>0</v>
      </c>
      <c r="G131" s="1816">
        <f t="shared" si="14"/>
        <v>0</v>
      </c>
    </row>
    <row r="132" spans="1:7" x14ac:dyDescent="0.25">
      <c r="A132" s="1675"/>
      <c r="B132" s="1860"/>
      <c r="C132" s="1676"/>
      <c r="D132" s="1867"/>
      <c r="E132" s="1562">
        <f t="shared" si="12"/>
        <v>0</v>
      </c>
      <c r="F132" s="1815">
        <f t="shared" si="13"/>
        <v>0</v>
      </c>
      <c r="G132" s="1816">
        <f t="shared" si="14"/>
        <v>0</v>
      </c>
    </row>
    <row r="133" spans="1:7" x14ac:dyDescent="0.25">
      <c r="A133" s="1675"/>
      <c r="B133" s="1689"/>
      <c r="C133" s="1676"/>
      <c r="D133" s="1867"/>
      <c r="E133" s="1562">
        <f t="shared" si="12"/>
        <v>0</v>
      </c>
      <c r="F133" s="1815">
        <f t="shared" si="13"/>
        <v>0</v>
      </c>
      <c r="G133" s="1816">
        <f t="shared" si="14"/>
        <v>0</v>
      </c>
    </row>
    <row r="134" spans="1:7" x14ac:dyDescent="0.25">
      <c r="A134" s="1675"/>
      <c r="B134" s="1689"/>
      <c r="C134" s="1676"/>
      <c r="D134" s="1867"/>
      <c r="E134" s="1562">
        <f t="shared" si="12"/>
        <v>0</v>
      </c>
      <c r="F134" s="1815">
        <f t="shared" si="13"/>
        <v>0</v>
      </c>
      <c r="G134" s="1816">
        <f t="shared" si="14"/>
        <v>0</v>
      </c>
    </row>
    <row r="135" spans="1:7" x14ac:dyDescent="0.25">
      <c r="A135" s="1675"/>
      <c r="B135" s="1689"/>
      <c r="C135" s="1676"/>
      <c r="D135" s="1867"/>
      <c r="E135" s="1562">
        <f>IF(D135&lt;=25000,D135,IF(D135&gt;25000,25000,0))</f>
        <v>0</v>
      </c>
      <c r="F135" s="1815">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IF(F135=0,0,D135-F135)</f>
        <v>0</v>
      </c>
    </row>
    <row r="136" spans="1:7" x14ac:dyDescent="0.25">
      <c r="A136" s="1675"/>
      <c r="B136" s="1689"/>
      <c r="C136" s="1676"/>
      <c r="D136" s="1867"/>
      <c r="E136" s="1562">
        <f>IF(D136&lt;=25000,D136,IF(D136&gt;25000,25000,0))</f>
        <v>0</v>
      </c>
      <c r="F136" s="1815">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16">
        <f>IF(F136=0,0,D136-F136)</f>
        <v>0</v>
      </c>
    </row>
    <row r="137" spans="1:7" x14ac:dyDescent="0.25">
      <c r="A137" s="1675"/>
      <c r="B137" s="1689"/>
      <c r="C137" s="1676"/>
      <c r="D137" s="1867"/>
      <c r="E137" s="1562">
        <f>IF(D137&lt;=25000,D137,IF(D137&gt;25000,25000,0))</f>
        <v>0</v>
      </c>
      <c r="F137" s="1815">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16">
        <f>IF(F137=0,0,D137-F137)</f>
        <v>0</v>
      </c>
    </row>
    <row r="138" spans="1:7" x14ac:dyDescent="0.25">
      <c r="A138" s="1675"/>
      <c r="B138" s="1689"/>
      <c r="C138" s="1676"/>
      <c r="D138" s="1867"/>
      <c r="E138" s="1562">
        <f>IF(D138&lt;=25000,D138,IF(D138&gt;25000,25000,0))</f>
        <v>0</v>
      </c>
      <c r="F138" s="1815">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16">
        <f>IF(F138=0,0,D138-F138)</f>
        <v>0</v>
      </c>
    </row>
    <row r="139" spans="1:7" x14ac:dyDescent="0.25">
      <c r="A139" s="1675"/>
      <c r="B139" s="1689"/>
      <c r="C139" s="1676"/>
      <c r="D139" s="1867"/>
      <c r="E139" s="1562">
        <f>IF(D139&lt;=25000,D139,IF(D139&gt;25000,25000,0))</f>
        <v>0</v>
      </c>
      <c r="F139" s="1815">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16">
        <f>IF(F139=0,0,D139-F139)</f>
        <v>0</v>
      </c>
    </row>
    <row r="140" spans="1:7" x14ac:dyDescent="0.25">
      <c r="A140" s="1675"/>
      <c r="B140" s="1688"/>
      <c r="C140" s="1676"/>
      <c r="D140" s="1867"/>
      <c r="E140" s="1562">
        <f t="shared" si="0"/>
        <v>0</v>
      </c>
      <c r="F140" s="1815">
        <f t="shared" si="1"/>
        <v>0</v>
      </c>
      <c r="G140" s="1816">
        <f t="shared" si="2"/>
        <v>0</v>
      </c>
    </row>
    <row r="141" spans="1:7" x14ac:dyDescent="0.25">
      <c r="A141" s="1819" t="s">
        <v>158</v>
      </c>
      <c r="B141" s="1820"/>
      <c r="C141" s="1821"/>
      <c r="D141" s="1817">
        <f>SUM(D17:D140)</f>
        <v>11366</v>
      </c>
      <c r="E141" s="1563">
        <f>IF(D141&lt;=25000,D141,IF(D141&gt;25000,25000,0))</f>
        <v>11366</v>
      </c>
      <c r="F141" s="1817">
        <f>SUM(F17:F140)</f>
        <v>11366</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48" sqref="D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1778</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f>+'Expenditures 15-22'!E63+'Expenditures 15-22'!F63-'Revenues 9-14'!C145</f>
        <v>114169</v>
      </c>
      <c r="F10" s="975"/>
      <c r="G10" s="976"/>
      <c r="H10" s="162"/>
      <c r="I10" s="162"/>
    </row>
    <row r="11" spans="1:9" s="669" customFormat="1" ht="22.5" customHeight="1" x14ac:dyDescent="0.2">
      <c r="A11" s="2313" t="s">
        <v>1945</v>
      </c>
      <c r="B11" s="2314"/>
      <c r="C11" s="2314"/>
      <c r="D11" s="2315"/>
      <c r="E11" s="978">
        <v>29722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3458588</v>
      </c>
      <c r="F19" s="1822"/>
      <c r="G19" s="1824">
        <f>'Expenditures 15-22'!K33-SUM('Expenditures 15-22'!G33,'Expenditures 15-22'!I33)+'Expenditures 15-22'!D229</f>
        <v>3458588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203571</v>
      </c>
      <c r="F21" s="1825"/>
      <c r="G21" s="1828">
        <f>'Expenditures 15-22'!K42-SUM('Expenditures 15-22'!G42,'Expenditures 15-22'!I42)+'Expenditures 15-22'!K120-SUM('Expenditures 15-22'!G120,'Expenditures 15-22'!I120)+'Expenditures 15-22'!K180-SUM('Expenditures 15-22'!G180,'Expenditures 15-22'!I180)+'Expenditures 15-22'!D238</f>
        <v>203571</v>
      </c>
      <c r="H21" s="988"/>
      <c r="I21" s="162"/>
    </row>
    <row r="22" spans="1:9" s="669" customFormat="1" ht="12" customHeight="1" x14ac:dyDescent="0.2">
      <c r="A22" s="995" t="s">
        <v>585</v>
      </c>
      <c r="B22" s="996"/>
      <c r="C22" s="994">
        <v>2200</v>
      </c>
      <c r="D22" s="1825"/>
      <c r="E22" s="1827">
        <f>'Expenditures 15-22'!K47-SUM('Expenditures 15-22'!G47,'Expenditures 15-22'!I47)+'Expenditures 15-22'!D243</f>
        <v>136317</v>
      </c>
      <c r="F22" s="1825"/>
      <c r="G22" s="1828">
        <f>'Expenditures 15-22'!K47-SUM('Expenditures 15-22'!G47,'Expenditures 15-22'!I47)+'Expenditures 15-22'!D243</f>
        <v>136317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589405</v>
      </c>
      <c r="F23" s="1825"/>
      <c r="G23" s="1827">
        <f>'Expenditures 15-22'!K53-SUM('Expenditures 15-22'!G53,'Expenditures 15-22'!I53)+'Expenditures 15-22'!D257+'Expenditures 15-22'!K330-SUM('Expenditures 15-22'!G330,'Expenditures 15-22'!I330)</f>
        <v>589405</v>
      </c>
      <c r="H23" s="988"/>
      <c r="I23" s="162"/>
    </row>
    <row r="24" spans="1:9" s="669" customFormat="1" ht="12" customHeight="1" x14ac:dyDescent="0.2">
      <c r="A24" s="995" t="s">
        <v>587</v>
      </c>
      <c r="B24" s="996"/>
      <c r="C24" s="994">
        <v>2400</v>
      </c>
      <c r="D24" s="1825"/>
      <c r="E24" s="1827">
        <f>'Expenditures 15-22'!K57-SUM('Expenditures 15-22'!G57,'Expenditures 15-22'!I57)+'Expenditures 15-22'!D261</f>
        <v>421708</v>
      </c>
      <c r="F24" s="1825"/>
      <c r="G24" s="1828">
        <f>'Expenditures 15-22'!K57-SUM('Expenditures 15-22'!G57,'Expenditures 15-22'!I57)+'Expenditures 15-22'!D261</f>
        <v>421708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3571</v>
      </c>
      <c r="E27" s="1827">
        <f>E8</f>
        <v>0</v>
      </c>
      <c r="F27" s="1827">
        <f>'Expenditures 15-22'!K60-SUM('Expenditures 15-22'!G60,'Expenditures 15-22'!I60)+'Expenditures 15-22'!D264-E8</f>
        <v>3571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575778</v>
      </c>
      <c r="F28" s="1829">
        <f>'Expenditures 15-22'!K61-SUM('Expenditures 15-22'!G61,'Expenditures 15-22'!I61)+'Expenditures 15-22'!K124-SUM('Expenditures 15-22'!G124,'Expenditures 15-22'!I124)+'Expenditures 15-22'!D266-E9</f>
        <v>575778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400504</v>
      </c>
      <c r="F29" s="1825"/>
      <c r="G29" s="1828">
        <f>'Expenditures 15-22'!K62-SUM('Expenditures 15-22'!G62,'Expenditures 15-22'!I62)+'Expenditures 15-22'!K125-SUM('Expenditures 15-22'!G125,'Expenditures 15-22'!I125)+'Expenditures 15-22'!K182-SUM('Expenditures 15-22'!G182,'Expenditures 15-22'!I182)+'Expenditures 15-22'!D267</f>
        <v>400504</v>
      </c>
      <c r="H29" s="986"/>
    </row>
    <row r="30" spans="1:9" ht="12" customHeight="1" x14ac:dyDescent="0.2">
      <c r="A30" s="995" t="s">
        <v>102</v>
      </c>
      <c r="B30" s="998"/>
      <c r="C30" s="994">
        <v>2560</v>
      </c>
      <c r="D30" s="1825"/>
      <c r="E30" s="1827">
        <f>'Expenditures 15-22'!K63-SUM('Expenditures 15-22'!G63,'Expenditures 15-22'!I63)+'Expenditures 15-22'!D268-E10</f>
        <v>84079</v>
      </c>
      <c r="F30" s="1825"/>
      <c r="G30" s="1827">
        <f>'Expenditures 15-22'!K63-SUM('Expenditures 15-22'!G63,'Expenditures 15-22'!I63)+'Expenditures 15-22'!D268-E10</f>
        <v>84079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30609</v>
      </c>
      <c r="F38" s="1825"/>
      <c r="G38" s="1827">
        <f>'Expenditures 15-22'!K73-SUM('Expenditures 15-22'!G73,'Expenditures 15-22'!I73)+'Expenditures 15-22'!K128-SUM('Expenditures 15-22'!G128,'Expenditures 15-22'!I128)+'Expenditures 15-22'!K183-SUM('Expenditures 15-22'!G183,'Expenditures 15-22'!I183)+'Expenditures 15-22'!D278</f>
        <v>30609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3571</v>
      </c>
      <c r="E41" s="1829">
        <f>SUM(E19:E40)</f>
        <v>5900559</v>
      </c>
      <c r="F41" s="1829">
        <f>SUM(F19:F39)</f>
        <v>579349</v>
      </c>
      <c r="G41" s="1829">
        <f>SUM(G19:G40)</f>
        <v>5324781</v>
      </c>
    </row>
    <row r="42" spans="1:7" x14ac:dyDescent="0.2">
      <c r="A42" s="988"/>
      <c r="B42" s="162"/>
      <c r="C42" s="1002"/>
      <c r="D42" s="2311" t="s">
        <v>543</v>
      </c>
      <c r="E42" s="2312"/>
      <c r="F42" s="1003" t="s">
        <v>544</v>
      </c>
      <c r="G42" s="1004"/>
    </row>
    <row r="43" spans="1:7" ht="12" customHeight="1" x14ac:dyDescent="0.2">
      <c r="A43" s="988"/>
      <c r="B43" s="162"/>
      <c r="C43" s="1002"/>
      <c r="D43" s="1830" t="s">
        <v>493</v>
      </c>
      <c r="E43" s="1831">
        <f>D41</f>
        <v>3571</v>
      </c>
      <c r="F43" s="1830" t="s">
        <v>495</v>
      </c>
      <c r="G43" s="1831">
        <f>F41</f>
        <v>579349</v>
      </c>
    </row>
    <row r="44" spans="1:7" ht="12" customHeight="1" x14ac:dyDescent="0.2">
      <c r="A44" s="988"/>
      <c r="B44" s="162"/>
      <c r="C44" s="1002"/>
      <c r="D44" s="1830" t="s">
        <v>494</v>
      </c>
      <c r="E44" s="1831">
        <f>E41</f>
        <v>5900559</v>
      </c>
      <c r="F44" s="1830" t="s">
        <v>494</v>
      </c>
      <c r="G44" s="1831">
        <f>G41</f>
        <v>5324781</v>
      </c>
    </row>
    <row r="45" spans="1:7" ht="12" customHeight="1" x14ac:dyDescent="0.2">
      <c r="A45" s="988"/>
      <c r="B45" s="162"/>
      <c r="C45" s="162"/>
      <c r="D45" s="1832" t="s">
        <v>1063</v>
      </c>
      <c r="E45" s="1833">
        <f>(E43/E44)</f>
        <v>6.0519689744649614E-4</v>
      </c>
      <c r="F45" s="1832" t="s">
        <v>1063</v>
      </c>
      <c r="G45" s="1833">
        <f>(G43/G44)</f>
        <v>0.10880240896292261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9" t="s">
        <v>1446</v>
      </c>
      <c r="B1" s="2319"/>
      <c r="C1" s="2319"/>
      <c r="D1" s="2319"/>
      <c r="E1" s="2319"/>
      <c r="F1" s="231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0" t="s">
        <v>1627</v>
      </c>
      <c r="B5" s="2321"/>
      <c r="C5" s="2322"/>
      <c r="D5" s="2322"/>
      <c r="E5" s="2322"/>
      <c r="F5" s="2322"/>
    </row>
    <row r="6" spans="1:10" ht="12" customHeight="1" x14ac:dyDescent="0.25">
      <c r="A6" s="1875"/>
      <c r="B6" s="1876"/>
      <c r="C6" s="2323" t="str">
        <f>COVER!A17</f>
        <v>Altamont CUSD 10</v>
      </c>
      <c r="D6" s="2323"/>
      <c r="E6" s="2323"/>
      <c r="F6" s="1877"/>
    </row>
    <row r="7" spans="1:10" ht="11.25" customHeight="1" thickBot="1" x14ac:dyDescent="0.3">
      <c r="A7" s="1875"/>
      <c r="B7" s="1876"/>
      <c r="C7" s="2324">
        <f>COVER!A13</f>
        <v>3025010026</v>
      </c>
      <c r="D7" s="2324"/>
      <c r="E7" s="232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2085</v>
      </c>
      <c r="D25" s="1890" t="s">
        <v>2085</v>
      </c>
      <c r="E25" s="1893" t="s">
        <v>2085</v>
      </c>
      <c r="F25" s="1892" t="s">
        <v>2136</v>
      </c>
      <c r="H25" s="1903">
        <f t="shared" si="0"/>
        <v>5</v>
      </c>
      <c r="I25" s="1903">
        <f t="shared" si="1"/>
        <v>5</v>
      </c>
      <c r="J25" s="1903">
        <f t="shared" si="2"/>
        <v>5</v>
      </c>
    </row>
    <row r="26" spans="1:12" ht="12" customHeight="1" x14ac:dyDescent="0.2">
      <c r="A26" s="1888" t="s">
        <v>1615</v>
      </c>
      <c r="B26" s="1889"/>
      <c r="C26" s="1890" t="s">
        <v>2085</v>
      </c>
      <c r="D26" s="1890" t="s">
        <v>2085</v>
      </c>
      <c r="E26" s="1893" t="s">
        <v>2085</v>
      </c>
      <c r="F26" s="1892" t="s">
        <v>2137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2085</v>
      </c>
      <c r="D31" s="1890" t="s">
        <v>2085</v>
      </c>
      <c r="E31" s="1893" t="s">
        <v>2085</v>
      </c>
      <c r="F31" s="1892" t="s">
        <v>2138</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8"/>
      <c r="B39" s="1898"/>
      <c r="C39" s="1898"/>
      <c r="D39" s="1898"/>
      <c r="E39" s="1898"/>
      <c r="F39" s="1898"/>
    </row>
    <row r="40" spans="1:11" s="1895" customFormat="1" ht="12" customHeight="1" x14ac:dyDescent="0.25">
      <c r="A40" s="1899" t="s">
        <v>1458</v>
      </c>
      <c r="B40" s="1900"/>
      <c r="C40" s="2333"/>
      <c r="D40" s="2333"/>
      <c r="E40" s="2333"/>
      <c r="F40" s="2334"/>
      <c r="H40" s="1904"/>
      <c r="I40" s="1904"/>
      <c r="J40" s="1904"/>
      <c r="K40" s="1904"/>
    </row>
    <row r="41" spans="1:11" s="1895" customFormat="1" ht="12" customHeight="1" x14ac:dyDescent="0.25">
      <c r="A41" s="2335"/>
      <c r="B41" s="2336"/>
      <c r="C41" s="2336"/>
      <c r="D41" s="2336"/>
      <c r="E41" s="2336"/>
      <c r="F41" s="2337"/>
      <c r="H41" s="1904"/>
      <c r="I41" s="1904"/>
      <c r="J41" s="1904"/>
      <c r="K41" s="1904"/>
    </row>
    <row r="42" spans="1:11" s="1895" customFormat="1" ht="12" customHeight="1" x14ac:dyDescent="0.25">
      <c r="A42" s="2335"/>
      <c r="B42" s="2336"/>
      <c r="C42" s="2336"/>
      <c r="D42" s="2336"/>
      <c r="E42" s="2336"/>
      <c r="F42" s="2337"/>
      <c r="H42" s="1904"/>
      <c r="I42" s="1904"/>
      <c r="J42" s="1904"/>
      <c r="K42" s="1904"/>
    </row>
    <row r="43" spans="1:11" s="1895" customFormat="1" ht="15" x14ac:dyDescent="0.25">
      <c r="A43" s="2327"/>
      <c r="B43" s="2328"/>
      <c r="C43" s="2328"/>
      <c r="D43" s="2328"/>
      <c r="E43" s="2328"/>
      <c r="F43" s="2329"/>
      <c r="H43" s="1904"/>
      <c r="I43" s="1904"/>
      <c r="J43" s="1904"/>
      <c r="K43" s="1904"/>
    </row>
    <row r="44" spans="1:11" s="1895" customFormat="1" ht="12" hidden="1" customHeight="1" x14ac:dyDescent="0.25">
      <c r="A44" s="2327"/>
      <c r="B44" s="2328"/>
      <c r="C44" s="2328"/>
      <c r="D44" s="2328"/>
      <c r="E44" s="2328"/>
      <c r="F44" s="232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B1"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3" t="str">
        <f>COVER!A17</f>
        <v>Altamont CUSD 10</v>
      </c>
      <c r="J6" s="2344"/>
      <c r="Q6" s="1686"/>
    </row>
    <row r="7" spans="1:17" x14ac:dyDescent="0.2">
      <c r="A7" s="2345" t="s">
        <v>924</v>
      </c>
      <c r="B7" s="2346"/>
      <c r="C7" s="2346"/>
      <c r="D7" s="2346"/>
      <c r="E7" s="2347"/>
      <c r="F7" s="1018"/>
      <c r="G7" s="1010"/>
      <c r="H7" s="1017" t="s">
        <v>390</v>
      </c>
      <c r="I7" s="2348">
        <f>COVER!A13</f>
        <v>3025010026</v>
      </c>
      <c r="J7" s="234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185860</v>
      </c>
      <c r="F12" s="1040"/>
      <c r="G12" s="1834">
        <f t="shared" ref="G12:G18" si="0">SUM(E12:F12)</f>
        <v>185860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6500</v>
      </c>
      <c r="F14" s="1040"/>
      <c r="G14" s="1834">
        <f t="shared" si="0"/>
        <v>6500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2" t="s">
        <v>7</v>
      </c>
      <c r="C18" s="2353"/>
      <c r="D18" s="235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192360</v>
      </c>
      <c r="F19" s="1836">
        <f t="shared" si="2"/>
        <v>0</v>
      </c>
      <c r="G19" s="1836">
        <f t="shared" si="2"/>
        <v>192360</v>
      </c>
      <c r="H19" s="1836">
        <f t="shared" si="2"/>
        <v>0</v>
      </c>
      <c r="I19" s="1836">
        <f t="shared" si="2"/>
        <v>0</v>
      </c>
      <c r="J19" s="1836">
        <f t="shared" si="2"/>
        <v>0</v>
      </c>
    </row>
    <row r="20" spans="1:10" ht="13.5" thickTop="1" x14ac:dyDescent="0.2">
      <c r="A20" s="1036">
        <v>9</v>
      </c>
      <c r="B20" s="2355" t="s">
        <v>1703</v>
      </c>
      <c r="C20" s="2355"/>
      <c r="D20" s="2356"/>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1944</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6"/>
  <sheetViews>
    <sheetView showGridLines="0" topLeftCell="B44" zoomScale="110" zoomScaleNormal="110" workbookViewId="0">
      <selection activeCell="B70" sqref="B70"/>
    </sheetView>
  </sheetViews>
  <sheetFormatPr defaultColWidth="9.140625" defaultRowHeight="12.75" x14ac:dyDescent="0.2"/>
  <cols>
    <col min="1" max="1" width="3" style="329" customWidth="1"/>
    <col min="2" max="2" width="60" style="329" customWidth="1"/>
    <col min="3" max="3" width="11.5703125" style="329" customWidth="1"/>
    <col min="4" max="16384" width="9.140625" style="329"/>
  </cols>
  <sheetData>
    <row r="2" spans="1:3" x14ac:dyDescent="0.2">
      <c r="A2" s="389" t="s">
        <v>276</v>
      </c>
    </row>
    <row r="3" spans="1:3" x14ac:dyDescent="0.2">
      <c r="A3" s="329" t="s">
        <v>277</v>
      </c>
    </row>
    <row r="5" spans="1:3" ht="39" customHeight="1" x14ac:dyDescent="0.2">
      <c r="A5" s="1069"/>
      <c r="B5" s="389"/>
    </row>
    <row r="6" spans="1:3" ht="15" customHeight="1" x14ac:dyDescent="0.2">
      <c r="A6" s="1069"/>
      <c r="B6" s="1960"/>
    </row>
    <row r="7" spans="1:3" x14ac:dyDescent="0.2">
      <c r="A7" s="1069"/>
      <c r="B7" s="1956" t="s">
        <v>2093</v>
      </c>
      <c r="C7" s="1959"/>
    </row>
    <row r="8" spans="1:3" ht="13.5" thickBot="1" x14ac:dyDescent="0.25">
      <c r="A8" s="1069"/>
      <c r="B8" s="1956" t="s">
        <v>2094</v>
      </c>
      <c r="C8" s="1958">
        <v>4499</v>
      </c>
    </row>
    <row r="9" spans="1:3" ht="13.5" thickTop="1" x14ac:dyDescent="0.2">
      <c r="A9" s="1070"/>
      <c r="B9" s="1956"/>
    </row>
    <row r="10" spans="1:3" x14ac:dyDescent="0.2">
      <c r="A10" s="1070"/>
    </row>
    <row r="11" spans="1:3" x14ac:dyDescent="0.2">
      <c r="A11" s="1070"/>
      <c r="B11" s="329" t="s">
        <v>2095</v>
      </c>
    </row>
    <row r="12" spans="1:3" x14ac:dyDescent="0.2">
      <c r="A12" s="1070"/>
      <c r="B12" s="329" t="s">
        <v>2096</v>
      </c>
      <c r="C12" s="1957">
        <v>700</v>
      </c>
    </row>
    <row r="13" spans="1:3" x14ac:dyDescent="0.2">
      <c r="A13" s="1070"/>
      <c r="B13" s="329" t="s">
        <v>2097</v>
      </c>
      <c r="C13" s="1957">
        <v>780</v>
      </c>
    </row>
    <row r="14" spans="1:3" x14ac:dyDescent="0.2">
      <c r="A14" s="1070"/>
      <c r="B14" s="329" t="s">
        <v>2098</v>
      </c>
      <c r="C14" s="1957">
        <v>1554</v>
      </c>
    </row>
    <row r="15" spans="1:3" x14ac:dyDescent="0.2">
      <c r="A15" s="1070"/>
      <c r="B15" s="329" t="s">
        <v>2099</v>
      </c>
      <c r="C15" s="1957">
        <v>1268</v>
      </c>
    </row>
    <row r="16" spans="1:3" x14ac:dyDescent="0.2">
      <c r="A16" s="1070"/>
      <c r="B16" s="329" t="s">
        <v>2100</v>
      </c>
      <c r="C16" s="1961">
        <v>1804</v>
      </c>
    </row>
    <row r="17" spans="1:3" ht="13.5" thickBot="1" x14ac:dyDescent="0.25">
      <c r="A17" s="1070"/>
      <c r="C17" s="1962">
        <f>SUM(C12:C16)</f>
        <v>6106</v>
      </c>
    </row>
    <row r="18" spans="1:3" ht="13.5" thickTop="1" x14ac:dyDescent="0.2">
      <c r="A18" s="1070"/>
    </row>
    <row r="19" spans="1:3" x14ac:dyDescent="0.2">
      <c r="A19" s="1070"/>
    </row>
    <row r="20" spans="1:3" x14ac:dyDescent="0.2">
      <c r="A20" s="1070"/>
    </row>
    <row r="21" spans="1:3" x14ac:dyDescent="0.2">
      <c r="A21" s="1070"/>
      <c r="B21" s="329" t="s">
        <v>2101</v>
      </c>
    </row>
    <row r="22" spans="1:3" x14ac:dyDescent="0.2">
      <c r="A22" s="1070"/>
      <c r="B22" s="329" t="s">
        <v>2102</v>
      </c>
    </row>
    <row r="23" spans="1:3" x14ac:dyDescent="0.2">
      <c r="A23" s="1070"/>
      <c r="B23" s="329" t="s">
        <v>2103</v>
      </c>
      <c r="C23" s="1957">
        <v>36769</v>
      </c>
    </row>
    <row r="24" spans="1:3" x14ac:dyDescent="0.2">
      <c r="A24" s="1070"/>
      <c r="B24" s="329" t="s">
        <v>2104</v>
      </c>
      <c r="C24" s="1957">
        <v>11496</v>
      </c>
    </row>
    <row r="25" spans="1:3" x14ac:dyDescent="0.2">
      <c r="A25" s="1070"/>
      <c r="B25" s="329" t="s">
        <v>2105</v>
      </c>
      <c r="C25" s="1957">
        <v>33073</v>
      </c>
    </row>
    <row r="26" spans="1:3" x14ac:dyDescent="0.2">
      <c r="A26" s="1070"/>
      <c r="B26" s="329" t="s">
        <v>2106</v>
      </c>
      <c r="C26" s="1957">
        <v>11710</v>
      </c>
    </row>
    <row r="27" spans="1:3" x14ac:dyDescent="0.2">
      <c r="A27" s="1070"/>
      <c r="B27" s="329" t="s">
        <v>2107</v>
      </c>
      <c r="C27" s="1957">
        <v>98</v>
      </c>
    </row>
    <row r="28" spans="1:3" x14ac:dyDescent="0.2">
      <c r="A28" s="1070"/>
      <c r="B28" s="329" t="s">
        <v>2108</v>
      </c>
      <c r="C28" s="1961">
        <v>4622</v>
      </c>
    </row>
    <row r="29" spans="1:3" ht="13.5" thickBot="1" x14ac:dyDescent="0.25">
      <c r="A29" s="1070"/>
      <c r="C29" s="1963">
        <f>SUM(C23:C28)</f>
        <v>97768</v>
      </c>
    </row>
    <row r="30" spans="1:3" ht="13.5" thickTop="1" x14ac:dyDescent="0.2">
      <c r="A30" s="1070"/>
    </row>
    <row r="31" spans="1:3" x14ac:dyDescent="0.2">
      <c r="A31" s="1070"/>
      <c r="B31" s="329" t="s">
        <v>2109</v>
      </c>
    </row>
    <row r="32" spans="1:3" ht="13.5" thickBot="1" x14ac:dyDescent="0.25">
      <c r="A32" s="1070"/>
      <c r="B32" s="329" t="s">
        <v>2103</v>
      </c>
      <c r="C32" s="1958">
        <v>973</v>
      </c>
    </row>
    <row r="33" spans="1:3" ht="13.5" thickTop="1" x14ac:dyDescent="0.2">
      <c r="A33" s="1070"/>
    </row>
    <row r="34" spans="1:3" x14ac:dyDescent="0.2">
      <c r="A34" s="1070"/>
      <c r="B34" s="329" t="s">
        <v>2110</v>
      </c>
    </row>
    <row r="35" spans="1:3" ht="13.5" thickBot="1" x14ac:dyDescent="0.25">
      <c r="A35" s="1070"/>
      <c r="B35" s="329" t="s">
        <v>2111</v>
      </c>
      <c r="C35" s="1958">
        <v>24999</v>
      </c>
    </row>
    <row r="36" spans="1:3" ht="13.5" thickTop="1" x14ac:dyDescent="0.2">
      <c r="A36" s="1070"/>
    </row>
    <row r="37" spans="1:3" x14ac:dyDescent="0.2">
      <c r="A37" s="1070"/>
      <c r="B37" s="329" t="s">
        <v>2112</v>
      </c>
    </row>
    <row r="38" spans="1:3" ht="13.5" thickBot="1" x14ac:dyDescent="0.25">
      <c r="A38" s="1070"/>
      <c r="B38" s="329" t="s">
        <v>2113</v>
      </c>
      <c r="C38" s="1958">
        <v>456</v>
      </c>
    </row>
    <row r="39" spans="1:3" ht="13.5" thickTop="1" x14ac:dyDescent="0.2">
      <c r="A39" s="1070"/>
    </row>
    <row r="40" spans="1:3" x14ac:dyDescent="0.2">
      <c r="A40" s="1070"/>
    </row>
    <row r="41" spans="1:3" x14ac:dyDescent="0.2">
      <c r="A41" s="1070"/>
      <c r="B41" s="329" t="s">
        <v>2114</v>
      </c>
    </row>
    <row r="42" spans="1:3" ht="13.5" thickBot="1" x14ac:dyDescent="0.25">
      <c r="A42" s="1070"/>
      <c r="B42" s="329" t="s">
        <v>2115</v>
      </c>
      <c r="C42" s="1958">
        <v>750</v>
      </c>
    </row>
    <row r="43" spans="1:3" ht="13.5" thickTop="1" x14ac:dyDescent="0.2">
      <c r="A43" s="1070"/>
    </row>
    <row r="44" spans="1:3" x14ac:dyDescent="0.2">
      <c r="A44" s="1070"/>
    </row>
    <row r="45" spans="1:3" x14ac:dyDescent="0.2">
      <c r="A45" s="1070"/>
      <c r="B45" s="329" t="s">
        <v>2116</v>
      </c>
    </row>
    <row r="46" spans="1:3" ht="13.5" thickBot="1" x14ac:dyDescent="0.25">
      <c r="A46" s="1070"/>
      <c r="B46" s="329" t="s">
        <v>2117</v>
      </c>
      <c r="C46" s="1958">
        <v>5027</v>
      </c>
    </row>
    <row r="47" spans="1:3" ht="13.5" thickTop="1" x14ac:dyDescent="0.2">
      <c r="A47" s="1070"/>
    </row>
    <row r="48" spans="1:3" x14ac:dyDescent="0.2">
      <c r="A48" s="1070"/>
    </row>
    <row r="49" spans="1:3" x14ac:dyDescent="0.2">
      <c r="A49" s="1070"/>
      <c r="B49" s="329" t="s">
        <v>2118</v>
      </c>
    </row>
    <row r="50" spans="1:3" ht="13.5" thickBot="1" x14ac:dyDescent="0.25">
      <c r="A50" s="1070"/>
      <c r="B50" s="329" t="s">
        <v>2119</v>
      </c>
      <c r="C50" s="1958">
        <v>6500</v>
      </c>
    </row>
    <row r="51" spans="1:3" ht="13.5" thickTop="1" x14ac:dyDescent="0.2">
      <c r="A51" s="1070"/>
    </row>
    <row r="52" spans="1:3" x14ac:dyDescent="0.2">
      <c r="A52" s="1070"/>
    </row>
    <row r="53" spans="1:3" x14ac:dyDescent="0.2">
      <c r="A53" s="1070"/>
      <c r="B53" s="329" t="s">
        <v>2120</v>
      </c>
    </row>
    <row r="54" spans="1:3" ht="13.5" thickBot="1" x14ac:dyDescent="0.25">
      <c r="A54" s="1070"/>
      <c r="B54" s="329" t="s">
        <v>2121</v>
      </c>
      <c r="C54" s="1958">
        <v>30609</v>
      </c>
    </row>
    <row r="55" spans="1:3" ht="13.5" thickTop="1" x14ac:dyDescent="0.2">
      <c r="A55" s="1070"/>
    </row>
    <row r="56" spans="1:3" x14ac:dyDescent="0.2">
      <c r="A56" s="1070"/>
    </row>
    <row r="57" spans="1:3" x14ac:dyDescent="0.2">
      <c r="A57" s="1070"/>
      <c r="B57" s="329" t="s">
        <v>2122</v>
      </c>
    </row>
    <row r="58" spans="1:3" x14ac:dyDescent="0.2">
      <c r="A58" s="1070"/>
      <c r="B58" s="329" t="s">
        <v>2123</v>
      </c>
      <c r="C58" s="1957">
        <v>238</v>
      </c>
    </row>
    <row r="59" spans="1:3" x14ac:dyDescent="0.2">
      <c r="A59" s="1070"/>
      <c r="B59" s="329" t="s">
        <v>2124</v>
      </c>
      <c r="C59" s="1961">
        <v>147</v>
      </c>
    </row>
    <row r="60" spans="1:3" ht="13.5" thickBot="1" x14ac:dyDescent="0.25">
      <c r="A60" s="1070"/>
      <c r="C60" s="1962">
        <v>385</v>
      </c>
    </row>
    <row r="61" spans="1:3" ht="13.5" thickTop="1" x14ac:dyDescent="0.2">
      <c r="A61" s="1070"/>
    </row>
    <row r="62" spans="1:3" x14ac:dyDescent="0.2">
      <c r="A62" s="1070"/>
    </row>
    <row r="63" spans="1:3" x14ac:dyDescent="0.2">
      <c r="A63" s="1070"/>
    </row>
    <row r="64" spans="1:3" x14ac:dyDescent="0.2">
      <c r="A64" s="1070"/>
    </row>
    <row r="65" spans="2:2" x14ac:dyDescent="0.2">
      <c r="B65" s="258"/>
    </row>
    <row r="66" spans="2:2" x14ac:dyDescent="0.2">
      <c r="B66"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E20" sqref="E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2" t="s">
        <v>1784</v>
      </c>
      <c r="B18" s="236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6</xdr:row>
                <xdr:rowOff>47625</xdr:rowOff>
              </from>
              <to>
                <xdr:col>1</xdr:col>
                <xdr:colOff>914400</xdr:colOff>
                <xdr:row>11</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2" zoomScale="110" zoomScaleNormal="110" workbookViewId="0">
      <selection activeCell="B20" sqref="B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5"/>
      <c r="H2" s="1075"/>
    </row>
    <row r="3" spans="1:8" ht="57" customHeight="1" x14ac:dyDescent="0.2">
      <c r="A3" s="2376" t="s">
        <v>1786</v>
      </c>
      <c r="B3" s="2377"/>
      <c r="C3" s="2377"/>
      <c r="D3" s="2377"/>
      <c r="E3" s="2377"/>
      <c r="F3" s="2378"/>
      <c r="G3" s="1075"/>
      <c r="H3" s="1075"/>
    </row>
    <row r="4" spans="1:8" ht="14.25" customHeight="1" x14ac:dyDescent="0.2">
      <c r="A4" s="2382" t="s">
        <v>2056</v>
      </c>
      <c r="B4" s="2383"/>
      <c r="C4" s="2383"/>
      <c r="D4" s="2383"/>
      <c r="E4" s="2383"/>
      <c r="F4" s="2384"/>
      <c r="G4" s="1075"/>
      <c r="H4" s="1075"/>
    </row>
    <row r="5" spans="1:8" ht="14.25" customHeight="1" x14ac:dyDescent="0.2">
      <c r="A5" s="2385" t="s">
        <v>2057</v>
      </c>
      <c r="B5" s="2386"/>
      <c r="C5" s="2386"/>
      <c r="D5" s="2386"/>
      <c r="E5" s="2386"/>
      <c r="F5" s="2387"/>
      <c r="G5" s="1075"/>
      <c r="H5" s="1075"/>
    </row>
    <row r="6" spans="1:8" s="1076" customFormat="1" ht="41.25" customHeight="1" x14ac:dyDescent="0.2">
      <c r="A6" s="2379" t="s">
        <v>1792</v>
      </c>
      <c r="B6" s="2380"/>
      <c r="C6" s="2380"/>
      <c r="D6" s="2380"/>
      <c r="E6" s="2380"/>
      <c r="F6" s="238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5591474</v>
      </c>
      <c r="C8" s="1838">
        <f>'Acct Summary 7-8'!D8</f>
        <v>407151</v>
      </c>
      <c r="D8" s="1838">
        <f>'Acct Summary 7-8'!F8</f>
        <v>501247</v>
      </c>
      <c r="E8" s="1838">
        <f>'Acct Summary 7-8'!I8</f>
        <v>39333</v>
      </c>
      <c r="F8" s="1838">
        <f>SUM(B8:E8)</f>
        <v>6539205</v>
      </c>
    </row>
    <row r="9" spans="1:8" s="1080" customFormat="1" ht="14.25" customHeight="1" thickBot="1" x14ac:dyDescent="0.25">
      <c r="A9" s="1079" t="s">
        <v>1436</v>
      </c>
      <c r="B9" s="1839">
        <f>'Acct Summary 7-8'!C17</f>
        <v>5451318</v>
      </c>
      <c r="C9" s="1839">
        <f>'Acct Summary 7-8'!D17</f>
        <v>534899</v>
      </c>
      <c r="D9" s="1839">
        <f>'Acct Summary 7-8'!F17</f>
        <v>358962</v>
      </c>
      <c r="E9" s="1838"/>
      <c r="F9" s="1838">
        <f>SUM(B9:E9)</f>
        <v>6345179</v>
      </c>
    </row>
    <row r="10" spans="1:8" s="1080" customFormat="1" ht="14.25" thickTop="1" thickBot="1" x14ac:dyDescent="0.25">
      <c r="A10" s="1081" t="s">
        <v>1437</v>
      </c>
      <c r="B10" s="1840">
        <f>(B8-B9)</f>
        <v>140156</v>
      </c>
      <c r="C10" s="1840">
        <f>(C8-C9)</f>
        <v>-127748</v>
      </c>
      <c r="D10" s="1840">
        <f>(D8-D9)</f>
        <v>142285</v>
      </c>
      <c r="E10" s="1839">
        <f>(E8-E9)</f>
        <v>39333</v>
      </c>
      <c r="F10" s="1841">
        <f>SUM(F8-F9)</f>
        <v>194026</v>
      </c>
    </row>
    <row r="11" spans="1:8" s="1080" customFormat="1" ht="14.25" thickTop="1" thickBot="1" x14ac:dyDescent="0.25">
      <c r="A11" s="1082" t="s">
        <v>1785</v>
      </c>
      <c r="B11" s="1842">
        <f>'Acct Summary 7-8'!C81</f>
        <v>586618</v>
      </c>
      <c r="C11" s="1842">
        <f>'Acct Summary 7-8'!D81</f>
        <v>100241</v>
      </c>
      <c r="D11" s="1842">
        <f>'Acct Summary 7-8'!F81</f>
        <v>347309</v>
      </c>
      <c r="E11" s="1842">
        <f>'Acct Summary 7-8'!I81</f>
        <v>274444</v>
      </c>
      <c r="F11" s="1843">
        <f>SUM(B11:E11)</f>
        <v>1308612</v>
      </c>
    </row>
    <row r="12" spans="1:8" ht="16.5" customHeight="1" thickTop="1" x14ac:dyDescent="0.2">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1787</v>
      </c>
      <c r="B16" s="2366"/>
      <c r="C16" s="2366"/>
      <c r="D16" s="2366"/>
      <c r="E16" s="236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8" t="s">
        <v>686</v>
      </c>
      <c r="B3" s="2389"/>
      <c r="C3" s="2389"/>
      <c r="D3" s="239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9" t="s">
        <v>1584</v>
      </c>
      <c r="D7" s="240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1" t="s">
        <v>1065</v>
      </c>
      <c r="B15" s="2392"/>
      <c r="C15" s="2392"/>
      <c r="D15" s="2393"/>
    </row>
    <row r="16" spans="1:4" s="669" customFormat="1" ht="24" customHeight="1" x14ac:dyDescent="0.2">
      <c r="A16" s="2394" t="s">
        <v>684</v>
      </c>
      <c r="B16" s="2395"/>
      <c r="C16" s="2395"/>
      <c r="D16" s="239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3" t="s">
        <v>332</v>
      </c>
      <c r="D21" s="2404"/>
    </row>
    <row r="22" spans="1:10" ht="12.75" x14ac:dyDescent="0.2">
      <c r="A22" s="1140"/>
      <c r="B22" s="1141">
        <v>2</v>
      </c>
      <c r="C22" s="2401" t="s">
        <v>1605</v>
      </c>
      <c r="D22" s="240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5" t="s">
        <v>557</v>
      </c>
      <c r="D43" s="240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7" t="s">
        <v>817</v>
      </c>
      <c r="D56" s="239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97" t="s">
        <v>1797</v>
      </c>
      <c r="D70" s="239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3025010026</v>
      </c>
    </row>
    <row r="3" spans="1:2" x14ac:dyDescent="0.2">
      <c r="A3" t="s">
        <v>1013</v>
      </c>
      <c r="B3" s="138" t="str">
        <f>COVER!A15</f>
        <v>Effingham</v>
      </c>
    </row>
    <row r="4" spans="1:2" x14ac:dyDescent="0.2">
      <c r="A4" t="s">
        <v>1064</v>
      </c>
      <c r="B4" s="138" t="str">
        <f>COVER!A17</f>
        <v>Altamont CUSD 10</v>
      </c>
    </row>
    <row r="5" spans="1:2" x14ac:dyDescent="0.2">
      <c r="A5" t="s">
        <v>728</v>
      </c>
      <c r="B5" s="138" t="str">
        <f>COVER!A38</f>
        <v>Steve Mayerhofer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066-004976</v>
      </c>
    </row>
    <row r="16" spans="1:2" x14ac:dyDescent="0.2">
      <c r="A16" t="s">
        <v>442</v>
      </c>
      <c r="B16" s="138" t="str">
        <f>COVER!T13</f>
        <v>Glass and Shuffett, Ltd.</v>
      </c>
    </row>
    <row r="17" spans="1:2" x14ac:dyDescent="0.2">
      <c r="A17" t="s">
        <v>939</v>
      </c>
      <c r="B17" s="138">
        <f>COVER!T15</f>
        <v>0</v>
      </c>
    </row>
    <row r="18" spans="1:2" x14ac:dyDescent="0.2">
      <c r="A18" t="s">
        <v>1212</v>
      </c>
      <c r="B18" s="138" t="str">
        <f>COVER!T17</f>
        <v>1819 West McCord St., P.O. Box489</v>
      </c>
    </row>
    <row r="19" spans="1:2" x14ac:dyDescent="0.2">
      <c r="A19" t="s">
        <v>941</v>
      </c>
      <c r="B19" s="138" t="str">
        <f>COVER!T25</f>
        <v>gandscpa@sbcglobal.net</v>
      </c>
    </row>
    <row r="20" spans="1:2" x14ac:dyDescent="0.2">
      <c r="A20" t="s">
        <v>942</v>
      </c>
      <c r="B20" s="138" t="str">
        <f>COVER!T19</f>
        <v>Centralia</v>
      </c>
    </row>
    <row r="21" spans="1:2" x14ac:dyDescent="0.2">
      <c r="A21" t="s">
        <v>500</v>
      </c>
      <c r="B21" s="138" t="str">
        <f>COVER!X19</f>
        <v>IL</v>
      </c>
    </row>
    <row r="22" spans="1:2" x14ac:dyDescent="0.2">
      <c r="A22" t="s">
        <v>943</v>
      </c>
      <c r="B22" s="138">
        <f>COVER!Z19</f>
        <v>62801</v>
      </c>
    </row>
    <row r="23" spans="1:2" x14ac:dyDescent="0.2">
      <c r="A23" t="s">
        <v>1214</v>
      </c>
      <c r="B23" s="138" t="str">
        <f>COVER!T21</f>
        <v>618-532-5683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586618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586618</v>
      </c>
      <c r="D92" s="2" t="str">
        <f t="shared" si="0"/>
        <v>Error?</v>
      </c>
    </row>
    <row r="93" spans="1:4" x14ac:dyDescent="0.2">
      <c r="A93" s="5">
        <v>32</v>
      </c>
      <c r="B93" s="138">
        <f>'Assets-Liab 5-6'!C41</f>
        <v>586618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100241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100241</v>
      </c>
      <c r="D123" s="2" t="str">
        <f t="shared" si="0"/>
        <v>Error?</v>
      </c>
    </row>
    <row r="124" spans="1:4" x14ac:dyDescent="0.2">
      <c r="A124" s="5">
        <v>63</v>
      </c>
      <c r="B124" s="138">
        <f>'Assets-Liab 5-6'!D41</f>
        <v>100241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300094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300094</v>
      </c>
      <c r="D140" s="2" t="str">
        <f t="shared" si="1"/>
        <v>Error?</v>
      </c>
    </row>
    <row r="141" spans="1:4" x14ac:dyDescent="0.2">
      <c r="A141" s="5">
        <v>80</v>
      </c>
      <c r="B141" s="138">
        <f>'Assets-Liab 5-6'!E41</f>
        <v>300094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354010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6701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6701</v>
      </c>
      <c r="C169" s="2" t="s">
        <v>594</v>
      </c>
      <c r="D169" s="2" t="str">
        <f t="shared" si="1"/>
        <v>Error?</v>
      </c>
    </row>
    <row r="170" spans="1:4" x14ac:dyDescent="0.2">
      <c r="A170" s="5">
        <v>109</v>
      </c>
      <c r="B170" s="138">
        <f>'Assets-Liab 5-6'!F39</f>
        <v>347309</v>
      </c>
      <c r="D170" s="2" t="str">
        <f t="shared" si="1"/>
        <v>Error?</v>
      </c>
    </row>
    <row r="171" spans="1:4" x14ac:dyDescent="0.2">
      <c r="A171" s="5">
        <v>110</v>
      </c>
      <c r="B171" s="138">
        <f>'Assets-Liab 5-6'!F41</f>
        <v>354010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501797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357715</v>
      </c>
      <c r="D189" s="2" t="str">
        <f t="shared" si="1"/>
        <v>Error?</v>
      </c>
    </row>
    <row r="190" spans="1:4" x14ac:dyDescent="0.2">
      <c r="A190" s="5">
        <v>129</v>
      </c>
      <c r="B190" s="138">
        <f>'Assets-Liab 5-6'!G41</f>
        <v>501797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103054</v>
      </c>
      <c r="D273" s="2" t="str">
        <f t="shared" si="3"/>
        <v>Error?</v>
      </c>
    </row>
    <row r="274" spans="1:4" x14ac:dyDescent="0.2">
      <c r="A274" s="5">
        <v>213</v>
      </c>
      <c r="B274" s="138">
        <f>'Assets-Liab 5-6'!M17</f>
        <v>14542425</v>
      </c>
      <c r="D274" s="2" t="str">
        <f t="shared" si="3"/>
        <v>Error?</v>
      </c>
    </row>
    <row r="275" spans="1:4" x14ac:dyDescent="0.2">
      <c r="A275" s="5">
        <v>214</v>
      </c>
      <c r="B275" s="138">
        <f>'Assets-Liab 5-6'!M18</f>
        <v>1321001</v>
      </c>
      <c r="D275" s="2" t="str">
        <f t="shared" si="3"/>
        <v>Error?</v>
      </c>
    </row>
    <row r="276" spans="1:4" x14ac:dyDescent="0.2">
      <c r="A276" s="5">
        <v>215</v>
      </c>
      <c r="B276" s="138">
        <f>'Assets-Liab 5-6'!M19</f>
        <v>5455166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21421646</v>
      </c>
      <c r="C279" s="2" t="s">
        <v>594</v>
      </c>
      <c r="D279" s="2" t="str">
        <f t="shared" si="3"/>
        <v>Error?</v>
      </c>
    </row>
    <row r="280" spans="1:4" x14ac:dyDescent="0.2">
      <c r="A280" s="5">
        <v>219</v>
      </c>
      <c r="B280" s="138">
        <f>'Assets-Liab 5-6'!M40</f>
        <v>21421646</v>
      </c>
      <c r="D280" s="2" t="str">
        <f t="shared" si="3"/>
        <v>Error?</v>
      </c>
    </row>
    <row r="281" spans="1:4" x14ac:dyDescent="0.2">
      <c r="A281" s="5">
        <v>220</v>
      </c>
      <c r="B281" s="138">
        <f>'Assets-Liab 5-6'!M41</f>
        <v>21421646</v>
      </c>
      <c r="C281" s="2" t="s">
        <v>594</v>
      </c>
      <c r="D281" s="2" t="str">
        <f t="shared" si="3"/>
        <v>Error?</v>
      </c>
    </row>
    <row r="282" spans="1:4" x14ac:dyDescent="0.2">
      <c r="A282" s="5">
        <v>221</v>
      </c>
      <c r="B282" s="138">
        <f>'Assets-Liab 5-6'!N21</f>
        <v>300094</v>
      </c>
      <c r="D282" s="2" t="str">
        <f t="shared" si="3"/>
        <v>Error?</v>
      </c>
    </row>
    <row r="283" spans="1:4" x14ac:dyDescent="0.2">
      <c r="A283" s="5">
        <v>222</v>
      </c>
      <c r="B283" s="138">
        <f>'Assets-Liab 5-6'!N22</f>
        <v>7594839</v>
      </c>
      <c r="D283" s="2" t="str">
        <f t="shared" si="3"/>
        <v>Error?</v>
      </c>
    </row>
    <row r="284" spans="1:4" x14ac:dyDescent="0.2">
      <c r="A284" s="5">
        <v>223</v>
      </c>
      <c r="B284" s="138">
        <f>'Assets-Liab 5-6'!N23</f>
        <v>7894933</v>
      </c>
      <c r="C284" s="2" t="s">
        <v>594</v>
      </c>
      <c r="D284" s="2" t="str">
        <f t="shared" si="3"/>
        <v>Error?</v>
      </c>
    </row>
    <row r="285" spans="1:4" x14ac:dyDescent="0.2">
      <c r="A285" s="5">
        <v>224</v>
      </c>
      <c r="B285" s="138">
        <f>'Assets-Liab 5-6'!N36</f>
        <v>7894933</v>
      </c>
      <c r="D285" s="2" t="str">
        <f t="shared" si="3"/>
        <v>Error?</v>
      </c>
    </row>
    <row r="286" spans="1:4" x14ac:dyDescent="0.2">
      <c r="A286" s="10">
        <v>225</v>
      </c>
      <c r="D286" s="2" t="str">
        <f t="shared" si="3"/>
        <v>OK</v>
      </c>
    </row>
    <row r="287" spans="1:4" x14ac:dyDescent="0.2">
      <c r="A287" s="5">
        <v>226</v>
      </c>
      <c r="B287" s="138">
        <f>'Assets-Liab 5-6'!N37</f>
        <v>7894933</v>
      </c>
      <c r="C287" s="2" t="s">
        <v>594</v>
      </c>
      <c r="D287" s="2" t="str">
        <f t="shared" si="3"/>
        <v>Error?</v>
      </c>
    </row>
    <row r="288" spans="1:4" x14ac:dyDescent="0.2">
      <c r="A288" s="5">
        <v>227</v>
      </c>
      <c r="B288" s="138">
        <f>'Assets-Liab 5-6'!N41</f>
        <v>7894933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2147816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160784</v>
      </c>
      <c r="D717" s="2" t="str">
        <f t="shared" si="10"/>
        <v>Error?</v>
      </c>
    </row>
    <row r="718" spans="1:4" x14ac:dyDescent="0.2">
      <c r="A718" s="5">
        <v>657</v>
      </c>
      <c r="B718" s="138">
        <f>'Expenditures 15-22'!C14</f>
        <v>83709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2948690</v>
      </c>
      <c r="C720" s="2" t="s">
        <v>594</v>
      </c>
      <c r="D720" s="2" t="str">
        <f t="shared" si="10"/>
        <v>Error?</v>
      </c>
    </row>
    <row r="721" spans="1:4" x14ac:dyDescent="0.2">
      <c r="A721" s="5">
        <v>660</v>
      </c>
      <c r="B721" s="138">
        <f>'Expenditures 15-22'!C36</f>
        <v>41135</v>
      </c>
      <c r="D721" s="2" t="str">
        <f t="shared" si="10"/>
        <v>Error?</v>
      </c>
    </row>
    <row r="722" spans="1:4" x14ac:dyDescent="0.2">
      <c r="A722" s="5">
        <v>661</v>
      </c>
      <c r="B722" s="138">
        <f>'Expenditures 15-22'!C37</f>
        <v>43556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47329</v>
      </c>
      <c r="D724" s="2" t="str">
        <f t="shared" si="10"/>
        <v>Error?</v>
      </c>
    </row>
    <row r="725" spans="1:4" x14ac:dyDescent="0.2">
      <c r="A725" s="5">
        <v>664</v>
      </c>
      <c r="B725" s="138">
        <f>'Expenditures 15-22'!C40</f>
        <v>52269</v>
      </c>
      <c r="D725" s="2" t="str">
        <f t="shared" si="10"/>
        <v>Error?</v>
      </c>
    </row>
    <row r="726" spans="1:4" x14ac:dyDescent="0.2">
      <c r="A726" s="5">
        <v>665</v>
      </c>
      <c r="B726" s="138">
        <f>'Expenditures 15-22'!C41</f>
        <v>5027</v>
      </c>
      <c r="D726" s="2" t="str">
        <f t="shared" si="10"/>
        <v>Error?</v>
      </c>
    </row>
    <row r="727" spans="1:4" x14ac:dyDescent="0.2">
      <c r="A727" s="5">
        <v>666</v>
      </c>
      <c r="B727" s="138">
        <f>'Expenditures 15-22'!C42</f>
        <v>189316</v>
      </c>
      <c r="C727" s="2" t="s">
        <v>594</v>
      </c>
      <c r="D727" s="2" t="str">
        <f t="shared" si="10"/>
        <v>Error?</v>
      </c>
    </row>
    <row r="728" spans="1:4" x14ac:dyDescent="0.2">
      <c r="A728" s="5">
        <v>667</v>
      </c>
      <c r="B728" s="138">
        <f>'Expenditures 15-22'!C44</f>
        <v>43361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43361</v>
      </c>
      <c r="C731" s="2" t="s">
        <v>594</v>
      </c>
      <c r="D731" s="2" t="str">
        <f t="shared" si="10"/>
        <v>Error?</v>
      </c>
    </row>
    <row r="732" spans="1:4" x14ac:dyDescent="0.2">
      <c r="A732" s="5">
        <v>671</v>
      </c>
      <c r="B732" s="138">
        <f>'Expenditures 15-22'!C49</f>
        <v>1948</v>
      </c>
      <c r="D732" s="2" t="str">
        <f t="shared" si="10"/>
        <v>Error?</v>
      </c>
    </row>
    <row r="733" spans="1:4" x14ac:dyDescent="0.2">
      <c r="A733" s="5">
        <v>672</v>
      </c>
      <c r="B733" s="138">
        <f>'Expenditures 15-22'!C50</f>
        <v>148242</v>
      </c>
      <c r="D733" s="2" t="str">
        <f t="shared" si="10"/>
        <v>Error?</v>
      </c>
    </row>
    <row r="734" spans="1:4" x14ac:dyDescent="0.2">
      <c r="A734" s="5">
        <v>673</v>
      </c>
      <c r="B734" s="138">
        <f>'Expenditures 15-22'!C53</f>
        <v>150190</v>
      </c>
      <c r="C734" s="2" t="s">
        <v>594</v>
      </c>
      <c r="D734" s="2" t="str">
        <f t="shared" si="10"/>
        <v>Error?</v>
      </c>
    </row>
    <row r="735" spans="1:4" x14ac:dyDescent="0.2">
      <c r="A735" s="5">
        <v>674</v>
      </c>
      <c r="B735" s="138">
        <f>'Expenditures 15-22'!C55</f>
        <v>336174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336174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61202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61202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780243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3728933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185240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5909</v>
      </c>
      <c r="D775" s="2" t="str">
        <f t="shared" si="11"/>
        <v>Error?</v>
      </c>
    </row>
    <row r="776" spans="1:4" x14ac:dyDescent="0.2">
      <c r="A776" s="5">
        <v>715</v>
      </c>
      <c r="B776" s="138">
        <f>'Expenditures 15-22'!D14</f>
        <v>699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242567</v>
      </c>
      <c r="C778" s="2" t="s">
        <v>594</v>
      </c>
      <c r="D778" s="2" t="str">
        <f t="shared" si="11"/>
        <v>Error?</v>
      </c>
    </row>
    <row r="779" spans="1:4" x14ac:dyDescent="0.2">
      <c r="A779" s="5">
        <v>718</v>
      </c>
      <c r="B779" s="138">
        <f>'Expenditures 15-22'!D36</f>
        <v>604</v>
      </c>
      <c r="D779" s="2" t="str">
        <f t="shared" si="11"/>
        <v>Error?</v>
      </c>
    </row>
    <row r="780" spans="1:4" x14ac:dyDescent="0.2">
      <c r="A780" s="5">
        <v>719</v>
      </c>
      <c r="B780" s="138">
        <f>'Expenditures 15-22'!D37</f>
        <v>645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6017</v>
      </c>
      <c r="D782" s="2" t="str">
        <f t="shared" si="11"/>
        <v>Error?</v>
      </c>
    </row>
    <row r="783" spans="1:4" x14ac:dyDescent="0.2">
      <c r="A783" s="5">
        <v>722</v>
      </c>
      <c r="B783" s="138">
        <f>'Expenditures 15-22'!D40</f>
        <v>888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8154</v>
      </c>
      <c r="C785" s="2" t="s">
        <v>594</v>
      </c>
      <c r="D785" s="2" t="str">
        <f t="shared" si="11"/>
        <v>Error?</v>
      </c>
    </row>
    <row r="786" spans="1:4" x14ac:dyDescent="0.2">
      <c r="A786" s="5">
        <v>725</v>
      </c>
      <c r="B786" s="138">
        <f>'Expenditures 15-22'!D44</f>
        <v>2262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2262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32616</v>
      </c>
      <c r="D791" s="2" t="str">
        <f t="shared" si="11"/>
        <v>Error?</v>
      </c>
    </row>
    <row r="792" spans="1:4" x14ac:dyDescent="0.2">
      <c r="A792" s="5">
        <v>731</v>
      </c>
      <c r="B792" s="138">
        <f>'Expenditures 15-22'!D53</f>
        <v>32616</v>
      </c>
      <c r="C792" s="2" t="s">
        <v>594</v>
      </c>
      <c r="D792" s="2" t="str">
        <f t="shared" si="11"/>
        <v>Error?</v>
      </c>
    </row>
    <row r="793" spans="1:4" x14ac:dyDescent="0.2">
      <c r="A793" s="5">
        <v>732</v>
      </c>
      <c r="B793" s="138">
        <f>'Expenditures 15-22'!D55</f>
        <v>59247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59247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7866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7866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110145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352712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56185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2716</v>
      </c>
      <c r="D833" s="2" t="str">
        <f t="shared" si="12"/>
        <v>Error?</v>
      </c>
    </row>
    <row r="834" spans="1:4" x14ac:dyDescent="0.2">
      <c r="A834" s="5">
        <v>773</v>
      </c>
      <c r="B834" s="138">
        <f>'Expenditures 15-22'!E14</f>
        <v>23668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89912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977</v>
      </c>
      <c r="D840" s="2" t="str">
        <f t="shared" si="12"/>
        <v>Error?</v>
      </c>
    </row>
    <row r="841" spans="1:4" x14ac:dyDescent="0.2">
      <c r="A841" s="5">
        <v>780</v>
      </c>
      <c r="B841" s="138">
        <f>'Expenditures 15-22'!E40</f>
        <v>449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1521</v>
      </c>
      <c r="C843" s="2" t="s">
        <v>594</v>
      </c>
      <c r="D843" s="2" t="str">
        <f t="shared" si="12"/>
        <v>Error?</v>
      </c>
    </row>
    <row r="844" spans="1:4" x14ac:dyDescent="0.2">
      <c r="A844" s="5">
        <v>783</v>
      </c>
      <c r="B844" s="138">
        <f>'Expenditures 15-22'!E44</f>
        <v>5488</v>
      </c>
      <c r="D844" s="2" t="str">
        <f t="shared" si="12"/>
        <v>Error?</v>
      </c>
    </row>
    <row r="845" spans="1:4" x14ac:dyDescent="0.2">
      <c r="A845" s="5">
        <v>784</v>
      </c>
      <c r="B845" s="138">
        <f>'Expenditures 15-22'!E45</f>
        <v>2143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7631</v>
      </c>
      <c r="C847" s="2" t="s">
        <v>594</v>
      </c>
      <c r="D847" s="2" t="str">
        <f t="shared" si="12"/>
        <v>Error?</v>
      </c>
    </row>
    <row r="848" spans="1:4" x14ac:dyDescent="0.2">
      <c r="A848" s="5">
        <v>787</v>
      </c>
      <c r="B848" s="138">
        <f>'Expenditures 15-22'!E49</f>
        <v>45738</v>
      </c>
      <c r="D848" s="2" t="str">
        <f t="shared" si="12"/>
        <v>Error?</v>
      </c>
    </row>
    <row r="849" spans="1:4" x14ac:dyDescent="0.2">
      <c r="A849" s="5">
        <v>788</v>
      </c>
      <c r="B849" s="138">
        <f>'Expenditures 15-22'!E50</f>
        <v>3785</v>
      </c>
      <c r="D849" s="2" t="str">
        <f t="shared" si="12"/>
        <v>Error?</v>
      </c>
    </row>
    <row r="850" spans="1:4" x14ac:dyDescent="0.2">
      <c r="A850" s="5">
        <v>789</v>
      </c>
      <c r="B850" s="138">
        <f>'Expenditures 15-22'!E53</f>
        <v>49523</v>
      </c>
      <c r="C850" s="2" t="s">
        <v>594</v>
      </c>
      <c r="D850" s="2" t="str">
        <f t="shared" si="12"/>
        <v>Error?</v>
      </c>
    </row>
    <row r="851" spans="1:4" x14ac:dyDescent="0.2">
      <c r="A851" s="5">
        <v>790</v>
      </c>
      <c r="B851" s="138">
        <f>'Expenditures 15-22'!E55</f>
        <v>3725</v>
      </c>
      <c r="D851" s="2" t="str">
        <f t="shared" si="12"/>
        <v>Error?</v>
      </c>
    </row>
    <row r="852" spans="1:4" x14ac:dyDescent="0.2">
      <c r="A852" s="5">
        <v>791</v>
      </c>
      <c r="B852" s="138">
        <f>'Expenditures 15-22'!E56</f>
        <v>6500</v>
      </c>
      <c r="D852" s="2" t="str">
        <f t="shared" si="12"/>
        <v>Error?</v>
      </c>
    </row>
    <row r="853" spans="1:4" x14ac:dyDescent="0.2">
      <c r="A853" s="5">
        <v>792</v>
      </c>
      <c r="B853" s="138">
        <f>'Expenditures 15-22'!E57</f>
        <v>10225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41408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5273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46681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30609</v>
      </c>
      <c r="D870" s="2" t="str">
        <f t="shared" si="12"/>
        <v>Error?</v>
      </c>
    </row>
    <row r="871" spans="1:4" x14ac:dyDescent="0.2">
      <c r="A871" s="5">
        <v>810</v>
      </c>
      <c r="B871" s="138">
        <f>'Expenditures 15-22'!E74</f>
        <v>146190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236452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46269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11488</v>
      </c>
      <c r="D891" s="2" t="str">
        <f t="shared" si="12"/>
        <v>Error?</v>
      </c>
    </row>
    <row r="892" spans="1:4" x14ac:dyDescent="0.2">
      <c r="A892" s="5">
        <v>831</v>
      </c>
      <c r="B892" s="138">
        <f>'Expenditures 15-22'!F14</f>
        <v>13373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103237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670</v>
      </c>
      <c r="D897" s="2" t="str">
        <f t="shared" si="13"/>
        <v>Error?</v>
      </c>
    </row>
    <row r="898" spans="1:4" x14ac:dyDescent="0.2">
      <c r="A898" s="5">
        <v>837</v>
      </c>
      <c r="B898" s="138">
        <f>'Expenditures 15-22'!F39</f>
        <v>661</v>
      </c>
      <c r="D898" s="2" t="str">
        <f t="shared" si="13"/>
        <v>Error?</v>
      </c>
    </row>
    <row r="899" spans="1:4" x14ac:dyDescent="0.2">
      <c r="A899" s="5">
        <v>838</v>
      </c>
      <c r="B899" s="138">
        <f>'Expenditures 15-22'!F40</f>
        <v>74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1405</v>
      </c>
      <c r="C901" s="2" t="s">
        <v>594</v>
      </c>
      <c r="D901" s="2" t="str">
        <f t="shared" si="13"/>
        <v>Error?</v>
      </c>
    </row>
    <row r="902" spans="1:4" x14ac:dyDescent="0.2">
      <c r="A902" s="5">
        <v>841</v>
      </c>
      <c r="B902" s="138">
        <f>'Expenditures 15-22'!F44</f>
        <v>1117</v>
      </c>
      <c r="D902" s="2" t="str">
        <f t="shared" si="13"/>
        <v>Error?</v>
      </c>
    </row>
    <row r="903" spans="1:4" x14ac:dyDescent="0.2">
      <c r="A903" s="5">
        <v>842</v>
      </c>
      <c r="B903" s="138">
        <f>'Expenditures 15-22'!F45</f>
        <v>80996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82113</v>
      </c>
      <c r="C905" s="2" t="s">
        <v>594</v>
      </c>
      <c r="D905" s="2" t="str">
        <f t="shared" si="13"/>
        <v>Error?</v>
      </c>
    </row>
    <row r="906" spans="1:4" x14ac:dyDescent="0.2">
      <c r="A906" s="5">
        <v>845</v>
      </c>
      <c r="B906" s="138">
        <f>'Expenditures 15-22'!F49</f>
        <v>1343</v>
      </c>
      <c r="D906" s="2" t="str">
        <f t="shared" si="13"/>
        <v>Error?</v>
      </c>
    </row>
    <row r="907" spans="1:4" x14ac:dyDescent="0.2">
      <c r="A907" s="5">
        <v>846</v>
      </c>
      <c r="B907" s="138">
        <f>'Expenditures 15-22'!F50</f>
        <v>1217</v>
      </c>
      <c r="D907" s="2" t="str">
        <f t="shared" si="13"/>
        <v>Error?</v>
      </c>
    </row>
    <row r="908" spans="1:4" x14ac:dyDescent="0.2">
      <c r="A908" s="5">
        <v>847</v>
      </c>
      <c r="B908" s="138">
        <f>'Expenditures 15-22'!F53</f>
        <v>2560</v>
      </c>
      <c r="C908" s="2" t="s">
        <v>594</v>
      </c>
      <c r="D908" s="2" t="str">
        <f t="shared" si="13"/>
        <v>Error?</v>
      </c>
    </row>
    <row r="909" spans="1:4" x14ac:dyDescent="0.2">
      <c r="A909" s="5">
        <v>848</v>
      </c>
      <c r="B909" s="138">
        <f>'Expenditures 15-22'!F55</f>
        <v>2354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2354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3571</v>
      </c>
      <c r="D913" s="2" t="str">
        <f t="shared" si="13"/>
        <v>Error?</v>
      </c>
    </row>
    <row r="914" spans="1:4" x14ac:dyDescent="0.2">
      <c r="A914" s="5">
        <v>853</v>
      </c>
      <c r="B914" s="138">
        <f>'Expenditures 15-22'!F61</f>
        <v>155322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111565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270458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358890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462127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162081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4896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190031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2471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2471</v>
      </c>
      <c r="C963" s="2" t="s">
        <v>594</v>
      </c>
      <c r="D963" s="2" t="str">
        <f t="shared" si="14"/>
        <v>Error?</v>
      </c>
    </row>
    <row r="964" spans="1:4" x14ac:dyDescent="0.2">
      <c r="A964" s="5">
        <v>903</v>
      </c>
      <c r="B964" s="138">
        <f>'Expenditures 15-22'!G49</f>
        <v>2116</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2116</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19176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19176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23763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213794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1168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6245</v>
      </c>
      <c r="D1008" s="2" t="str">
        <f t="shared" si="14"/>
        <v>Error?</v>
      </c>
    </row>
    <row r="1009" spans="1:4" x14ac:dyDescent="0.2">
      <c r="A1009" s="5">
        <v>948</v>
      </c>
      <c r="B1009" s="138">
        <f>'Expenditures 15-22'!H15</f>
        <v>7205</v>
      </c>
      <c r="D1009" s="2" t="str">
        <f t="shared" si="14"/>
        <v>Error?</v>
      </c>
    </row>
    <row r="1010" spans="1:4" x14ac:dyDescent="0.2">
      <c r="A1010" s="5">
        <v>949</v>
      </c>
      <c r="B1010" s="138">
        <f>'Expenditures 15-22'!H33</f>
        <v>14618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210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210</v>
      </c>
      <c r="C1017" s="2" t="s">
        <v>594</v>
      </c>
      <c r="D1017" s="2" t="str">
        <f t="shared" si="14"/>
        <v>Error?</v>
      </c>
    </row>
    <row r="1018" spans="1:4" x14ac:dyDescent="0.2">
      <c r="A1018" s="5">
        <v>957</v>
      </c>
      <c r="B1018" s="138">
        <f>'Expenditures 15-22'!H44</f>
        <v>389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389</v>
      </c>
      <c r="C1021" s="2" t="s">
        <v>594</v>
      </c>
      <c r="D1021" s="2" t="str">
        <f t="shared" si="14"/>
        <v>Error?</v>
      </c>
    </row>
    <row r="1022" spans="1:4" x14ac:dyDescent="0.2">
      <c r="A1022" s="5">
        <v>961</v>
      </c>
      <c r="B1022" s="138">
        <f>'Expenditures 15-22'!H49</f>
        <v>15970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15970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17289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425393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457300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2598759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180897</v>
      </c>
      <c r="C1105" s="2" t="s">
        <v>594</v>
      </c>
      <c r="D1105" s="2" t="str">
        <f t="shared" si="16"/>
        <v>Error?</v>
      </c>
    </row>
    <row r="1106" spans="1:4" x14ac:dyDescent="0.2">
      <c r="A1106" s="5">
        <v>1045</v>
      </c>
      <c r="B1106" s="138">
        <f>'Expenditures 15-22'!K14</f>
        <v>132590</v>
      </c>
      <c r="C1106" s="2" t="s">
        <v>594</v>
      </c>
      <c r="D1106" s="2" t="str">
        <f t="shared" si="16"/>
        <v>Error?</v>
      </c>
    </row>
    <row r="1107" spans="1:4" x14ac:dyDescent="0.2">
      <c r="A1107" s="5">
        <v>1046</v>
      </c>
      <c r="B1107" s="138">
        <f>'Expenditures 15-22'!K15</f>
        <v>7205</v>
      </c>
      <c r="C1107" s="2" t="s">
        <v>594</v>
      </c>
      <c r="D1107" s="2" t="str">
        <f t="shared" si="16"/>
        <v>Error?</v>
      </c>
    </row>
    <row r="1108" spans="1:4" x14ac:dyDescent="0.2">
      <c r="A1108" s="5">
        <v>1047</v>
      </c>
      <c r="B1108" s="138">
        <f>'Expenditures 15-22'!K33</f>
        <v>3589055</v>
      </c>
      <c r="C1108" s="2" t="s">
        <v>594</v>
      </c>
      <c r="D1108" s="2" t="str">
        <f t="shared" si="16"/>
        <v>Error?</v>
      </c>
    </row>
    <row r="1109" spans="1:4" x14ac:dyDescent="0.2">
      <c r="A1109" s="5">
        <v>1048</v>
      </c>
      <c r="B1109" s="138">
        <f>'Expenditures 15-22'!K36</f>
        <v>41739</v>
      </c>
      <c r="C1109" s="2" t="s">
        <v>594</v>
      </c>
      <c r="D1109" s="2" t="str">
        <f t="shared" si="16"/>
        <v>Error?</v>
      </c>
    </row>
    <row r="1110" spans="1:4" x14ac:dyDescent="0.2">
      <c r="A1110" s="5">
        <v>1049</v>
      </c>
      <c r="B1110" s="138">
        <f>'Expenditures 15-22'!K37</f>
        <v>44296</v>
      </c>
      <c r="C1110" s="2" t="s">
        <v>594</v>
      </c>
      <c r="D1110" s="2" t="str">
        <f t="shared" si="16"/>
        <v>Error?</v>
      </c>
    </row>
    <row r="1111" spans="1:4" x14ac:dyDescent="0.2">
      <c r="A1111" s="5">
        <v>1050</v>
      </c>
      <c r="B1111" s="138">
        <f>'Expenditures 15-22'!K38</f>
        <v>670</v>
      </c>
      <c r="C1111" s="2" t="s">
        <v>594</v>
      </c>
      <c r="D1111" s="2" t="str">
        <f t="shared" si="16"/>
        <v>Error?</v>
      </c>
    </row>
    <row r="1112" spans="1:4" x14ac:dyDescent="0.2">
      <c r="A1112" s="5">
        <v>1051</v>
      </c>
      <c r="B1112" s="138">
        <f>'Expenditures 15-22'!K39</f>
        <v>55194</v>
      </c>
      <c r="C1112" s="2" t="s">
        <v>594</v>
      </c>
      <c r="D1112" s="2" t="str">
        <f t="shared" si="16"/>
        <v>Error?</v>
      </c>
    </row>
    <row r="1113" spans="1:4" x14ac:dyDescent="0.2">
      <c r="A1113" s="5">
        <v>1052</v>
      </c>
      <c r="B1113" s="138">
        <f>'Expenditures 15-22'!K40</f>
        <v>53680</v>
      </c>
      <c r="C1113" s="2" t="s">
        <v>594</v>
      </c>
      <c r="D1113" s="2" t="str">
        <f t="shared" si="16"/>
        <v>Error?</v>
      </c>
    </row>
    <row r="1114" spans="1:4" x14ac:dyDescent="0.2">
      <c r="A1114" s="5">
        <v>1053</v>
      </c>
      <c r="B1114" s="138">
        <f>'Expenditures 15-22'!K41</f>
        <v>5027</v>
      </c>
      <c r="C1114" s="2" t="s">
        <v>594</v>
      </c>
      <c r="D1114" s="2" t="str">
        <f t="shared" si="16"/>
        <v>Error?</v>
      </c>
    </row>
    <row r="1115" spans="1:4" x14ac:dyDescent="0.2">
      <c r="A1115" s="5">
        <v>1054</v>
      </c>
      <c r="B1115" s="138">
        <f>'Expenditures 15-22'!K42</f>
        <v>200606</v>
      </c>
      <c r="C1115" s="2" t="s">
        <v>594</v>
      </c>
      <c r="D1115" s="2" t="str">
        <f t="shared" si="16"/>
        <v>Error?</v>
      </c>
    </row>
    <row r="1116" spans="1:4" x14ac:dyDescent="0.2">
      <c r="A1116" s="5">
        <v>1055</v>
      </c>
      <c r="B1116" s="138">
        <f>'Expenditures 15-22'!K44</f>
        <v>52617</v>
      </c>
      <c r="C1116" s="2" t="s">
        <v>594</v>
      </c>
      <c r="D1116" s="2" t="str">
        <f t="shared" si="16"/>
        <v>Error?</v>
      </c>
    </row>
    <row r="1117" spans="1:4" x14ac:dyDescent="0.2">
      <c r="A1117" s="5">
        <v>1056</v>
      </c>
      <c r="B1117" s="138">
        <f>'Expenditures 15-22'!K45</f>
        <v>85610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138227</v>
      </c>
      <c r="C1119" s="2" t="s">
        <v>594</v>
      </c>
      <c r="D1119" s="2" t="str">
        <f t="shared" si="16"/>
        <v>Error?</v>
      </c>
    </row>
    <row r="1120" spans="1:4" x14ac:dyDescent="0.2">
      <c r="A1120" s="5">
        <v>1059</v>
      </c>
      <c r="B1120" s="138">
        <f>'Expenditures 15-22'!K49</f>
        <v>67115</v>
      </c>
      <c r="C1120" s="2" t="s">
        <v>594</v>
      </c>
      <c r="D1120" s="2" t="str">
        <f t="shared" si="16"/>
        <v>Error?</v>
      </c>
    </row>
    <row r="1121" spans="1:4" x14ac:dyDescent="0.2">
      <c r="A1121" s="5">
        <v>1060</v>
      </c>
      <c r="B1121" s="138">
        <f>'Expenditures 15-22'!K50</f>
        <v>185860</v>
      </c>
      <c r="C1121" s="2" t="s">
        <v>594</v>
      </c>
      <c r="D1121" s="2" t="str">
        <f t="shared" si="16"/>
        <v>Error?</v>
      </c>
    </row>
    <row r="1122" spans="1:4" x14ac:dyDescent="0.2">
      <c r="A1122" s="5">
        <v>1061</v>
      </c>
      <c r="B1122" s="138">
        <f>'Expenditures 15-22'!K53</f>
        <v>252975</v>
      </c>
      <c r="C1122" s="2" t="s">
        <v>594</v>
      </c>
      <c r="D1122" s="2" t="str">
        <f t="shared" si="16"/>
        <v>Error?</v>
      </c>
    </row>
    <row r="1123" spans="1:4" x14ac:dyDescent="0.2">
      <c r="A1123" s="5">
        <v>1062</v>
      </c>
      <c r="B1123" s="138">
        <f>'Expenditures 15-22'!K55</f>
        <v>401500</v>
      </c>
      <c r="C1123" s="2" t="s">
        <v>594</v>
      </c>
      <c r="D1123" s="2" t="str">
        <f t="shared" si="16"/>
        <v>Error?</v>
      </c>
    </row>
    <row r="1124" spans="1:4" x14ac:dyDescent="0.2">
      <c r="A1124" s="5">
        <v>1063</v>
      </c>
      <c r="B1124" s="138">
        <f>'Expenditures 15-22'!K56</f>
        <v>6500</v>
      </c>
      <c r="C1124" s="2" t="s">
        <v>594</v>
      </c>
      <c r="D1124" s="2" t="str">
        <f t="shared" si="16"/>
        <v>Error?</v>
      </c>
    </row>
    <row r="1125" spans="1:4" x14ac:dyDescent="0.2">
      <c r="A1125" s="5">
        <v>1064</v>
      </c>
      <c r="B1125" s="138">
        <f>'Expenditures 15-22'!K57</f>
        <v>408000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3571</v>
      </c>
      <c r="C1127" s="2" t="s">
        <v>594</v>
      </c>
      <c r="D1127" s="2" t="str">
        <f t="shared" si="16"/>
        <v>Error?</v>
      </c>
    </row>
    <row r="1128" spans="1:4" x14ac:dyDescent="0.2">
      <c r="A1128" s="5">
        <v>1067</v>
      </c>
      <c r="B1128" s="138">
        <f>'Expenditures 15-22'!K61</f>
        <v>196730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205802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406103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30609</v>
      </c>
      <c r="C1142" s="2" t="s">
        <v>594</v>
      </c>
      <c r="D1142" s="2" t="str">
        <f t="shared" si="16"/>
        <v>Error?</v>
      </c>
    </row>
    <row r="1143" spans="1:4" x14ac:dyDescent="0.2">
      <c r="A1143" s="5">
        <v>1082</v>
      </c>
      <c r="B1143" s="138">
        <f>'Expenditures 15-22'!K74</f>
        <v>1436520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425743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5451318</v>
      </c>
      <c r="C1152" s="2" t="s">
        <v>594</v>
      </c>
      <c r="D1152" s="2" t="str">
        <f t="shared" si="17"/>
        <v>Error?</v>
      </c>
    </row>
    <row r="1153" spans="1:4" x14ac:dyDescent="0.2">
      <c r="A1153" s="5">
        <v>1092</v>
      </c>
      <c r="B1153" s="138">
        <f>'Expenditures 15-22'!K115</f>
        <v>140156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241057</v>
      </c>
      <c r="D1221" s="2" t="str">
        <f t="shared" si="18"/>
        <v>Error?</v>
      </c>
    </row>
    <row r="1222" spans="1:4" x14ac:dyDescent="0.2">
      <c r="A1222" s="10">
        <v>1161</v>
      </c>
      <c r="D1222" s="2" t="str">
        <f t="shared" si="18"/>
        <v>OK</v>
      </c>
    </row>
    <row r="1223" spans="1:4" x14ac:dyDescent="0.2">
      <c r="A1223" s="5">
        <v>1162</v>
      </c>
      <c r="B1223" s="138">
        <f>'Expenditures 15-22'!C127</f>
        <v>241057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241057</v>
      </c>
      <c r="C1225" s="2" t="s">
        <v>594</v>
      </c>
      <c r="D1225" s="2" t="str">
        <f t="shared" si="18"/>
        <v>Error?</v>
      </c>
    </row>
    <row r="1226" spans="1:4" x14ac:dyDescent="0.2">
      <c r="A1226" s="5">
        <v>1165</v>
      </c>
      <c r="B1226" s="138">
        <f>'Expenditures 15-22'!C151</f>
        <v>241057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28896</v>
      </c>
      <c r="D1229" s="2" t="str">
        <f t="shared" si="18"/>
        <v>Error?</v>
      </c>
    </row>
    <row r="1230" spans="1:4" x14ac:dyDescent="0.2">
      <c r="A1230" s="10">
        <v>1169</v>
      </c>
      <c r="D1230" s="2" t="str">
        <f t="shared" si="18"/>
        <v>OK</v>
      </c>
    </row>
    <row r="1231" spans="1:4" x14ac:dyDescent="0.2">
      <c r="A1231" s="5">
        <v>1170</v>
      </c>
      <c r="B1231" s="138">
        <f>'Expenditures 15-22'!D127</f>
        <v>28896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28896</v>
      </c>
      <c r="C1233" s="2" t="s">
        <v>594</v>
      </c>
      <c r="D1233" s="2" t="str">
        <f t="shared" si="18"/>
        <v>Error?</v>
      </c>
    </row>
    <row r="1234" spans="1:4" x14ac:dyDescent="0.2">
      <c r="A1234" s="5">
        <v>1173</v>
      </c>
      <c r="B1234" s="138">
        <f>'Expenditures 15-22'!D151</f>
        <v>28896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24321</v>
      </c>
      <c r="D1237" s="2" t="str">
        <f t="shared" si="18"/>
        <v>Error?</v>
      </c>
    </row>
    <row r="1238" spans="1:4" x14ac:dyDescent="0.2">
      <c r="A1238" s="10">
        <v>1177</v>
      </c>
      <c r="D1238" s="2" t="str">
        <f t="shared" si="18"/>
        <v>OK</v>
      </c>
    </row>
    <row r="1239" spans="1:4" x14ac:dyDescent="0.2">
      <c r="A1239" s="5">
        <v>1178</v>
      </c>
      <c r="B1239" s="138">
        <f>'Expenditures 15-22'!E127</f>
        <v>24321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24321</v>
      </c>
      <c r="C1241" s="2" t="s">
        <v>594</v>
      </c>
      <c r="D1241" s="2" t="str">
        <f t="shared" si="18"/>
        <v>Error?</v>
      </c>
    </row>
    <row r="1242" spans="1:4" x14ac:dyDescent="0.2">
      <c r="A1242" s="5">
        <v>1181</v>
      </c>
      <c r="B1242" s="138">
        <f>'Expenditures 15-22'!E151</f>
        <v>24321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38615</v>
      </c>
      <c r="D1245" s="2" t="str">
        <f t="shared" si="18"/>
        <v>Error?</v>
      </c>
    </row>
    <row r="1246" spans="1:4" x14ac:dyDescent="0.2">
      <c r="A1246" s="10">
        <v>1185</v>
      </c>
      <c r="D1246" s="2" t="str">
        <f t="shared" si="18"/>
        <v>OK</v>
      </c>
    </row>
    <row r="1247" spans="1:4" x14ac:dyDescent="0.2">
      <c r="A1247" s="5">
        <v>1186</v>
      </c>
      <c r="B1247" s="138">
        <f>'Expenditures 15-22'!F127</f>
        <v>38615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38615</v>
      </c>
      <c r="C1249" s="2" t="s">
        <v>594</v>
      </c>
      <c r="D1249" s="2" t="str">
        <f t="shared" si="18"/>
        <v>Error?</v>
      </c>
    </row>
    <row r="1250" spans="1:4" x14ac:dyDescent="0.2">
      <c r="A1250" s="5">
        <v>1189</v>
      </c>
      <c r="B1250" s="138">
        <f>'Expenditures 15-22'!F151</f>
        <v>38615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202010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202010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202010</v>
      </c>
      <c r="C1258" s="2" t="s">
        <v>594</v>
      </c>
      <c r="D1258" s="2" t="str">
        <f t="shared" si="18"/>
        <v>Error?</v>
      </c>
    </row>
    <row r="1259" spans="1:4" x14ac:dyDescent="0.2">
      <c r="A1259" s="5">
        <v>1198</v>
      </c>
      <c r="B1259" s="138">
        <f>'Expenditures 15-22'!G151</f>
        <v>202010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534899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534899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534899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534899</v>
      </c>
      <c r="C1288" s="2" t="s">
        <v>594</v>
      </c>
      <c r="D1288" s="2" t="str">
        <f t="shared" si="19"/>
        <v>Error?</v>
      </c>
    </row>
    <row r="1289" spans="1:4" x14ac:dyDescent="0.2">
      <c r="A1289" s="5">
        <v>1228</v>
      </c>
      <c r="B1289" s="138">
        <f>'Expenditures 15-22'!K152</f>
        <v>-127748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352939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527939</v>
      </c>
      <c r="C1317" s="2" t="s">
        <v>594</v>
      </c>
      <c r="D1317" s="2" t="str">
        <f t="shared" si="19"/>
        <v>Error?</v>
      </c>
    </row>
    <row r="1318" spans="1:4" x14ac:dyDescent="0.2">
      <c r="A1318" s="5">
        <v>1257</v>
      </c>
      <c r="B1318" s="138">
        <f>'Expenditures 15-22'!H174</f>
        <v>527939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352939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527939</v>
      </c>
      <c r="C1331" s="2" t="s">
        <v>594</v>
      </c>
      <c r="D1331" s="2" t="str">
        <f t="shared" si="19"/>
        <v>Error?</v>
      </c>
    </row>
    <row r="1332" spans="1:4" x14ac:dyDescent="0.2">
      <c r="A1332" s="5">
        <v>1271</v>
      </c>
      <c r="B1332" s="138">
        <f>'Expenditures 15-22'!K174</f>
        <v>527939</v>
      </c>
      <c r="C1332" s="2" t="s">
        <v>594</v>
      </c>
      <c r="D1332" s="2" t="str">
        <f t="shared" si="19"/>
        <v>Error?</v>
      </c>
    </row>
    <row r="1333" spans="1:4" x14ac:dyDescent="0.2">
      <c r="A1333" s="5">
        <v>1272</v>
      </c>
      <c r="B1333" s="138">
        <f>'Expenditures 15-22'!K175</f>
        <v>2481</v>
      </c>
      <c r="C1333" s="2" t="s">
        <v>594</v>
      </c>
      <c r="D1333" s="2" t="str">
        <f t="shared" si="19"/>
        <v>Error?</v>
      </c>
    </row>
    <row r="1334" spans="1:4" x14ac:dyDescent="0.2">
      <c r="A1334" s="10">
        <v>1273</v>
      </c>
      <c r="D1334" s="2" t="str">
        <f t="shared" si="19"/>
        <v>OK</v>
      </c>
    </row>
    <row r="1335" spans="1:4" x14ac:dyDescent="0.2">
      <c r="A1335" s="5">
        <v>1274</v>
      </c>
      <c r="B1335" s="138">
        <f>'Expenditures 15-22'!C182</f>
        <v>235482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235482</v>
      </c>
      <c r="C1339" s="2" t="s">
        <v>594</v>
      </c>
      <c r="D1339" s="2" t="str">
        <f t="shared" si="19"/>
        <v>Error?</v>
      </c>
    </row>
    <row r="1340" spans="1:4" x14ac:dyDescent="0.2">
      <c r="A1340" s="5">
        <v>1279</v>
      </c>
      <c r="B1340" s="138">
        <f>'Expenditures 15-22'!C210</f>
        <v>235482</v>
      </c>
      <c r="C1340" s="2" t="s">
        <v>594</v>
      </c>
      <c r="D1340" s="2" t="str">
        <f t="shared" si="19"/>
        <v>Error?</v>
      </c>
    </row>
    <row r="1341" spans="1:4" x14ac:dyDescent="0.2">
      <c r="A1341" s="5">
        <v>1280</v>
      </c>
      <c r="B1341" s="138">
        <f>'Expenditures 15-22'!D182</f>
        <v>25371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25371</v>
      </c>
      <c r="C1345" s="2" t="s">
        <v>594</v>
      </c>
      <c r="D1345" s="2" t="str">
        <f t="shared" si="20"/>
        <v>Error?</v>
      </c>
    </row>
    <row r="1346" spans="1:4" x14ac:dyDescent="0.2">
      <c r="A1346" s="5">
        <v>1285</v>
      </c>
      <c r="B1346" s="138">
        <f>'Expenditures 15-22'!D210</f>
        <v>25371</v>
      </c>
      <c r="C1346" s="2" t="s">
        <v>594</v>
      </c>
      <c r="D1346" s="2" t="str">
        <f t="shared" si="20"/>
        <v>Error?</v>
      </c>
    </row>
    <row r="1347" spans="1:4" x14ac:dyDescent="0.2">
      <c r="A1347" s="5">
        <v>1286</v>
      </c>
      <c r="B1347" s="138">
        <f>'Expenditures 15-22'!E182</f>
        <v>31686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31686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31686</v>
      </c>
      <c r="C1353" s="2" t="s">
        <v>594</v>
      </c>
      <c r="D1353" s="2" t="str">
        <f t="shared" si="20"/>
        <v>Error?</v>
      </c>
    </row>
    <row r="1354" spans="1:4" x14ac:dyDescent="0.2">
      <c r="A1354" s="5">
        <v>1293</v>
      </c>
      <c r="B1354" s="138">
        <f>'Expenditures 15-22'!F182</f>
        <v>66423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66423</v>
      </c>
      <c r="C1358" s="2" t="s">
        <v>594</v>
      </c>
      <c r="D1358" s="2" t="str">
        <f t="shared" si="20"/>
        <v>Error?</v>
      </c>
    </row>
    <row r="1359" spans="1:4" x14ac:dyDescent="0.2">
      <c r="A1359" s="5">
        <v>1298</v>
      </c>
      <c r="B1359" s="138">
        <f>'Expenditures 15-22'!F210</f>
        <v>66423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358962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358962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358962</v>
      </c>
      <c r="C1388" s="2" t="s">
        <v>594</v>
      </c>
      <c r="D1388" s="2" t="str">
        <f t="shared" si="20"/>
        <v>Error?</v>
      </c>
    </row>
    <row r="1389" spans="1:4" x14ac:dyDescent="0.2">
      <c r="A1389" s="5">
        <v>1328</v>
      </c>
      <c r="B1389" s="138">
        <f>'Expenditures 15-22'!K211</f>
        <v>142285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2293</v>
      </c>
      <c r="D1407" s="2" t="str">
        <f t="shared" ref="D1407:D1470" si="21">IF(ISBLANK(B1407),"OK",IF(A1407-B1407=0,"OK","Error?"))</f>
        <v>Error?</v>
      </c>
    </row>
    <row r="1408" spans="1:4" x14ac:dyDescent="0.2">
      <c r="A1408" s="5">
        <v>1347</v>
      </c>
      <c r="B1408" s="138">
        <f>'Expenditures 15-22'!D223</f>
        <v>4192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59564</v>
      </c>
      <c r="C1410" s="2" t="s">
        <v>594</v>
      </c>
      <c r="D1410" s="2" t="str">
        <f t="shared" si="21"/>
        <v>Error?</v>
      </c>
    </row>
    <row r="1411" spans="1:4" x14ac:dyDescent="0.2">
      <c r="A1411" s="5">
        <v>1350</v>
      </c>
      <c r="B1411" s="138">
        <f>'Expenditures 15-22'!D232</f>
        <v>590</v>
      </c>
      <c r="D1411" s="2" t="str">
        <f t="shared" si="21"/>
        <v>Error?</v>
      </c>
    </row>
    <row r="1412" spans="1:4" x14ac:dyDescent="0.2">
      <c r="A1412" s="5">
        <v>1351</v>
      </c>
      <c r="B1412" s="138">
        <f>'Expenditures 15-22'!D233</f>
        <v>632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600</v>
      </c>
      <c r="D1414" s="2" t="str">
        <f t="shared" si="21"/>
        <v>Error?</v>
      </c>
    </row>
    <row r="1415" spans="1:4" x14ac:dyDescent="0.2">
      <c r="A1415" s="5">
        <v>1354</v>
      </c>
      <c r="B1415" s="138">
        <f>'Expenditures 15-22'!D236</f>
        <v>758</v>
      </c>
      <c r="D1415" s="2" t="str">
        <f t="shared" si="21"/>
        <v>Error?</v>
      </c>
    </row>
    <row r="1416" spans="1:4" x14ac:dyDescent="0.2">
      <c r="A1416" s="5">
        <v>1355</v>
      </c>
      <c r="B1416" s="138">
        <f>'Expenditures 15-22'!D237</f>
        <v>385</v>
      </c>
      <c r="D1416" s="2" t="str">
        <f t="shared" si="21"/>
        <v>Error?</v>
      </c>
    </row>
    <row r="1417" spans="1:4" x14ac:dyDescent="0.2">
      <c r="A1417" s="5">
        <v>1356</v>
      </c>
      <c r="B1417" s="138">
        <f>'Expenditures 15-22'!D238</f>
        <v>2965</v>
      </c>
      <c r="C1417" s="2" t="s">
        <v>594</v>
      </c>
      <c r="D1417" s="2" t="str">
        <f t="shared" si="21"/>
        <v>Error?</v>
      </c>
    </row>
    <row r="1418" spans="1:4" x14ac:dyDescent="0.2">
      <c r="A1418" s="5">
        <v>1357</v>
      </c>
      <c r="B1418" s="138">
        <f>'Expenditures 15-22'!D240</f>
        <v>280</v>
      </c>
      <c r="D1418" s="2" t="str">
        <f t="shared" si="21"/>
        <v>Error?</v>
      </c>
    </row>
    <row r="1419" spans="1:4" x14ac:dyDescent="0.2">
      <c r="A1419" s="5">
        <v>1358</v>
      </c>
      <c r="B1419" s="138">
        <f>'Expenditures 15-22'!D241</f>
        <v>281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561</v>
      </c>
      <c r="C1421" s="2" t="s">
        <v>594</v>
      </c>
      <c r="D1421" s="2" t="str">
        <f t="shared" si="21"/>
        <v>Error?</v>
      </c>
    </row>
    <row r="1422" spans="1:4" x14ac:dyDescent="0.2">
      <c r="A1422" s="5">
        <v>1361</v>
      </c>
      <c r="B1422" s="138">
        <f>'Expenditures 15-22'!D245</f>
        <v>149</v>
      </c>
      <c r="D1422" s="2" t="str">
        <f t="shared" si="21"/>
        <v>Error?</v>
      </c>
    </row>
    <row r="1423" spans="1:4" x14ac:dyDescent="0.2">
      <c r="A1423" s="5">
        <v>1362</v>
      </c>
      <c r="B1423" s="138">
        <f>'Expenditures 15-22'!D246</f>
        <v>15324</v>
      </c>
      <c r="D1423" s="2" t="str">
        <f t="shared" si="21"/>
        <v>Error?</v>
      </c>
    </row>
    <row r="1424" spans="1:4" x14ac:dyDescent="0.2">
      <c r="A1424" s="5">
        <v>1363</v>
      </c>
      <c r="B1424" s="138">
        <f>'Expenditures 15-22'!D257</f>
        <v>24118</v>
      </c>
      <c r="C1424" s="2" t="s">
        <v>594</v>
      </c>
      <c r="D1424" s="2" t="str">
        <f t="shared" si="21"/>
        <v>Error?</v>
      </c>
    </row>
    <row r="1425" spans="1:4" x14ac:dyDescent="0.2">
      <c r="A1425" s="5">
        <v>1364</v>
      </c>
      <c r="B1425" s="138">
        <f>'Expenditures 15-22'!D259</f>
        <v>13708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13708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46159</v>
      </c>
      <c r="D1431" s="2" t="str">
        <f t="shared" si="21"/>
        <v>Error?</v>
      </c>
    </row>
    <row r="1432" spans="1:4" x14ac:dyDescent="0.2">
      <c r="A1432" s="5">
        <v>1371</v>
      </c>
      <c r="B1432" s="138">
        <f>'Expenditures 15-22'!D267</f>
        <v>41542</v>
      </c>
      <c r="D1432" s="2" t="str">
        <f t="shared" si="21"/>
        <v>Error?</v>
      </c>
    </row>
    <row r="1433" spans="1:4" x14ac:dyDescent="0.2">
      <c r="A1433" s="5">
        <v>1372</v>
      </c>
      <c r="B1433" s="138">
        <f>'Expenditures 15-22'!D268</f>
        <v>11622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99323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140675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200239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2293</v>
      </c>
      <c r="C1471" s="2" t="s">
        <v>594</v>
      </c>
      <c r="D1471" s="2" t="str">
        <f t="shared" ref="D1471:D1534" si="22">IF(ISBLANK(B1471),"OK",IF(A1471-B1471=0,"OK","Error?"))</f>
        <v>Error?</v>
      </c>
    </row>
    <row r="1472" spans="1:4" x14ac:dyDescent="0.2">
      <c r="A1472" s="5">
        <v>1411</v>
      </c>
      <c r="B1472" s="138">
        <f>'Expenditures 15-22'!K223</f>
        <v>4192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59564</v>
      </c>
      <c r="C1474" s="2" t="s">
        <v>594</v>
      </c>
      <c r="D1474" s="2" t="str">
        <f t="shared" si="22"/>
        <v>Error?</v>
      </c>
    </row>
    <row r="1475" spans="1:4" x14ac:dyDescent="0.2">
      <c r="A1475" s="5">
        <v>1414</v>
      </c>
      <c r="B1475" s="138">
        <f>'Expenditures 15-22'!K232</f>
        <v>590</v>
      </c>
      <c r="C1475" s="2" t="s">
        <v>594</v>
      </c>
      <c r="D1475" s="2" t="str">
        <f t="shared" si="22"/>
        <v>Error?</v>
      </c>
    </row>
    <row r="1476" spans="1:4" x14ac:dyDescent="0.2">
      <c r="A1476" s="5">
        <v>1415</v>
      </c>
      <c r="B1476" s="138">
        <f>'Expenditures 15-22'!K233</f>
        <v>632</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600</v>
      </c>
      <c r="C1478" s="2" t="s">
        <v>594</v>
      </c>
      <c r="D1478" s="2" t="str">
        <f t="shared" si="22"/>
        <v>Error?</v>
      </c>
    </row>
    <row r="1479" spans="1:4" x14ac:dyDescent="0.2">
      <c r="A1479" s="5">
        <v>1418</v>
      </c>
      <c r="B1479" s="138">
        <f>'Expenditures 15-22'!K236</f>
        <v>758</v>
      </c>
      <c r="C1479" s="2" t="s">
        <v>594</v>
      </c>
      <c r="D1479" s="2" t="str">
        <f t="shared" si="22"/>
        <v>Error?</v>
      </c>
    </row>
    <row r="1480" spans="1:4" x14ac:dyDescent="0.2">
      <c r="A1480" s="5">
        <v>1419</v>
      </c>
      <c r="B1480" s="138">
        <f>'Expenditures 15-22'!K237</f>
        <v>385</v>
      </c>
      <c r="C1480" s="2" t="s">
        <v>594</v>
      </c>
      <c r="D1480" s="2" t="str">
        <f t="shared" si="22"/>
        <v>Error?</v>
      </c>
    </row>
    <row r="1481" spans="1:4" x14ac:dyDescent="0.2">
      <c r="A1481" s="5">
        <v>1420</v>
      </c>
      <c r="B1481" s="138">
        <f>'Expenditures 15-22'!K238</f>
        <v>2965</v>
      </c>
      <c r="C1481" s="2" t="s">
        <v>594</v>
      </c>
      <c r="D1481" s="2" t="str">
        <f t="shared" si="22"/>
        <v>Error?</v>
      </c>
    </row>
    <row r="1482" spans="1:4" x14ac:dyDescent="0.2">
      <c r="A1482" s="5">
        <v>1421</v>
      </c>
      <c r="B1482" s="138">
        <f>'Expenditures 15-22'!K240</f>
        <v>280</v>
      </c>
      <c r="C1482" s="2" t="s">
        <v>594</v>
      </c>
      <c r="D1482" s="2" t="str">
        <f t="shared" si="22"/>
        <v>Error?</v>
      </c>
    </row>
    <row r="1483" spans="1:4" x14ac:dyDescent="0.2">
      <c r="A1483" s="5">
        <v>1422</v>
      </c>
      <c r="B1483" s="138">
        <f>'Expenditures 15-22'!K241</f>
        <v>281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561</v>
      </c>
      <c r="C1485" s="2" t="s">
        <v>594</v>
      </c>
      <c r="D1485" s="2" t="str">
        <f t="shared" si="22"/>
        <v>Error?</v>
      </c>
    </row>
    <row r="1486" spans="1:4" x14ac:dyDescent="0.2">
      <c r="A1486" s="5">
        <v>1425</v>
      </c>
      <c r="B1486" s="138">
        <f>'Expenditures 15-22'!K245</f>
        <v>149</v>
      </c>
      <c r="C1486" s="2" t="s">
        <v>594</v>
      </c>
      <c r="D1486" s="2" t="str">
        <f t="shared" si="22"/>
        <v>Error?</v>
      </c>
    </row>
    <row r="1487" spans="1:4" x14ac:dyDescent="0.2">
      <c r="A1487" s="5">
        <v>1426</v>
      </c>
      <c r="B1487" s="138">
        <f>'Expenditures 15-22'!K246</f>
        <v>15324</v>
      </c>
      <c r="C1487" s="2" t="s">
        <v>594</v>
      </c>
      <c r="D1487" s="2" t="str">
        <f t="shared" si="22"/>
        <v>Error?</v>
      </c>
    </row>
    <row r="1488" spans="1:4" x14ac:dyDescent="0.2">
      <c r="A1488" s="5">
        <v>1427</v>
      </c>
      <c r="B1488" s="138">
        <f>'Expenditures 15-22'!K257</f>
        <v>24118</v>
      </c>
      <c r="C1488" s="2" t="s">
        <v>594</v>
      </c>
      <c r="D1488" s="2" t="str">
        <f t="shared" si="22"/>
        <v>Error?</v>
      </c>
    </row>
    <row r="1489" spans="1:4" x14ac:dyDescent="0.2">
      <c r="A1489" s="5">
        <v>1428</v>
      </c>
      <c r="B1489" s="138">
        <f>'Expenditures 15-22'!K259</f>
        <v>13708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13708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46159</v>
      </c>
      <c r="C1495" s="2" t="s">
        <v>594</v>
      </c>
      <c r="D1495" s="2" t="str">
        <f t="shared" si="22"/>
        <v>Error?</v>
      </c>
    </row>
    <row r="1496" spans="1:4" x14ac:dyDescent="0.2">
      <c r="A1496" s="5">
        <v>1435</v>
      </c>
      <c r="B1496" s="138">
        <f>'Expenditures 15-22'!K267</f>
        <v>41542</v>
      </c>
      <c r="C1496" s="2" t="s">
        <v>594</v>
      </c>
      <c r="D1496" s="2" t="str">
        <f t="shared" si="22"/>
        <v>Error?</v>
      </c>
    </row>
    <row r="1497" spans="1:4" x14ac:dyDescent="0.2">
      <c r="A1497" s="5">
        <v>1436</v>
      </c>
      <c r="B1497" s="138">
        <f>'Expenditures 15-22'!K268</f>
        <v>11622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99323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140675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200239</v>
      </c>
      <c r="C1517" s="2" t="s">
        <v>594</v>
      </c>
      <c r="D1517" s="2" t="str">
        <f t="shared" si="22"/>
        <v>Error?</v>
      </c>
    </row>
    <row r="1518" spans="1:4" x14ac:dyDescent="0.2">
      <c r="A1518" s="5">
        <v>1457</v>
      </c>
      <c r="B1518" s="138">
        <f>'Expenditures 15-22'!K296</f>
        <v>-18057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285914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586618</v>
      </c>
      <c r="C1630" s="2" t="s">
        <v>594</v>
      </c>
      <c r="D1630" s="2" t="str">
        <f t="shared" si="24"/>
        <v>Error?</v>
      </c>
    </row>
    <row r="1631" spans="1:4" x14ac:dyDescent="0.2">
      <c r="A1631" s="5">
        <v>1570</v>
      </c>
      <c r="B1631" s="138">
        <f>'Acct Summary 7-8'!D79</f>
        <v>227989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100241</v>
      </c>
      <c r="C1644" s="2" t="s">
        <v>594</v>
      </c>
      <c r="D1644" s="2" t="str">
        <f t="shared" si="24"/>
        <v>Error?</v>
      </c>
    </row>
    <row r="1645" spans="1:4" x14ac:dyDescent="0.2">
      <c r="A1645" s="5">
        <v>1584</v>
      </c>
      <c r="B1645" s="138">
        <f>'Acct Summary 7-8'!E79</f>
        <v>297613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300094</v>
      </c>
      <c r="C1658" s="2" t="s">
        <v>594</v>
      </c>
      <c r="D1658" s="2" t="str">
        <f t="shared" si="24"/>
        <v>Error?</v>
      </c>
    </row>
    <row r="1659" spans="1:4" x14ac:dyDescent="0.2">
      <c r="A1659" s="5">
        <v>1598</v>
      </c>
      <c r="B1659" s="138">
        <f>'Acct Summary 7-8'!F79</f>
        <v>205024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347309</v>
      </c>
      <c r="C1672" s="2" t="s">
        <v>594</v>
      </c>
      <c r="D1672" s="2" t="str">
        <f t="shared" si="25"/>
        <v>Error?</v>
      </c>
    </row>
    <row r="1673" spans="1:4" x14ac:dyDescent="0.2">
      <c r="A1673" s="5">
        <v>1612</v>
      </c>
      <c r="B1673" s="138">
        <f>'Acct Summary 7-8'!G79</f>
        <v>519854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501797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1313420</v>
      </c>
      <c r="C1744" s="2" t="s">
        <v>594</v>
      </c>
      <c r="D1744" s="2" t="str">
        <f t="shared" si="26"/>
        <v>Error?</v>
      </c>
    </row>
    <row r="1745" spans="1:5" x14ac:dyDescent="0.2">
      <c r="A1745" s="5">
        <v>1684</v>
      </c>
      <c r="B1745" s="138">
        <f>'Tax Sched 23'!B5</f>
        <v>356908</v>
      </c>
      <c r="C1745" s="2" t="s">
        <v>594</v>
      </c>
      <c r="D1745" s="2" t="str">
        <f t="shared" si="26"/>
        <v>Error?</v>
      </c>
    </row>
    <row r="1746" spans="1:5" x14ac:dyDescent="0.2">
      <c r="A1746" s="5">
        <v>1685</v>
      </c>
      <c r="B1746" s="138">
        <f>'Tax Sched 23'!B6</f>
        <v>524147</v>
      </c>
      <c r="C1746" s="2" t="s">
        <v>594</v>
      </c>
      <c r="D1746" s="2" t="str">
        <f t="shared" si="26"/>
        <v>Error?</v>
      </c>
    </row>
    <row r="1747" spans="1:5" x14ac:dyDescent="0.2">
      <c r="A1747" s="5">
        <v>1686</v>
      </c>
      <c r="B1747" s="138">
        <f>'Tax Sched 23'!B7</f>
        <v>142765</v>
      </c>
      <c r="C1747" s="2" t="s">
        <v>594</v>
      </c>
      <c r="D1747" s="2" t="str">
        <f t="shared" si="26"/>
        <v>Error?</v>
      </c>
    </row>
    <row r="1748" spans="1:5" x14ac:dyDescent="0.2">
      <c r="A1748" s="5">
        <v>1687</v>
      </c>
      <c r="B1748" s="138">
        <f>'Tax Sched 23'!B8</f>
        <v>49788</v>
      </c>
      <c r="C1748" s="2" t="s">
        <v>594</v>
      </c>
      <c r="D1748" s="2" t="str">
        <f t="shared" si="26"/>
        <v>Error?</v>
      </c>
    </row>
    <row r="1749" spans="1:5" x14ac:dyDescent="0.2">
      <c r="A1749" s="5">
        <v>1688</v>
      </c>
      <c r="B1749" s="138">
        <f>'Tax Sched 23'!B10</f>
        <v>35689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358435</v>
      </c>
      <c r="C1752" s="2" t="s">
        <v>594</v>
      </c>
      <c r="D1752" s="2" t="str">
        <f t="shared" si="26"/>
        <v>Error?</v>
      </c>
    </row>
    <row r="1753" spans="1:5" x14ac:dyDescent="0.2">
      <c r="A1753" s="5">
        <v>1692</v>
      </c>
      <c r="B1753" s="138">
        <f>'Tax Sched 23'!B12</f>
        <v>35690</v>
      </c>
      <c r="C1753" s="2" t="s">
        <v>594</v>
      </c>
      <c r="D1753" s="2" t="str">
        <f t="shared" si="26"/>
        <v>Error?</v>
      </c>
    </row>
    <row r="1754" spans="1:5" x14ac:dyDescent="0.2">
      <c r="A1754" s="5">
        <v>1693</v>
      </c>
      <c r="B1754" s="138">
        <f>'Tax Sched 23'!B14</f>
        <v>28553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2994597</v>
      </c>
      <c r="C1759" s="2" t="s">
        <v>594</v>
      </c>
      <c r="D1759" s="2" t="str">
        <f t="shared" si="26"/>
        <v>Error?</v>
      </c>
    </row>
    <row r="1760" spans="1:5" x14ac:dyDescent="0.2">
      <c r="A1760" s="5">
        <v>1699</v>
      </c>
      <c r="B1760" s="138">
        <f>'Tax Sched 23'!D4</f>
        <v>1313420</v>
      </c>
      <c r="C1760" s="2" t="s">
        <v>594</v>
      </c>
      <c r="D1760" s="2" t="str">
        <f t="shared" si="26"/>
        <v>Error?</v>
      </c>
    </row>
    <row r="1761" spans="1:5" x14ac:dyDescent="0.2">
      <c r="A1761" s="5">
        <v>1700</v>
      </c>
      <c r="B1761" s="138">
        <f>'Tax Sched 23'!D5</f>
        <v>356908</v>
      </c>
      <c r="C1761" s="2" t="s">
        <v>594</v>
      </c>
      <c r="D1761" s="2" t="str">
        <f t="shared" si="26"/>
        <v>Error?</v>
      </c>
    </row>
    <row r="1762" spans="1:5" s="8" customFormat="1" x14ac:dyDescent="0.2">
      <c r="A1762" s="5">
        <v>1701</v>
      </c>
      <c r="B1762" s="138">
        <f>'Tax Sched 23'!D6</f>
        <v>524147</v>
      </c>
      <c r="C1762" s="2" t="s">
        <v>594</v>
      </c>
      <c r="D1762" s="2" t="str">
        <f t="shared" si="26"/>
        <v>Error?</v>
      </c>
      <c r="E1762" s="9"/>
    </row>
    <row r="1763" spans="1:5" x14ac:dyDescent="0.2">
      <c r="A1763" s="5">
        <v>1702</v>
      </c>
      <c r="B1763" s="138">
        <f>'Tax Sched 23'!D7</f>
        <v>142765</v>
      </c>
      <c r="C1763" s="2" t="s">
        <v>594</v>
      </c>
      <c r="D1763" s="2" t="str">
        <f t="shared" si="26"/>
        <v>Error?</v>
      </c>
    </row>
    <row r="1764" spans="1:5" x14ac:dyDescent="0.2">
      <c r="A1764" s="5">
        <v>1703</v>
      </c>
      <c r="B1764" s="138">
        <f>'Tax Sched 23'!D8</f>
        <v>49788</v>
      </c>
      <c r="C1764" s="2" t="s">
        <v>594</v>
      </c>
      <c r="D1764" s="2" t="str">
        <f t="shared" si="26"/>
        <v>Error?</v>
      </c>
    </row>
    <row r="1765" spans="1:5" x14ac:dyDescent="0.2">
      <c r="A1765" s="5">
        <v>1704</v>
      </c>
      <c r="B1765" s="138">
        <f>'Tax Sched 23'!D10</f>
        <v>35689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358435</v>
      </c>
      <c r="C1768" s="2" t="s">
        <v>594</v>
      </c>
      <c r="D1768" s="2" t="str">
        <f t="shared" si="26"/>
        <v>Error?</v>
      </c>
    </row>
    <row r="1769" spans="1:5" x14ac:dyDescent="0.2">
      <c r="A1769" s="5">
        <v>1708</v>
      </c>
      <c r="B1769" s="138">
        <f>'Tax Sched 23'!D12</f>
        <v>35690</v>
      </c>
      <c r="C1769" s="2" t="s">
        <v>594</v>
      </c>
      <c r="D1769" s="2" t="str">
        <f t="shared" si="26"/>
        <v>Error?</v>
      </c>
    </row>
    <row r="1770" spans="1:5" x14ac:dyDescent="0.2">
      <c r="A1770" s="5">
        <v>1709</v>
      </c>
      <c r="B1770" s="138">
        <f>'Tax Sched 23'!D14</f>
        <v>28553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2994597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1389213</v>
      </c>
      <c r="C1792" s="2" t="s">
        <v>594</v>
      </c>
      <c r="D1792" s="2" t="str">
        <f t="shared" si="27"/>
        <v>Error?</v>
      </c>
    </row>
    <row r="1793" spans="1:4" x14ac:dyDescent="0.2">
      <c r="A1793" s="5">
        <v>1732</v>
      </c>
      <c r="B1793" s="138">
        <f>'Tax Sched 23'!F5</f>
        <v>377504</v>
      </c>
      <c r="C1793" s="2" t="s">
        <v>594</v>
      </c>
      <c r="D1793" s="2" t="str">
        <f t="shared" si="27"/>
        <v>Error?</v>
      </c>
    </row>
    <row r="1794" spans="1:4" x14ac:dyDescent="0.2">
      <c r="A1794" s="5">
        <v>1733</v>
      </c>
      <c r="B1794" s="138">
        <f>'Tax Sched 23'!F6</f>
        <v>574893</v>
      </c>
      <c r="C1794" s="2" t="s">
        <v>594</v>
      </c>
      <c r="D1794" s="2" t="str">
        <f t="shared" si="27"/>
        <v>Error?</v>
      </c>
    </row>
    <row r="1795" spans="1:4" x14ac:dyDescent="0.2">
      <c r="A1795" s="5">
        <v>1734</v>
      </c>
      <c r="B1795" s="138">
        <f>'Tax Sched 23'!F7</f>
        <v>151001</v>
      </c>
      <c r="C1795" s="2" t="s">
        <v>594</v>
      </c>
      <c r="D1795" s="2" t="str">
        <f t="shared" si="27"/>
        <v>Error?</v>
      </c>
    </row>
    <row r="1796" spans="1:4" x14ac:dyDescent="0.2">
      <c r="A1796" s="5">
        <v>1735</v>
      </c>
      <c r="B1796" s="138">
        <f>'Tax Sched 23'!F8</f>
        <v>20000</v>
      </c>
      <c r="C1796" s="2" t="s">
        <v>594</v>
      </c>
      <c r="D1796" s="2" t="str">
        <f t="shared" si="27"/>
        <v>Error?</v>
      </c>
    </row>
    <row r="1797" spans="1:4" x14ac:dyDescent="0.2">
      <c r="A1797" s="5">
        <v>1736</v>
      </c>
      <c r="B1797" s="138">
        <f>'Tax Sched 23'!F10</f>
        <v>37750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360002</v>
      </c>
      <c r="C1800" s="2" t="s">
        <v>594</v>
      </c>
      <c r="D1800" s="2" t="str">
        <f t="shared" si="27"/>
        <v>Error?</v>
      </c>
    </row>
    <row r="1801" spans="1:4" x14ac:dyDescent="0.2">
      <c r="A1801" s="5">
        <v>1740</v>
      </c>
      <c r="B1801" s="138">
        <f>'Tax Sched 23'!F12</f>
        <v>37750</v>
      </c>
      <c r="C1801" s="2" t="s">
        <v>594</v>
      </c>
      <c r="D1801" s="2" t="str">
        <f t="shared" si="27"/>
        <v>Error?</v>
      </c>
    </row>
    <row r="1802" spans="1:4" x14ac:dyDescent="0.2">
      <c r="A1802" s="5">
        <v>1741</v>
      </c>
      <c r="B1802" s="138">
        <f>'Tax Sched 23'!F14</f>
        <v>30200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3125071</v>
      </c>
      <c r="C1807" s="2" t="s">
        <v>594</v>
      </c>
      <c r="D1807" s="2" t="str">
        <f t="shared" si="27"/>
        <v>Error?</v>
      </c>
    </row>
    <row r="1808" spans="1:4" x14ac:dyDescent="0.2">
      <c r="A1808" s="5">
        <v>1747</v>
      </c>
      <c r="B1808" s="138">
        <f>'Tax Sched 23'!E4</f>
        <v>1389213</v>
      </c>
      <c r="D1808" s="2" t="str">
        <f t="shared" si="27"/>
        <v>Error?</v>
      </c>
    </row>
    <row r="1809" spans="1:4" x14ac:dyDescent="0.2">
      <c r="A1809" s="5">
        <v>1748</v>
      </c>
      <c r="B1809" s="138">
        <f>'Tax Sched 23'!E5</f>
        <v>377504</v>
      </c>
      <c r="D1809" s="2" t="str">
        <f t="shared" si="27"/>
        <v>Error?</v>
      </c>
    </row>
    <row r="1810" spans="1:4" x14ac:dyDescent="0.2">
      <c r="A1810" s="5">
        <v>1749</v>
      </c>
      <c r="B1810" s="138">
        <f>'Tax Sched 23'!E6</f>
        <v>574893</v>
      </c>
      <c r="D1810" s="2" t="str">
        <f t="shared" si="27"/>
        <v>Error?</v>
      </c>
    </row>
    <row r="1811" spans="1:4" x14ac:dyDescent="0.2">
      <c r="A1811" s="5">
        <v>1750</v>
      </c>
      <c r="B1811" s="138">
        <f>'Tax Sched 23'!E7</f>
        <v>151001</v>
      </c>
      <c r="D1811" s="2" t="str">
        <f t="shared" si="27"/>
        <v>Error?</v>
      </c>
    </row>
    <row r="1812" spans="1:4" x14ac:dyDescent="0.2">
      <c r="A1812" s="5">
        <v>1751</v>
      </c>
      <c r="B1812" s="138">
        <f>'Tax Sched 23'!E8</f>
        <v>20000</v>
      </c>
      <c r="D1812" s="2" t="str">
        <f t="shared" si="27"/>
        <v>Error?</v>
      </c>
    </row>
    <row r="1813" spans="1:4" x14ac:dyDescent="0.2">
      <c r="A1813" s="5">
        <v>1752</v>
      </c>
      <c r="B1813" s="138">
        <f>'Tax Sched 23'!E10</f>
        <v>37750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360002</v>
      </c>
      <c r="D1816" s="2" t="str">
        <f t="shared" si="27"/>
        <v>Error?</v>
      </c>
    </row>
    <row r="1817" spans="1:4" x14ac:dyDescent="0.2">
      <c r="A1817" s="5">
        <v>1756</v>
      </c>
      <c r="B1817" s="138">
        <f>'Tax Sched 23'!E12</f>
        <v>37750</v>
      </c>
      <c r="D1817" s="2" t="str">
        <f t="shared" si="27"/>
        <v>Error?</v>
      </c>
    </row>
    <row r="1818" spans="1:4" x14ac:dyDescent="0.2">
      <c r="A1818" s="5">
        <v>1757</v>
      </c>
      <c r="B1818" s="138">
        <f>'Tax Sched 23'!E14</f>
        <v>30200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3125071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7960000</v>
      </c>
      <c r="C1939" s="2" t="s">
        <v>594</v>
      </c>
      <c r="D1939" s="2" t="str">
        <f t="shared" si="29"/>
        <v>Error?</v>
      </c>
    </row>
    <row r="1940" spans="1:5" x14ac:dyDescent="0.2">
      <c r="A1940" s="5">
        <v>1879</v>
      </c>
      <c r="B1940" s="138">
        <f>'Short-Term Long-Term Debt 24'!F49</f>
        <v>109933</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28553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28553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28553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103054</v>
      </c>
      <c r="D2008" s="2" t="str">
        <f t="shared" si="30"/>
        <v>Error?</v>
      </c>
    </row>
    <row r="2009" spans="1:4" x14ac:dyDescent="0.2">
      <c r="A2009" s="5">
        <v>1948</v>
      </c>
      <c r="B2009" s="138">
        <f>'Cap Outlay Deprec 26'!C8</f>
        <v>14542425</v>
      </c>
      <c r="D2009" s="2" t="str">
        <f t="shared" si="30"/>
        <v>Error?</v>
      </c>
    </row>
    <row r="2010" spans="1:4" x14ac:dyDescent="0.2">
      <c r="A2010" s="5">
        <v>1949</v>
      </c>
      <c r="B2010" s="138">
        <f>'Cap Outlay Deprec 26'!C10</f>
        <v>1001745</v>
      </c>
      <c r="D2010" s="2" t="str">
        <f t="shared" si="30"/>
        <v>Error?</v>
      </c>
    </row>
    <row r="2011" spans="1:4" x14ac:dyDescent="0.2">
      <c r="A2011" s="5">
        <v>1950</v>
      </c>
      <c r="B2011" s="138">
        <f>'Cap Outlay Deprec 26'!C12</f>
        <v>3873071</v>
      </c>
      <c r="D2011" s="2" t="str">
        <f t="shared" si="30"/>
        <v>Error?</v>
      </c>
    </row>
    <row r="2012" spans="1:4" x14ac:dyDescent="0.2">
      <c r="A2012" s="5">
        <v>1951</v>
      </c>
      <c r="B2012" s="138">
        <f>'Cap Outlay Deprec 26'!C13</f>
        <v>1320329</v>
      </c>
      <c r="D2012" s="2" t="str">
        <f t="shared" si="30"/>
        <v>Error?</v>
      </c>
    </row>
    <row r="2013" spans="1:4" x14ac:dyDescent="0.2">
      <c r="A2013" s="5">
        <v>1952</v>
      </c>
      <c r="B2013" s="138">
        <f>'Cap Outlay Deprec 26'!C16</f>
        <v>20967126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319256</v>
      </c>
      <c r="D2016" s="2" t="str">
        <f t="shared" si="30"/>
        <v>Error?</v>
      </c>
    </row>
    <row r="2017" spans="1:4" x14ac:dyDescent="0.2">
      <c r="A2017" s="5">
        <v>1956</v>
      </c>
      <c r="B2017" s="138">
        <f>'Cap Outlay Deprec 26'!D12</f>
        <v>261766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581022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126502</v>
      </c>
      <c r="C2025" s="2" t="s">
        <v>594</v>
      </c>
      <c r="D2025" s="2" t="str">
        <f t="shared" si="30"/>
        <v>Error?</v>
      </c>
    </row>
    <row r="2026" spans="1:4" x14ac:dyDescent="0.2">
      <c r="A2026" s="5">
        <v>1965</v>
      </c>
      <c r="B2026" s="138">
        <f>'Cap Outlay Deprec 26'!F5</f>
        <v>103054</v>
      </c>
      <c r="C2026" s="2" t="s">
        <v>594</v>
      </c>
      <c r="D2026" s="2" t="str">
        <f t="shared" si="30"/>
        <v>Error?</v>
      </c>
    </row>
    <row r="2027" spans="1:4" x14ac:dyDescent="0.2">
      <c r="A2027" s="5">
        <v>1966</v>
      </c>
      <c r="B2027" s="138">
        <f>'Cap Outlay Deprec 26'!F8</f>
        <v>14542425</v>
      </c>
      <c r="C2027" s="2" t="s">
        <v>594</v>
      </c>
      <c r="D2027" s="2" t="str">
        <f t="shared" si="30"/>
        <v>Error?</v>
      </c>
    </row>
    <row r="2028" spans="1:4" x14ac:dyDescent="0.2">
      <c r="A2028" s="5">
        <v>1967</v>
      </c>
      <c r="B2028" s="138">
        <f>'Cap Outlay Deprec 26'!F10</f>
        <v>1321001</v>
      </c>
      <c r="C2028" s="2" t="s">
        <v>594</v>
      </c>
      <c r="D2028" s="2" t="str">
        <f t="shared" si="30"/>
        <v>Error?</v>
      </c>
    </row>
    <row r="2029" spans="1:4" x14ac:dyDescent="0.2">
      <c r="A2029" s="5">
        <v>1968</v>
      </c>
      <c r="B2029" s="138">
        <f>'Cap Outlay Deprec 26'!F12</f>
        <v>4134837</v>
      </c>
      <c r="C2029" s="2" t="s">
        <v>594</v>
      </c>
      <c r="D2029" s="2" t="str">
        <f t="shared" si="30"/>
        <v>Error?</v>
      </c>
    </row>
    <row r="2030" spans="1:4" x14ac:dyDescent="0.2">
      <c r="A2030" s="5">
        <v>1969</v>
      </c>
      <c r="B2030" s="138">
        <f>'Cap Outlay Deprec 26'!F13</f>
        <v>1320329</v>
      </c>
      <c r="C2030" s="2" t="s">
        <v>594</v>
      </c>
      <c r="D2030" s="2" t="str">
        <f t="shared" si="30"/>
        <v>Error?</v>
      </c>
    </row>
    <row r="2031" spans="1:4" x14ac:dyDescent="0.2">
      <c r="A2031" s="5">
        <v>1970</v>
      </c>
      <c r="B2031" s="138">
        <f>'Cap Outlay Deprec 26'!F16</f>
        <v>21421646</v>
      </c>
      <c r="C2031" s="2" t="s">
        <v>594</v>
      </c>
      <c r="D2031" s="2" t="str">
        <f t="shared" si="30"/>
        <v>Error?</v>
      </c>
    </row>
    <row r="2032" spans="1:4" x14ac:dyDescent="0.2">
      <c r="A2032" s="10">
        <v>1971</v>
      </c>
      <c r="D2032" s="2" t="str">
        <f t="shared" si="30"/>
        <v>OK</v>
      </c>
    </row>
    <row r="2033" spans="1:4" x14ac:dyDescent="0.2">
      <c r="A2033" s="5">
        <v>1972</v>
      </c>
      <c r="B2033" s="138">
        <f>'Cap Outlay Deprec 26'!H8</f>
        <v>4317218</v>
      </c>
      <c r="D2033" s="2" t="str">
        <f t="shared" si="30"/>
        <v>Error?</v>
      </c>
    </row>
    <row r="2034" spans="1:4" x14ac:dyDescent="0.2">
      <c r="A2034" s="5">
        <v>1973</v>
      </c>
      <c r="B2034" s="138">
        <f>'Cap Outlay Deprec 26'!H10</f>
        <v>437852</v>
      </c>
      <c r="D2034" s="2" t="str">
        <f t="shared" si="30"/>
        <v>Error?</v>
      </c>
    </row>
    <row r="2035" spans="1:4" x14ac:dyDescent="0.2">
      <c r="A2035" s="5">
        <v>1974</v>
      </c>
      <c r="B2035" s="138">
        <f>'Cap Outlay Deprec 26'!H12</f>
        <v>3201131</v>
      </c>
      <c r="D2035" s="2" t="str">
        <f t="shared" si="30"/>
        <v>Error?</v>
      </c>
    </row>
    <row r="2036" spans="1:4" x14ac:dyDescent="0.2">
      <c r="A2036" s="5">
        <v>1975</v>
      </c>
      <c r="B2036" s="138">
        <f>'Cap Outlay Deprec 26'!H13</f>
        <v>1196912</v>
      </c>
      <c r="D2036" s="2" t="str">
        <f t="shared" si="30"/>
        <v>Error?</v>
      </c>
    </row>
    <row r="2037" spans="1:4" x14ac:dyDescent="0.2">
      <c r="A2037" s="5">
        <v>1976</v>
      </c>
      <c r="B2037" s="138">
        <f>'Cap Outlay Deprec 26'!H16</f>
        <v>9153113</v>
      </c>
      <c r="C2037" s="2" t="s">
        <v>594</v>
      </c>
      <c r="D2037" s="2" t="str">
        <f t="shared" si="30"/>
        <v>Error?</v>
      </c>
    </row>
    <row r="2038" spans="1:4" x14ac:dyDescent="0.2">
      <c r="A2038" s="10">
        <v>1977</v>
      </c>
      <c r="D2038" s="2" t="str">
        <f t="shared" si="30"/>
        <v>OK</v>
      </c>
    </row>
    <row r="2039" spans="1:4" x14ac:dyDescent="0.2">
      <c r="A2039" s="5">
        <v>1978</v>
      </c>
      <c r="B2039" s="138">
        <f>'Cap Outlay Deprec 26'!I8</f>
        <v>283645</v>
      </c>
      <c r="D2039" s="2" t="str">
        <f t="shared" si="30"/>
        <v>Error?</v>
      </c>
    </row>
    <row r="2040" spans="1:4" x14ac:dyDescent="0.2">
      <c r="A2040" s="5">
        <v>1979</v>
      </c>
      <c r="B2040" s="138">
        <f>'Cap Outlay Deprec 26'!I10</f>
        <v>55562</v>
      </c>
      <c r="D2040" s="2" t="str">
        <f t="shared" si="30"/>
        <v>Error?</v>
      </c>
    </row>
    <row r="2041" spans="1:4" x14ac:dyDescent="0.2">
      <c r="A2041" s="5">
        <v>1980</v>
      </c>
      <c r="B2041" s="138">
        <f>'Cap Outlay Deprec 26'!I12</f>
        <v>169619</v>
      </c>
      <c r="D2041" s="2" t="str">
        <f t="shared" si="30"/>
        <v>Error?</v>
      </c>
    </row>
    <row r="2042" spans="1:4" x14ac:dyDescent="0.2">
      <c r="A2042" s="5">
        <v>1981</v>
      </c>
      <c r="B2042" s="138">
        <f>'Cap Outlay Deprec 26'!I13</f>
        <v>49140</v>
      </c>
      <c r="D2042" s="2" t="str">
        <f t="shared" si="30"/>
        <v>Error?</v>
      </c>
    </row>
    <row r="2043" spans="1:4" x14ac:dyDescent="0.2">
      <c r="A2043" s="5">
        <v>1982</v>
      </c>
      <c r="B2043" s="138">
        <f>'Cap Outlay Deprec 26'!I16</f>
        <v>557966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4600863</v>
      </c>
      <c r="C2051" s="2" t="s">
        <v>594</v>
      </c>
      <c r="D2051" s="2" t="str">
        <f t="shared" si="31"/>
        <v>Error?</v>
      </c>
    </row>
    <row r="2052" spans="1:4" x14ac:dyDescent="0.2">
      <c r="A2052" s="5">
        <v>1991</v>
      </c>
      <c r="B2052" s="138">
        <f>'Cap Outlay Deprec 26'!K10</f>
        <v>493414</v>
      </c>
      <c r="C2052" s="2" t="s">
        <v>594</v>
      </c>
      <c r="D2052" s="2" t="str">
        <f t="shared" si="31"/>
        <v>Error?</v>
      </c>
    </row>
    <row r="2053" spans="1:4" x14ac:dyDescent="0.2">
      <c r="A2053" s="5">
        <v>1992</v>
      </c>
      <c r="B2053" s="138">
        <f>'Cap Outlay Deprec 26'!K12</f>
        <v>3370750</v>
      </c>
      <c r="C2053" s="2" t="s">
        <v>594</v>
      </c>
      <c r="D2053" s="2" t="str">
        <f t="shared" si="31"/>
        <v>Error?</v>
      </c>
    </row>
    <row r="2054" spans="1:4" x14ac:dyDescent="0.2">
      <c r="A2054" s="5">
        <v>1993</v>
      </c>
      <c r="B2054" s="138">
        <f>'Cap Outlay Deprec 26'!K13</f>
        <v>1246052</v>
      </c>
      <c r="C2054" s="2" t="s">
        <v>594</v>
      </c>
      <c r="D2054" s="2" t="str">
        <f t="shared" si="31"/>
        <v>Error?</v>
      </c>
    </row>
    <row r="2055" spans="1:4" x14ac:dyDescent="0.2">
      <c r="A2055" s="5">
        <v>1994</v>
      </c>
      <c r="B2055" s="138">
        <f>'Cap Outlay Deprec 26'!K16</f>
        <v>9711079</v>
      </c>
      <c r="C2055" s="2" t="s">
        <v>594</v>
      </c>
      <c r="D2055" s="2" t="str">
        <f t="shared" si="31"/>
        <v>Error?</v>
      </c>
    </row>
    <row r="2056" spans="1:4" x14ac:dyDescent="0.2">
      <c r="A2056" s="5">
        <v>1995</v>
      </c>
      <c r="B2056" s="138">
        <f>'Cap Outlay Deprec 26'!L5</f>
        <v>103054</v>
      </c>
      <c r="C2056" s="2" t="s">
        <v>594</v>
      </c>
      <c r="D2056" s="2" t="str">
        <f t="shared" si="31"/>
        <v>Error?</v>
      </c>
    </row>
    <row r="2057" spans="1:4" x14ac:dyDescent="0.2">
      <c r="A2057" s="5">
        <v>1996</v>
      </c>
      <c r="B2057" s="138">
        <f>'Cap Outlay Deprec 26'!L8</f>
        <v>9941562</v>
      </c>
      <c r="C2057" s="2" t="s">
        <v>594</v>
      </c>
      <c r="D2057" s="2" t="str">
        <f t="shared" si="31"/>
        <v>Error?</v>
      </c>
    </row>
    <row r="2058" spans="1:4" x14ac:dyDescent="0.2">
      <c r="A2058" s="5">
        <v>1997</v>
      </c>
      <c r="B2058" s="138">
        <f>'Cap Outlay Deprec 26'!L10</f>
        <v>827587</v>
      </c>
      <c r="C2058" s="2" t="s">
        <v>594</v>
      </c>
      <c r="D2058" s="2" t="str">
        <f t="shared" si="31"/>
        <v>Error?</v>
      </c>
    </row>
    <row r="2059" spans="1:4" x14ac:dyDescent="0.2">
      <c r="A2059" s="5">
        <v>1998</v>
      </c>
      <c r="B2059" s="138">
        <f>'Cap Outlay Deprec 26'!L12</f>
        <v>764087</v>
      </c>
      <c r="C2059" s="2" t="s">
        <v>594</v>
      </c>
      <c r="D2059" s="2" t="str">
        <f t="shared" si="31"/>
        <v>Error?</v>
      </c>
    </row>
    <row r="2060" spans="1:4" x14ac:dyDescent="0.2">
      <c r="A2060" s="5">
        <v>1999</v>
      </c>
      <c r="B2060" s="138">
        <f>'Cap Outlay Deprec 26'!L13</f>
        <v>74277</v>
      </c>
      <c r="C2060" s="2" t="s">
        <v>594</v>
      </c>
      <c r="D2060" s="2" t="str">
        <f t="shared" si="31"/>
        <v>Error?</v>
      </c>
    </row>
    <row r="2061" spans="1:4" x14ac:dyDescent="0.2">
      <c r="A2061" s="5">
        <v>2000</v>
      </c>
      <c r="B2061" s="138">
        <f>'Cap Outlay Deprec 26'!L16</f>
        <v>11710567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379816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50615</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144082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1750641</v>
      </c>
      <c r="C2551" s="2" t="s">
        <v>594</v>
      </c>
      <c r="D2551" s="2" t="str">
        <f t="shared" si="38"/>
        <v>Error?</v>
      </c>
    </row>
    <row r="2552" spans="1:4" x14ac:dyDescent="0.2">
      <c r="A2552" s="10">
        <v>2491</v>
      </c>
      <c r="D2552" s="2" t="str">
        <f t="shared" si="38"/>
        <v>OK</v>
      </c>
    </row>
    <row r="2553" spans="1:4" x14ac:dyDescent="0.2">
      <c r="A2553" s="5">
        <v>2492</v>
      </c>
      <c r="B2553" s="138">
        <f>'Acct Summary 7-8'!C6</f>
        <v>3315195</v>
      </c>
      <c r="C2553" s="2" t="s">
        <v>594</v>
      </c>
      <c r="D2553" s="2" t="str">
        <f t="shared" si="38"/>
        <v>Error?</v>
      </c>
    </row>
    <row r="2554" spans="1:4" x14ac:dyDescent="0.2">
      <c r="A2554" s="5">
        <v>2493</v>
      </c>
      <c r="B2554" s="138">
        <f>'Acct Summary 7-8'!C7</f>
        <v>525638</v>
      </c>
      <c r="C2554" s="2" t="s">
        <v>594</v>
      </c>
      <c r="D2554" s="2" t="str">
        <f t="shared" si="38"/>
        <v>Error?</v>
      </c>
    </row>
    <row r="2555" spans="1:4" x14ac:dyDescent="0.2">
      <c r="A2555" s="5">
        <v>2494</v>
      </c>
      <c r="B2555" s="138">
        <f>'Acct Summary 7-8'!C8</f>
        <v>5591474</v>
      </c>
      <c r="C2555" s="2" t="s">
        <v>594</v>
      </c>
      <c r="D2555" s="2" t="str">
        <f t="shared" si="38"/>
        <v>Error?</v>
      </c>
    </row>
    <row r="2556" spans="1:4" x14ac:dyDescent="0.2">
      <c r="A2556" s="5">
        <v>2495</v>
      </c>
      <c r="B2556" s="138">
        <f>'Acct Summary 7-8'!C12</f>
        <v>3589055</v>
      </c>
      <c r="C2556" s="2" t="s">
        <v>594</v>
      </c>
      <c r="D2556" s="2" t="str">
        <f t="shared" si="38"/>
        <v>Error?</v>
      </c>
    </row>
    <row r="2557" spans="1:4" x14ac:dyDescent="0.2">
      <c r="A2557" s="5">
        <v>2496</v>
      </c>
      <c r="B2557" s="138">
        <f>'Acct Summary 7-8'!C13</f>
        <v>1436520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425743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5451318</v>
      </c>
      <c r="C2561" s="2" t="s">
        <v>594</v>
      </c>
      <c r="D2561" s="2" t="str">
        <f t="shared" si="39"/>
        <v>Error?</v>
      </c>
    </row>
    <row r="2562" spans="1:4" x14ac:dyDescent="0.2">
      <c r="A2562" s="5">
        <v>2501</v>
      </c>
      <c r="B2562" s="138">
        <f>'Acct Summary 7-8'!C20</f>
        <v>140156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362151</v>
      </c>
      <c r="C2564" s="2" t="s">
        <v>594</v>
      </c>
      <c r="D2564" s="2" t="str">
        <f t="shared" si="39"/>
        <v>Error?</v>
      </c>
    </row>
    <row r="2565" spans="1:4" x14ac:dyDescent="0.2">
      <c r="A2565" s="10">
        <v>2504</v>
      </c>
      <c r="D2565" s="2" t="str">
        <f t="shared" si="39"/>
        <v>OK</v>
      </c>
    </row>
    <row r="2566" spans="1:4" x14ac:dyDescent="0.2">
      <c r="A2566" s="5">
        <v>2505</v>
      </c>
      <c r="B2566" s="138">
        <f>'Acct Summary 7-8'!D6</f>
        <v>45000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407151</v>
      </c>
      <c r="C2568" s="2" t="s">
        <v>594</v>
      </c>
      <c r="D2568" s="2" t="str">
        <f t="shared" si="39"/>
        <v>Error?</v>
      </c>
    </row>
    <row r="2569" spans="1:4" x14ac:dyDescent="0.2">
      <c r="A2569" s="5">
        <v>2508</v>
      </c>
      <c r="B2569" s="138">
        <f>'Acct Summary 7-8'!D13</f>
        <v>534899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534899</v>
      </c>
      <c r="C2573" s="2" t="s">
        <v>594</v>
      </c>
      <c r="D2573" s="2" t="str">
        <f t="shared" si="39"/>
        <v>Error?</v>
      </c>
    </row>
    <row r="2574" spans="1:4" x14ac:dyDescent="0.2">
      <c r="A2574" s="5">
        <v>2513</v>
      </c>
      <c r="B2574" s="138">
        <f>'Acct Summary 7-8'!D20</f>
        <v>-127748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172156</v>
      </c>
      <c r="C2591" s="2" t="s">
        <v>594</v>
      </c>
      <c r="D2591" s="2" t="str">
        <f t="shared" si="39"/>
        <v>Error?</v>
      </c>
    </row>
    <row r="2592" spans="1:4" x14ac:dyDescent="0.2">
      <c r="A2592" s="10">
        <v>2531</v>
      </c>
      <c r="D2592" s="2" t="str">
        <f t="shared" si="39"/>
        <v>OK</v>
      </c>
    </row>
    <row r="2593" spans="1:4" x14ac:dyDescent="0.2">
      <c r="A2593" s="5">
        <v>2532</v>
      </c>
      <c r="B2593" s="138">
        <f>'Acct Summary 7-8'!F6</f>
        <v>329091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501247</v>
      </c>
      <c r="C2595" s="2" t="s">
        <v>594</v>
      </c>
      <c r="D2595" s="2" t="str">
        <f t="shared" si="39"/>
        <v>Error?</v>
      </c>
    </row>
    <row r="2596" spans="1:4" x14ac:dyDescent="0.2">
      <c r="A2596" s="5">
        <v>2535</v>
      </c>
      <c r="B2596" s="138">
        <f>'Acct Summary 7-8'!F13</f>
        <v>358962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358962</v>
      </c>
      <c r="C2600" s="2" t="s">
        <v>594</v>
      </c>
      <c r="D2600" s="2" t="str">
        <f t="shared" si="39"/>
        <v>Error?</v>
      </c>
    </row>
    <row r="2601" spans="1:4" x14ac:dyDescent="0.2">
      <c r="A2601" s="5">
        <v>2540</v>
      </c>
      <c r="B2601" s="138">
        <f>'Acct Summary 7-8'!F20</f>
        <v>142285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182182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182182</v>
      </c>
      <c r="C2606" s="2" t="s">
        <v>594</v>
      </c>
      <c r="D2606" s="2" t="str">
        <f t="shared" si="39"/>
        <v>Error?</v>
      </c>
    </row>
    <row r="2607" spans="1:4" x14ac:dyDescent="0.2">
      <c r="A2607" s="5">
        <v>2546</v>
      </c>
      <c r="B2607" s="138">
        <f>'Acct Summary 7-8'!G12</f>
        <v>59564</v>
      </c>
      <c r="C2607" s="2" t="s">
        <v>594</v>
      </c>
      <c r="D2607" s="2" t="str">
        <f t="shared" si="39"/>
        <v>Error?</v>
      </c>
    </row>
    <row r="2608" spans="1:4" x14ac:dyDescent="0.2">
      <c r="A2608" s="5">
        <v>2547</v>
      </c>
      <c r="B2608" s="138">
        <f>'Acct Summary 7-8'!G13</f>
        <v>140675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200239</v>
      </c>
      <c r="C2612" s="2" t="s">
        <v>594</v>
      </c>
      <c r="D2612" s="2" t="str">
        <f t="shared" si="39"/>
        <v>Error?</v>
      </c>
    </row>
    <row r="2613" spans="1:4" x14ac:dyDescent="0.2">
      <c r="A2613" s="5">
        <v>2552</v>
      </c>
      <c r="B2613" s="138">
        <f>'Acct Summary 7-8'!G20</f>
        <v>-18057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530420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530420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527939</v>
      </c>
      <c r="C2634" s="2" t="s">
        <v>594</v>
      </c>
      <c r="D2634" s="2" t="str">
        <f t="shared" si="40"/>
        <v>Error?</v>
      </c>
    </row>
    <row r="2635" spans="1:4" x14ac:dyDescent="0.2">
      <c r="A2635" s="5">
        <v>2574</v>
      </c>
      <c r="B2635" s="138">
        <f>'Acct Summary 7-8'!E17</f>
        <v>527939</v>
      </c>
      <c r="C2635" s="2" t="s">
        <v>594</v>
      </c>
      <c r="D2635" s="2" t="str">
        <f t="shared" si="40"/>
        <v>Error?</v>
      </c>
    </row>
    <row r="2636" spans="1:4" x14ac:dyDescent="0.2">
      <c r="A2636" s="5">
        <v>2575</v>
      </c>
      <c r="B2636" s="138">
        <f>'Acct Summary 7-8'!E20</f>
        <v>2481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350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274444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140287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274444</v>
      </c>
      <c r="D2912" s="2" t="str">
        <f t="shared" si="44"/>
        <v>Error?</v>
      </c>
    </row>
    <row r="2913" spans="1:4" x14ac:dyDescent="0.2">
      <c r="A2913" s="5">
        <v>2852</v>
      </c>
      <c r="B2913" s="138">
        <f>'Assets-Liab 5-6'!I41</f>
        <v>274444</v>
      </c>
      <c r="C2913" s="2" t="s">
        <v>594</v>
      </c>
      <c r="D2913" s="2" t="str">
        <f t="shared" si="44"/>
        <v>Error?</v>
      </c>
    </row>
    <row r="2914" spans="1:4" x14ac:dyDescent="0.2">
      <c r="A2914" s="5">
        <v>2853</v>
      </c>
      <c r="B2914" s="138">
        <f>'Assets-Liab 5-6'!L33</f>
        <v>140287</v>
      </c>
      <c r="D2914" s="2" t="str">
        <f t="shared" si="44"/>
        <v>Error?</v>
      </c>
    </row>
    <row r="2915" spans="1:4" x14ac:dyDescent="0.2">
      <c r="A2915" s="10">
        <v>2854</v>
      </c>
      <c r="D2915" s="2" t="str">
        <f t="shared" si="44"/>
        <v>OK</v>
      </c>
    </row>
    <row r="2916" spans="1:4" x14ac:dyDescent="0.2">
      <c r="A2916" s="5">
        <v>2855</v>
      </c>
      <c r="B2916" s="138">
        <f>'Assets-Liab 5-6'!L34</f>
        <v>140287</v>
      </c>
      <c r="C2916" s="2" t="s">
        <v>594</v>
      </c>
      <c r="D2916" s="2" t="str">
        <f t="shared" si="44"/>
        <v>Error?</v>
      </c>
    </row>
    <row r="2917" spans="1:4" x14ac:dyDescent="0.2">
      <c r="A2917" s="5">
        <v>2856</v>
      </c>
      <c r="B2917" s="138">
        <f>'Assets-Liab 5-6'!L41</f>
        <v>140287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350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108160</v>
      </c>
      <c r="D3055" s="2" t="str">
        <f t="shared" si="46"/>
        <v>Error?</v>
      </c>
    </row>
    <row r="3056" spans="1:4" x14ac:dyDescent="0.2">
      <c r="A3056" s="5">
        <v>2995</v>
      </c>
      <c r="B3056" s="138">
        <f>'Expenditures 15-22'!D10</f>
        <v>12627</v>
      </c>
      <c r="D3056" s="2" t="str">
        <f t="shared" si="46"/>
        <v>Error?</v>
      </c>
    </row>
    <row r="3057" spans="1:4" x14ac:dyDescent="0.2">
      <c r="A3057" s="5">
        <v>2996</v>
      </c>
      <c r="B3057" s="138">
        <f>'Expenditures 15-22'!E10</f>
        <v>7343</v>
      </c>
      <c r="D3057" s="2" t="str">
        <f t="shared" si="46"/>
        <v>Error?</v>
      </c>
    </row>
    <row r="3058" spans="1:4" x14ac:dyDescent="0.2">
      <c r="A3058" s="5">
        <v>2997</v>
      </c>
      <c r="B3058" s="138">
        <f>'Expenditures 15-22'!F10</f>
        <v>30743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158873</v>
      </c>
      <c r="C3062" s="2" t="s">
        <v>594</v>
      </c>
      <c r="D3062" s="2" t="str">
        <f t="shared" si="46"/>
        <v>Error?</v>
      </c>
    </row>
    <row r="3063" spans="1:4" x14ac:dyDescent="0.2">
      <c r="A3063" s="10">
        <v>3002</v>
      </c>
      <c r="D3063" s="2" t="str">
        <f t="shared" si="46"/>
        <v>OK</v>
      </c>
    </row>
    <row r="3064" spans="1:4" x14ac:dyDescent="0.2">
      <c r="A3064" s="5">
        <v>3003</v>
      </c>
      <c r="B3064" s="138">
        <f>'Expenditures 15-22'!D219</f>
        <v>1323</v>
      </c>
      <c r="D3064" s="2" t="str">
        <f t="shared" si="46"/>
        <v>Error?</v>
      </c>
    </row>
    <row r="3065" spans="1:4" x14ac:dyDescent="0.2">
      <c r="A3065" s="5">
        <v>3004</v>
      </c>
      <c r="B3065" s="138">
        <f>'Expenditures 15-22'!K219</f>
        <v>1323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39333</v>
      </c>
      <c r="C3225" s="2" t="s">
        <v>594</v>
      </c>
      <c r="D3225" s="2" t="str">
        <f t="shared" si="49"/>
        <v>Error?</v>
      </c>
    </row>
    <row r="3226" spans="1:4" x14ac:dyDescent="0.2">
      <c r="A3226" s="5">
        <v>3165</v>
      </c>
      <c r="B3226" s="138">
        <f>'Acct Summary 7-8'!I8</f>
        <v>39333</v>
      </c>
      <c r="C3226" s="2" t="s">
        <v>594</v>
      </c>
      <c r="D3226" s="2" t="str">
        <f t="shared" si="49"/>
        <v>Error?</v>
      </c>
    </row>
    <row r="3227" spans="1:4" x14ac:dyDescent="0.2">
      <c r="A3227" s="5">
        <v>3166</v>
      </c>
      <c r="B3227" s="138">
        <f>'Acct Summary 7-8'!I20</f>
        <v>39333</v>
      </c>
      <c r="C3227" s="2" t="s">
        <v>594</v>
      </c>
      <c r="D3227" s="2" t="str">
        <f t="shared" si="49"/>
        <v>Error?</v>
      </c>
    </row>
    <row r="3228" spans="1:4" x14ac:dyDescent="0.2">
      <c r="A3228" s="5">
        <v>3167</v>
      </c>
      <c r="B3228" s="138">
        <f>'Acct Summary 7-8'!C43</f>
        <v>109933</v>
      </c>
      <c r="D3228" s="2" t="str">
        <f t="shared" si="49"/>
        <v>Error?</v>
      </c>
    </row>
    <row r="3229" spans="1:4" x14ac:dyDescent="0.2">
      <c r="A3229" s="5">
        <v>3168</v>
      </c>
      <c r="B3229" s="138">
        <f>'Acct Summary 7-8'!C44</f>
        <v>160548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160548</v>
      </c>
      <c r="C3232" s="2" t="s">
        <v>594</v>
      </c>
      <c r="D3232" s="2" t="str">
        <f t="shared" si="49"/>
        <v>Error?</v>
      </c>
    </row>
    <row r="3233" spans="1:4" x14ac:dyDescent="0.2">
      <c r="A3233" s="5">
        <v>3172</v>
      </c>
      <c r="B3233" s="138">
        <f>'Acct Summary 7-8'!C78</f>
        <v>300704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-127748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142285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-18057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2481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50615</v>
      </c>
      <c r="C3318" s="2" t="s">
        <v>594</v>
      </c>
      <c r="D3318" s="2" t="str">
        <f t="shared" si="50"/>
        <v>Error?</v>
      </c>
    </row>
    <row r="3319" spans="1:4" x14ac:dyDescent="0.2">
      <c r="A3319" s="5">
        <v>3258</v>
      </c>
      <c r="B3319" s="138">
        <f>'Acct Summary 7-8'!I77</f>
        <v>-50615</v>
      </c>
      <c r="C3319" s="2" t="s">
        <v>594</v>
      </c>
      <c r="D3319" s="2" t="str">
        <f t="shared" si="50"/>
        <v>Error?</v>
      </c>
    </row>
    <row r="3320" spans="1:4" x14ac:dyDescent="0.2">
      <c r="A3320" s="5">
        <v>3259</v>
      </c>
      <c r="B3320" s="138">
        <f>'Acct Summary 7-8'!I78</f>
        <v>-11282</v>
      </c>
      <c r="C3320" s="2" t="s">
        <v>594</v>
      </c>
      <c r="D3320" s="2" t="str">
        <f t="shared" si="50"/>
        <v>Error?</v>
      </c>
    </row>
    <row r="3321" spans="1:4" x14ac:dyDescent="0.2">
      <c r="A3321" s="5">
        <v>3260</v>
      </c>
      <c r="B3321" s="138">
        <f>'Acct Summary 7-8'!I79</f>
        <v>285726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274444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372470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37007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23054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433749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29873</v>
      </c>
      <c r="D3387" s="2" t="str">
        <f t="shared" si="51"/>
        <v>Error?</v>
      </c>
    </row>
    <row r="3388" spans="1:4" x14ac:dyDescent="0.2">
      <c r="A3388" s="5">
        <v>3327</v>
      </c>
      <c r="B3388" s="138">
        <f>'Expenditures 15-22'!D217</f>
        <v>20371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29873</v>
      </c>
      <c r="C3390" s="2" t="s">
        <v>594</v>
      </c>
      <c r="D3390" s="2" t="str">
        <f t="shared" si="51"/>
        <v>Error?</v>
      </c>
    </row>
    <row r="3391" spans="1:4" x14ac:dyDescent="0.2">
      <c r="A3391" s="5">
        <v>3330</v>
      </c>
      <c r="B3391" s="138">
        <f>'Expenditures 15-22'!K217</f>
        <v>20371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586618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100241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300094</v>
      </c>
      <c r="D3417" s="2" t="str">
        <f t="shared" si="52"/>
        <v>Error?</v>
      </c>
    </row>
    <row r="3418" spans="1:4" x14ac:dyDescent="0.2">
      <c r="A3418" s="10">
        <v>3357</v>
      </c>
      <c r="D3418" s="2" t="str">
        <f t="shared" si="52"/>
        <v>OK</v>
      </c>
    </row>
    <row r="3419" spans="1:4" x14ac:dyDescent="0.2">
      <c r="A3419" s="5">
        <v>3358</v>
      </c>
      <c r="B3419" s="138">
        <f>'Assets-Liab 5-6'!F4</f>
        <v>354010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501797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274444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140287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113512</v>
      </c>
      <c r="C3446" s="2" t="s">
        <v>594</v>
      </c>
      <c r="D3446" s="2" t="str">
        <f t="shared" si="52"/>
        <v>Error?</v>
      </c>
    </row>
    <row r="3447" spans="1:4" x14ac:dyDescent="0.2">
      <c r="A3447" s="5">
        <v>3386</v>
      </c>
      <c r="B3447" s="138">
        <f>'Tax Sched 23'!D16</f>
        <v>113512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109008</v>
      </c>
      <c r="C3449" s="2" t="s">
        <v>594</v>
      </c>
      <c r="D3449" s="2" t="str">
        <f t="shared" si="52"/>
        <v>Error?</v>
      </c>
    </row>
    <row r="3450" spans="1:4" x14ac:dyDescent="0.2">
      <c r="A3450" s="5">
        <v>3389</v>
      </c>
      <c r="B3450" s="138">
        <f>'Tax Sched 23'!E16</f>
        <v>109008</v>
      </c>
      <c r="D3450" s="2" t="str">
        <f t="shared" si="52"/>
        <v>Error?</v>
      </c>
    </row>
    <row r="3451" spans="1:4" x14ac:dyDescent="0.2">
      <c r="A3451" s="5">
        <v>3390</v>
      </c>
      <c r="B3451" s="138">
        <f>'Cap Outlay Deprec 26'!C15</f>
        <v>126502</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126502</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13739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13739</v>
      </c>
      <c r="D3567" s="2" t="str">
        <f t="shared" si="54"/>
        <v>Error?</v>
      </c>
    </row>
    <row r="3568" spans="1:4" x14ac:dyDescent="0.2">
      <c r="A3568" s="5">
        <v>3507</v>
      </c>
      <c r="B3568" s="138">
        <f>'Assets-Liab 5-6'!K41</f>
        <v>13739</v>
      </c>
      <c r="C3568" s="2" t="s">
        <v>594</v>
      </c>
      <c r="D3568" s="2" t="str">
        <f t="shared" si="54"/>
        <v>Error?</v>
      </c>
    </row>
    <row r="3569" spans="1:4" x14ac:dyDescent="0.2">
      <c r="A3569" s="5">
        <v>3508</v>
      </c>
      <c r="B3569" s="138">
        <f>'Acct Summary 7-8'!K4</f>
        <v>36240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36240</v>
      </c>
      <c r="C3571" s="2" t="s">
        <v>594</v>
      </c>
      <c r="D3571" s="2" t="str">
        <f t="shared" si="54"/>
        <v>Error?</v>
      </c>
    </row>
    <row r="3572" spans="1:4" x14ac:dyDescent="0.2">
      <c r="A3572" s="5">
        <v>3511</v>
      </c>
      <c r="B3572" s="138">
        <f>'Acct Summary 7-8'!K13</f>
        <v>113062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113062</v>
      </c>
      <c r="C3575" s="2" t="s">
        <v>594</v>
      </c>
      <c r="D3575" s="2" t="str">
        <f t="shared" si="54"/>
        <v>Error?</v>
      </c>
    </row>
    <row r="3576" spans="1:4" x14ac:dyDescent="0.2">
      <c r="A3576" s="5">
        <v>3515</v>
      </c>
      <c r="B3576" s="138">
        <f>'Acct Summary 7-8'!K20</f>
        <v>-76822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-76822</v>
      </c>
      <c r="C3588" s="2" t="s">
        <v>594</v>
      </c>
      <c r="D3588" s="2" t="str">
        <f t="shared" si="55"/>
        <v>Error?</v>
      </c>
    </row>
    <row r="3589" spans="1:4" x14ac:dyDescent="0.2">
      <c r="A3589" s="5">
        <v>3528</v>
      </c>
      <c r="B3589" s="138">
        <f>'Acct Summary 7-8'!K79</f>
        <v>90561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13739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64</v>
      </c>
      <c r="D3639" s="2" t="str">
        <f t="shared" si="55"/>
        <v>Error?</v>
      </c>
    </row>
    <row r="3640" spans="1:4" x14ac:dyDescent="0.2">
      <c r="A3640" s="5">
        <v>3579</v>
      </c>
      <c r="B3640" s="138">
        <f>'Expenditures 15-22'!F350</f>
        <v>64</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64</v>
      </c>
      <c r="C3642" s="2" t="s">
        <v>594</v>
      </c>
      <c r="D3642" s="2" t="str">
        <f t="shared" si="55"/>
        <v>Error?</v>
      </c>
    </row>
    <row r="3643" spans="1:4" x14ac:dyDescent="0.2">
      <c r="A3643" s="5">
        <v>3582</v>
      </c>
      <c r="B3643" s="138">
        <f>'Expenditures 15-22'!F367</f>
        <v>64</v>
      </c>
      <c r="C3643" s="2" t="s">
        <v>594</v>
      </c>
      <c r="D3643" s="2" t="str">
        <f t="shared" si="55"/>
        <v>Error?</v>
      </c>
    </row>
    <row r="3644" spans="1:4" x14ac:dyDescent="0.2">
      <c r="A3644" s="10">
        <v>3583</v>
      </c>
      <c r="D3644" s="2" t="str">
        <f t="shared" si="55"/>
        <v>OK</v>
      </c>
    </row>
    <row r="3645" spans="1:4" x14ac:dyDescent="0.2">
      <c r="A3645" s="5">
        <v>3584</v>
      </c>
      <c r="B3645" s="138">
        <f>'Expenditures 15-22'!G348</f>
        <v>33297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33297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33297</v>
      </c>
      <c r="C3649" s="2" t="s">
        <v>594</v>
      </c>
      <c r="D3649" s="2" t="str">
        <f t="shared" si="56"/>
        <v>Error?</v>
      </c>
    </row>
    <row r="3650" spans="1:4" x14ac:dyDescent="0.2">
      <c r="A3650" s="5">
        <v>3589</v>
      </c>
      <c r="B3650" s="138">
        <f>'Expenditures 15-22'!G367</f>
        <v>33297</v>
      </c>
      <c r="C3650" s="2" t="s">
        <v>594</v>
      </c>
      <c r="D3650" s="2" t="str">
        <f t="shared" si="56"/>
        <v>Error?</v>
      </c>
    </row>
    <row r="3651" spans="1:4" x14ac:dyDescent="0.2">
      <c r="A3651" s="10">
        <v>3590</v>
      </c>
      <c r="D3651" s="2" t="str">
        <f t="shared" si="56"/>
        <v>OK</v>
      </c>
    </row>
    <row r="3652" spans="1:4" x14ac:dyDescent="0.2">
      <c r="A3652" s="5">
        <v>3591</v>
      </c>
      <c r="B3652" s="138">
        <f>'Expenditures 15-22'!H348</f>
        <v>79701</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79701</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79701</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79701</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112998</v>
      </c>
      <c r="C3668" s="2" t="s">
        <v>594</v>
      </c>
      <c r="D3668" s="2" t="str">
        <f t="shared" si="56"/>
        <v>Error?</v>
      </c>
    </row>
    <row r="3669" spans="1:4" x14ac:dyDescent="0.2">
      <c r="A3669" s="5">
        <v>3608</v>
      </c>
      <c r="B3669" s="138">
        <f>'Expenditures 15-22'!K349</f>
        <v>64</v>
      </c>
      <c r="C3669" s="2" t="s">
        <v>594</v>
      </c>
      <c r="D3669" s="2" t="str">
        <f t="shared" si="56"/>
        <v>Error?</v>
      </c>
    </row>
    <row r="3670" spans="1:4" x14ac:dyDescent="0.2">
      <c r="A3670" s="5">
        <v>3609</v>
      </c>
      <c r="B3670" s="138">
        <f>'Expenditures 15-22'!K350</f>
        <v>113062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113062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113062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-76822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35690</v>
      </c>
      <c r="C3725" s="2" t="s">
        <v>594</v>
      </c>
      <c r="D3725" s="2" t="str">
        <f t="shared" si="57"/>
        <v>Error?</v>
      </c>
    </row>
    <row r="3726" spans="1:4" x14ac:dyDescent="0.2">
      <c r="A3726" s="5">
        <v>3665</v>
      </c>
      <c r="B3726" s="138">
        <f>'Tax Sched 23'!D13</f>
        <v>35690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37750</v>
      </c>
      <c r="C3728" s="2" t="s">
        <v>594</v>
      </c>
      <c r="D3728" s="2" t="str">
        <f t="shared" si="57"/>
        <v>Error?</v>
      </c>
    </row>
    <row r="3729" spans="1:4" x14ac:dyDescent="0.2">
      <c r="A3729" s="5">
        <v>3668</v>
      </c>
      <c r="B3729" s="138">
        <f>'Tax Sched 23'!E13</f>
        <v>37750</v>
      </c>
      <c r="D3729" s="2" t="str">
        <f t="shared" si="57"/>
        <v>Error?</v>
      </c>
    </row>
    <row r="3730" spans="1:4" x14ac:dyDescent="0.2">
      <c r="A3730" s="5">
        <v>3669</v>
      </c>
      <c r="B3730" s="138">
        <f>'ICR Computation 30'!E10</f>
        <v>114169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1336719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6928193</v>
      </c>
      <c r="C4122" s="2" t="s">
        <v>594</v>
      </c>
      <c r="D4122" s="2" t="str">
        <f t="shared" si="63"/>
        <v>Error?</v>
      </c>
    </row>
    <row r="4123" spans="1:4" x14ac:dyDescent="0.2">
      <c r="A4123" s="5">
        <v>4062</v>
      </c>
      <c r="B4123" s="138">
        <f>'Acct Summary 7-8'!D10</f>
        <v>407151</v>
      </c>
      <c r="C4123" s="2" t="s">
        <v>594</v>
      </c>
      <c r="D4123" s="2" t="str">
        <f t="shared" si="63"/>
        <v>Error?</v>
      </c>
    </row>
    <row r="4124" spans="1:4" x14ac:dyDescent="0.2">
      <c r="A4124" s="5">
        <v>4063</v>
      </c>
      <c r="B4124" s="138">
        <f>'Acct Summary 7-8'!E10</f>
        <v>530420</v>
      </c>
      <c r="C4124" s="2" t="s">
        <v>594</v>
      </c>
      <c r="D4124" s="2" t="str">
        <f t="shared" si="63"/>
        <v>Error?</v>
      </c>
    </row>
    <row r="4125" spans="1:4" x14ac:dyDescent="0.2">
      <c r="A4125" s="5">
        <v>4064</v>
      </c>
      <c r="B4125" s="138">
        <f>'Acct Summary 7-8'!F10</f>
        <v>501247</v>
      </c>
      <c r="C4125" s="2" t="s">
        <v>594</v>
      </c>
      <c r="D4125" s="2" t="str">
        <f t="shared" si="63"/>
        <v>Error?</v>
      </c>
    </row>
    <row r="4126" spans="1:4" x14ac:dyDescent="0.2">
      <c r="A4126" s="5">
        <v>4065</v>
      </c>
      <c r="B4126" s="138">
        <f>'Acct Summary 7-8'!G10</f>
        <v>182182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39333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36240</v>
      </c>
      <c r="C4130" s="2" t="s">
        <v>594</v>
      </c>
      <c r="D4130" s="2" t="str">
        <f t="shared" si="63"/>
        <v>Error?</v>
      </c>
    </row>
    <row r="4131" spans="1:4" x14ac:dyDescent="0.2">
      <c r="A4131" s="5">
        <v>4070</v>
      </c>
      <c r="B4131" s="138">
        <f>'Acct Summary 7-8'!C18</f>
        <v>1336719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6788037</v>
      </c>
      <c r="C4136" s="2" t="s">
        <v>594</v>
      </c>
      <c r="D4136" s="2" t="str">
        <f t="shared" si="63"/>
        <v>Error?</v>
      </c>
    </row>
    <row r="4137" spans="1:4" x14ac:dyDescent="0.2">
      <c r="A4137" s="5">
        <v>4076</v>
      </c>
      <c r="B4137" s="138">
        <f>'Acct Summary 7-8'!D19</f>
        <v>534899</v>
      </c>
      <c r="C4137" s="2" t="s">
        <v>594</v>
      </c>
      <c r="D4137" s="2" t="str">
        <f t="shared" si="63"/>
        <v>Error?</v>
      </c>
    </row>
    <row r="4138" spans="1:4" x14ac:dyDescent="0.2">
      <c r="A4138" s="5">
        <v>4077</v>
      </c>
      <c r="B4138" s="138">
        <f>'Acct Summary 7-8'!E19</f>
        <v>527939</v>
      </c>
      <c r="C4138" s="2" t="s">
        <v>594</v>
      </c>
      <c r="D4138" s="2" t="str">
        <f t="shared" si="63"/>
        <v>Error?</v>
      </c>
    </row>
    <row r="4139" spans="1:4" x14ac:dyDescent="0.2">
      <c r="A4139" s="5">
        <v>4078</v>
      </c>
      <c r="B4139" s="138">
        <f>'Acct Summary 7-8'!F19</f>
        <v>358962</v>
      </c>
      <c r="C4139" s="2" t="s">
        <v>594</v>
      </c>
      <c r="D4139" s="2" t="str">
        <f t="shared" si="63"/>
        <v>Error?</v>
      </c>
    </row>
    <row r="4140" spans="1:4" x14ac:dyDescent="0.2">
      <c r="A4140" s="5">
        <v>4079</v>
      </c>
      <c r="B4140" s="138">
        <f>'Acct Summary 7-8'!G19</f>
        <v>200239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113062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7894933</v>
      </c>
      <c r="C4171" s="2" t="s">
        <v>594</v>
      </c>
      <c r="D4171" s="2" t="str">
        <f t="shared" si="64"/>
        <v>Error?</v>
      </c>
    </row>
    <row r="4172" spans="1:4" x14ac:dyDescent="0.2">
      <c r="A4172" s="5">
        <v>4111</v>
      </c>
      <c r="B4172" s="138">
        <f>'Short-Term Long-Term Debt 24'!J49</f>
        <v>7594839</v>
      </c>
      <c r="C4172" s="2" t="s">
        <v>594</v>
      </c>
      <c r="D4172" s="2" t="str">
        <f t="shared" si="64"/>
        <v>Error?</v>
      </c>
    </row>
    <row r="4173" spans="1:4" x14ac:dyDescent="0.2">
      <c r="A4173" s="5">
        <v>4112</v>
      </c>
      <c r="B4173" s="138">
        <f>'Short-Term Long-Term Debt 24'!H49</f>
        <v>175000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1308612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16705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35752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350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19290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12390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75500712</v>
      </c>
      <c r="D4995" s="2" t="str">
        <f t="shared" si="77"/>
        <v>Error?</v>
      </c>
    </row>
    <row r="4996" spans="1:4" x14ac:dyDescent="0.2">
      <c r="A4996" s="12">
        <v>4935</v>
      </c>
      <c r="B4996" s="138">
        <f>'FP Info 3'!H31</f>
        <v>10419098.256000001</v>
      </c>
      <c r="D4996" s="2" t="str">
        <f t="shared" si="77"/>
        <v>Error?</v>
      </c>
    </row>
    <row r="4997" spans="1:4" x14ac:dyDescent="0.2">
      <c r="A4997" s="12">
        <v>4936</v>
      </c>
      <c r="B4997" s="138">
        <f>'FP Info 3'!H37</f>
        <v>7894933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35690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1313420</v>
      </c>
      <c r="D5061" s="2" t="str">
        <f t="shared" si="78"/>
        <v>Error?</v>
      </c>
    </row>
    <row r="5062" spans="1:4" x14ac:dyDescent="0.2">
      <c r="A5062" s="10">
        <v>5001</v>
      </c>
      <c r="D5062" s="2" t="str">
        <f t="shared" si="78"/>
        <v>OK</v>
      </c>
    </row>
    <row r="5063" spans="1:4" x14ac:dyDescent="0.2">
      <c r="A5063" s="5">
        <v>5002</v>
      </c>
      <c r="B5063" s="138">
        <f>'Revenues 9-14'!C7</f>
        <v>28553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1377663</v>
      </c>
      <c r="C5066" s="2" t="s">
        <v>594</v>
      </c>
      <c r="D5066" s="2" t="str">
        <f t="shared" si="78"/>
        <v>Error?</v>
      </c>
    </row>
    <row r="5067" spans="1:4" x14ac:dyDescent="0.2">
      <c r="A5067" s="5">
        <v>5006</v>
      </c>
      <c r="B5067" s="138">
        <f>'Revenues 9-14'!C14</f>
        <v>1874</v>
      </c>
      <c r="D5067" s="2" t="str">
        <f t="shared" si="78"/>
        <v>Error?</v>
      </c>
    </row>
    <row r="5068" spans="1:4" x14ac:dyDescent="0.2">
      <c r="A5068" s="5">
        <v>5007</v>
      </c>
      <c r="B5068" s="138">
        <f>'Revenues 9-14'!C15</f>
        <v>640</v>
      </c>
      <c r="D5068" s="2" t="str">
        <f t="shared" si="78"/>
        <v>Error?</v>
      </c>
    </row>
    <row r="5069" spans="1:4" x14ac:dyDescent="0.2">
      <c r="A5069" s="5">
        <v>5008</v>
      </c>
      <c r="B5069" s="138">
        <f>'Revenues 9-14'!C16</f>
        <v>77107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79621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7179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7179</v>
      </c>
      <c r="C5090" s="2" t="s">
        <v>594</v>
      </c>
      <c r="D5090" s="2" t="str">
        <f t="shared" si="78"/>
        <v>Error?</v>
      </c>
    </row>
    <row r="5091" spans="1:4" x14ac:dyDescent="0.2">
      <c r="A5091" s="5">
        <v>5030</v>
      </c>
      <c r="B5091" s="138">
        <f>'Revenues 9-14'!C70</f>
        <v>2757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4499</v>
      </c>
      <c r="D5093" s="2" t="str">
        <f t="shared" si="78"/>
        <v>Error?</v>
      </c>
    </row>
    <row r="5094" spans="1:4" x14ac:dyDescent="0.2">
      <c r="A5094" s="5">
        <v>5033</v>
      </c>
      <c r="B5094" s="138">
        <f>'Revenues 9-14'!C73</f>
        <v>2105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62836</v>
      </c>
      <c r="C5096" s="2" t="s">
        <v>594</v>
      </c>
      <c r="D5096" s="2" t="str">
        <f t="shared" si="78"/>
        <v>Error?</v>
      </c>
    </row>
    <row r="5097" spans="1:4" x14ac:dyDescent="0.2">
      <c r="A5097" s="5">
        <v>5036</v>
      </c>
      <c r="B5097" s="138">
        <f>'Revenues 9-14'!C77</f>
        <v>32127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6106</v>
      </c>
      <c r="D5101" s="2" t="str">
        <f t="shared" si="78"/>
        <v>Error?</v>
      </c>
    </row>
    <row r="5102" spans="1:4" x14ac:dyDescent="0.2">
      <c r="A5102" s="5">
        <v>5041</v>
      </c>
      <c r="B5102" s="138">
        <f>'Revenues 9-14'!C82</f>
        <v>38233</v>
      </c>
      <c r="C5102" s="2" t="s">
        <v>594</v>
      </c>
      <c r="D5102" s="2" t="str">
        <f t="shared" si="78"/>
        <v>Error?</v>
      </c>
    </row>
    <row r="5103" spans="1:4" x14ac:dyDescent="0.2">
      <c r="A5103" s="5">
        <v>5042</v>
      </c>
      <c r="B5103" s="138">
        <f>'Revenues 9-14'!C84</f>
        <v>69248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69248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97768</v>
      </c>
      <c r="D5119" s="2" t="str">
        <f t="shared" ref="D5119:D5182" si="79">IF(ISBLANK(B5119),"OK",IF(A5119-B5119=0,"OK","Error?"))</f>
        <v>Error?</v>
      </c>
    </row>
    <row r="5120" spans="1:4" x14ac:dyDescent="0.2">
      <c r="A5120" s="5">
        <v>5059</v>
      </c>
      <c r="B5120" s="138">
        <f>'Revenues 9-14'!C108</f>
        <v>115861</v>
      </c>
      <c r="C5120" s="2" t="s">
        <v>594</v>
      </c>
      <c r="D5120" s="2" t="str">
        <f t="shared" si="79"/>
        <v>Error?</v>
      </c>
    </row>
    <row r="5121" spans="1:4" x14ac:dyDescent="0.2">
      <c r="A5121" s="5">
        <v>5060</v>
      </c>
      <c r="B5121" s="138">
        <f>'Revenues 9-14'!C109</f>
        <v>1750641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3171741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3171741</v>
      </c>
      <c r="C5132" s="2" t="s">
        <v>594</v>
      </c>
      <c r="D5132" s="2" t="str">
        <f t="shared" si="79"/>
        <v>Error?</v>
      </c>
    </row>
    <row r="5133" spans="1:4" x14ac:dyDescent="0.2">
      <c r="A5133" s="5">
        <v>5072</v>
      </c>
      <c r="B5133" s="138">
        <f>'Revenues 9-14'!C124</f>
        <v>15212</v>
      </c>
      <c r="D5133" s="2" t="str">
        <f t="shared" si="79"/>
        <v>Error?</v>
      </c>
    </row>
    <row r="5134" spans="1:4" x14ac:dyDescent="0.2">
      <c r="A5134" s="5">
        <v>5073</v>
      </c>
      <c r="B5134" s="138">
        <f>'Revenues 9-14'!C125</f>
        <v>51654</v>
      </c>
      <c r="D5134" s="2" t="str">
        <f t="shared" si="79"/>
        <v>Error?</v>
      </c>
    </row>
    <row r="5135" spans="1:4" x14ac:dyDescent="0.2">
      <c r="A5135" s="5">
        <v>5074</v>
      </c>
      <c r="B5135" s="138">
        <f>'Revenues 9-14'!C126</f>
        <v>54001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1775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122642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4014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2669</v>
      </c>
      <c r="D5167" s="2" t="str">
        <f t="shared" si="79"/>
        <v>Error?</v>
      </c>
    </row>
    <row r="5168" spans="1:4" x14ac:dyDescent="0.2">
      <c r="A5168" s="5">
        <v>5107</v>
      </c>
      <c r="B5168" s="138">
        <f>'Revenues 9-14'!C147</f>
        <v>13379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143454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3315195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126368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29785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156153</v>
      </c>
      <c r="C5246" s="2" t="s">
        <v>594</v>
      </c>
      <c r="D5246" s="2" t="str">
        <f t="shared" si="80"/>
        <v>Error?</v>
      </c>
    </row>
    <row r="5247" spans="1:4" x14ac:dyDescent="0.2">
      <c r="A5247" s="5">
        <v>5186</v>
      </c>
      <c r="B5247" s="138">
        <f>'Revenues 9-14'!C203</f>
        <v>134730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134730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47647</v>
      </c>
      <c r="D5278" s="2" t="str">
        <f t="shared" si="81"/>
        <v>Error?</v>
      </c>
    </row>
    <row r="5279" spans="1:4" x14ac:dyDescent="0.2">
      <c r="A5279" s="5">
        <v>5218</v>
      </c>
      <c r="B5279" s="138">
        <f>'Revenues 9-14'!C221</f>
        <v>115011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162658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525638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525638</v>
      </c>
      <c r="C5326" s="2" t="s">
        <v>594</v>
      </c>
      <c r="D5326" s="2" t="str">
        <f t="shared" si="82"/>
        <v>Error?</v>
      </c>
    </row>
    <row r="5327" spans="1:4" x14ac:dyDescent="0.2">
      <c r="A5327" s="5">
        <v>5266</v>
      </c>
      <c r="B5327" s="138">
        <f>'Revenues 9-14'!C275</f>
        <v>5591474</v>
      </c>
      <c r="C5327" s="2" t="s">
        <v>594</v>
      </c>
      <c r="D5327" s="2" t="str">
        <f t="shared" si="82"/>
        <v>Error?</v>
      </c>
    </row>
    <row r="5328" spans="1:4" x14ac:dyDescent="0.2">
      <c r="A5328" s="5">
        <v>5267</v>
      </c>
      <c r="B5328" s="138">
        <f>'Revenues 9-14'!D5</f>
        <v>356908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356908</v>
      </c>
      <c r="C5334" s="2" t="s">
        <v>594</v>
      </c>
      <c r="D5334" s="2" t="str">
        <f t="shared" si="82"/>
        <v>Error?</v>
      </c>
    </row>
    <row r="5335" spans="1:4" x14ac:dyDescent="0.2">
      <c r="A5335" s="5">
        <v>5274</v>
      </c>
      <c r="B5335" s="138">
        <f>'Revenues 9-14'!D14</f>
        <v>485</v>
      </c>
      <c r="D5335" s="2" t="str">
        <f t="shared" si="82"/>
        <v>Error?</v>
      </c>
    </row>
    <row r="5336" spans="1:4" x14ac:dyDescent="0.2">
      <c r="A5336" s="5">
        <v>5275</v>
      </c>
      <c r="B5336" s="138">
        <f>'Revenues 9-14'!D15</f>
        <v>166</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651</v>
      </c>
      <c r="C5339" s="2" t="s">
        <v>594</v>
      </c>
      <c r="D5339" s="2" t="str">
        <f t="shared" si="82"/>
        <v>Error?</v>
      </c>
    </row>
    <row r="5340" spans="1:4" x14ac:dyDescent="0.2">
      <c r="A5340" s="5">
        <v>5279</v>
      </c>
      <c r="B5340" s="138">
        <f>'Revenues 9-14'!D65</f>
        <v>3469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3469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973</v>
      </c>
      <c r="D5354" s="2" t="str">
        <f t="shared" si="82"/>
        <v>Error?</v>
      </c>
    </row>
    <row r="5355" spans="1:4" x14ac:dyDescent="0.2">
      <c r="A5355" s="5">
        <v>5294</v>
      </c>
      <c r="B5355" s="138">
        <f>'Revenues 9-14'!D108</f>
        <v>1123</v>
      </c>
      <c r="C5355" s="2" t="s">
        <v>594</v>
      </c>
      <c r="D5355" s="2" t="str">
        <f t="shared" si="82"/>
        <v>Error?</v>
      </c>
    </row>
    <row r="5356" spans="1:4" x14ac:dyDescent="0.2">
      <c r="A5356" s="5">
        <v>5295</v>
      </c>
      <c r="B5356" s="138">
        <f>'Revenues 9-14'!D109</f>
        <v>362151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407151</v>
      </c>
      <c r="C5508" s="2" t="s">
        <v>594</v>
      </c>
      <c r="D5508" s="2" t="str">
        <f t="shared" si="85"/>
        <v>Error?</v>
      </c>
    </row>
    <row r="5509" spans="1:4" x14ac:dyDescent="0.2">
      <c r="A5509" s="5">
        <v>5448</v>
      </c>
      <c r="B5509" s="138">
        <f>'Revenues 9-14'!E5</f>
        <v>524147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524147</v>
      </c>
      <c r="C5513" s="2" t="s">
        <v>594</v>
      </c>
      <c r="D5513" s="2" t="str">
        <f t="shared" si="85"/>
        <v>Error?</v>
      </c>
    </row>
    <row r="5514" spans="1:4" x14ac:dyDescent="0.2">
      <c r="A5514" s="5">
        <v>5453</v>
      </c>
      <c r="B5514" s="138">
        <f>'Revenues 9-14'!E14</f>
        <v>706</v>
      </c>
      <c r="D5514" s="2" t="str">
        <f t="shared" si="85"/>
        <v>Error?</v>
      </c>
    </row>
    <row r="5515" spans="1:4" x14ac:dyDescent="0.2">
      <c r="A5515" s="5">
        <v>5454</v>
      </c>
      <c r="B5515" s="138">
        <f>'Revenues 9-14'!E15</f>
        <v>244</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950</v>
      </c>
      <c r="C5518" s="2" t="s">
        <v>594</v>
      </c>
      <c r="D5518" s="2" t="str">
        <f t="shared" si="85"/>
        <v>Error?</v>
      </c>
    </row>
    <row r="5519" spans="1:4" x14ac:dyDescent="0.2">
      <c r="A5519" s="5">
        <v>5458</v>
      </c>
      <c r="B5519" s="138">
        <f>'Revenues 9-14'!E65</f>
        <v>5323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5323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530420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530420</v>
      </c>
      <c r="C5552" s="2" t="s">
        <v>594</v>
      </c>
      <c r="D5552" s="2" t="str">
        <f t="shared" si="85"/>
        <v>Error?</v>
      </c>
    </row>
    <row r="5553" spans="1:4" x14ac:dyDescent="0.2">
      <c r="A5553" s="5">
        <v>5492</v>
      </c>
      <c r="B5553" s="138">
        <f>'Revenues 9-14'!F5</f>
        <v>142765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142765</v>
      </c>
      <c r="C5557" s="2" t="s">
        <v>594</v>
      </c>
      <c r="D5557" s="2" t="str">
        <f t="shared" si="85"/>
        <v>Error?</v>
      </c>
    </row>
    <row r="5558" spans="1:4" x14ac:dyDescent="0.2">
      <c r="A5558" s="5">
        <v>5497</v>
      </c>
      <c r="B5558" s="138">
        <f>'Revenues 9-14'!F14</f>
        <v>194</v>
      </c>
      <c r="D5558" s="2" t="str">
        <f t="shared" si="85"/>
        <v>Error?</v>
      </c>
    </row>
    <row r="5559" spans="1:4" x14ac:dyDescent="0.2">
      <c r="A5559" s="5">
        <v>5498</v>
      </c>
      <c r="B5559" s="138">
        <f>'Revenues 9-14'!F15</f>
        <v>67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4131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4131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24999</v>
      </c>
      <c r="D5586" s="2" t="str">
        <f t="shared" si="86"/>
        <v>Error?</v>
      </c>
    </row>
    <row r="5587" spans="1:4" x14ac:dyDescent="0.2">
      <c r="A5587" s="5">
        <v>5526</v>
      </c>
      <c r="B5587" s="138">
        <f>'Revenues 9-14'!F108</f>
        <v>24999</v>
      </c>
      <c r="C5587" s="2" t="s">
        <v>594</v>
      </c>
      <c r="D5587" s="2" t="str">
        <f t="shared" si="86"/>
        <v>Error?</v>
      </c>
    </row>
    <row r="5588" spans="1:4" x14ac:dyDescent="0.2">
      <c r="A5588" s="5">
        <v>5527</v>
      </c>
      <c r="B5588" s="138">
        <f>'Revenues 9-14'!F109</f>
        <v>172156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184248</v>
      </c>
      <c r="D5615" s="2" t="str">
        <f t="shared" si="86"/>
        <v>Error?</v>
      </c>
    </row>
    <row r="5616" spans="1:4" x14ac:dyDescent="0.2">
      <c r="A5616" s="10">
        <v>5555</v>
      </c>
      <c r="D5616" s="2" t="str">
        <f t="shared" si="86"/>
        <v>OK</v>
      </c>
    </row>
    <row r="5617" spans="1:4" x14ac:dyDescent="0.2">
      <c r="A5617" s="5">
        <v>5556</v>
      </c>
      <c r="B5617" s="138">
        <f>'Revenues 9-14'!F152</f>
        <v>144843</v>
      </c>
      <c r="D5617" s="2" t="str">
        <f t="shared" si="86"/>
        <v>Error?</v>
      </c>
    </row>
    <row r="5618" spans="1:4" x14ac:dyDescent="0.2">
      <c r="A5618" s="5">
        <v>5557</v>
      </c>
      <c r="B5618" s="138">
        <f>'Revenues 9-14'!F154</f>
        <v>329091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329091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329091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501247</v>
      </c>
      <c r="C5720" s="2" t="s">
        <v>594</v>
      </c>
      <c r="D5720" s="2" t="str">
        <f t="shared" si="88"/>
        <v>Error?</v>
      </c>
    </row>
    <row r="5721" spans="1:4" x14ac:dyDescent="0.2">
      <c r="A5721" s="5">
        <v>5660</v>
      </c>
      <c r="B5721" s="138">
        <f>'Revenues 9-14'!G5</f>
        <v>49788</v>
      </c>
      <c r="D5721" s="2" t="str">
        <f t="shared" si="88"/>
        <v>Error?</v>
      </c>
    </row>
    <row r="5722" spans="1:4" x14ac:dyDescent="0.2">
      <c r="A5722" s="5">
        <v>5661</v>
      </c>
      <c r="B5722" s="138">
        <f>'Revenues 9-14'!G7</f>
        <v>0</v>
      </c>
      <c r="D5722" s="2" t="str">
        <f t="shared" si="88"/>
        <v>Error?</v>
      </c>
    </row>
    <row r="5723" spans="1:4" x14ac:dyDescent="0.2">
      <c r="A5723" s="5">
        <v>5662</v>
      </c>
      <c r="B5723" s="138">
        <f>'Revenues 9-14'!G8</f>
        <v>113512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163300</v>
      </c>
      <c r="C5725" s="2" t="s">
        <v>594</v>
      </c>
      <c r="D5725" s="2" t="str">
        <f t="shared" si="88"/>
        <v>Error?</v>
      </c>
    </row>
    <row r="5726" spans="1:4" x14ac:dyDescent="0.2">
      <c r="A5726" s="5">
        <v>5665</v>
      </c>
      <c r="B5726" s="138">
        <f>'Revenues 9-14'!G14</f>
        <v>227</v>
      </c>
      <c r="D5726" s="2" t="str">
        <f t="shared" si="88"/>
        <v>Error?</v>
      </c>
    </row>
    <row r="5727" spans="1:4" x14ac:dyDescent="0.2">
      <c r="A5727" s="5">
        <v>5666</v>
      </c>
      <c r="B5727" s="138">
        <f>'Revenues 9-14'!G15</f>
        <v>76</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12303</v>
      </c>
      <c r="C5730" s="2" t="s">
        <v>594</v>
      </c>
      <c r="D5730" s="2" t="str">
        <f t="shared" si="88"/>
        <v>Error?</v>
      </c>
    </row>
    <row r="5731" spans="1:4" x14ac:dyDescent="0.2">
      <c r="A5731" s="5">
        <v>5670</v>
      </c>
      <c r="B5731" s="138">
        <f>'Revenues 9-14'!G65</f>
        <v>6579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6579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182182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35689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35689</v>
      </c>
      <c r="C5918" s="2" t="s">
        <v>594</v>
      </c>
      <c r="D5918" s="2" t="str">
        <f t="shared" si="91"/>
        <v>Error?</v>
      </c>
    </row>
    <row r="5919" spans="1:4" x14ac:dyDescent="0.2">
      <c r="A5919" s="5">
        <v>5858</v>
      </c>
      <c r="B5919" s="138">
        <f>'Revenues 9-14'!I14</f>
        <v>49</v>
      </c>
      <c r="D5919" s="2" t="str">
        <f t="shared" si="91"/>
        <v>Error?</v>
      </c>
    </row>
    <row r="5920" spans="1:4" x14ac:dyDescent="0.2">
      <c r="A5920" s="5">
        <v>5859</v>
      </c>
      <c r="B5920" s="138">
        <f>'Revenues 9-14'!I15</f>
        <v>16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65</v>
      </c>
      <c r="C5923" s="2" t="s">
        <v>594</v>
      </c>
      <c r="D5923" s="2" t="str">
        <f t="shared" si="91"/>
        <v>Error?</v>
      </c>
    </row>
    <row r="5924" spans="1:4" x14ac:dyDescent="0.2">
      <c r="A5924" s="5">
        <v>5863</v>
      </c>
      <c r="B5924" s="138">
        <f>'Revenues 9-14'!I65</f>
        <v>3579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3579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39333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35690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35690</v>
      </c>
      <c r="C5987" s="2" t="s">
        <v>594</v>
      </c>
      <c r="D5987" s="2" t="str">
        <f t="shared" si="92"/>
        <v>Error?</v>
      </c>
    </row>
    <row r="5988" spans="1:4" x14ac:dyDescent="0.2">
      <c r="A5988" s="5">
        <v>5927</v>
      </c>
      <c r="B5988" s="138">
        <f>'Revenues 9-14'!K14</f>
        <v>47</v>
      </c>
      <c r="D5988" s="2" t="str">
        <f t="shared" si="92"/>
        <v>Error?</v>
      </c>
    </row>
    <row r="5989" spans="1:4" x14ac:dyDescent="0.2">
      <c r="A5989" s="5">
        <v>5928</v>
      </c>
      <c r="B5989" s="138">
        <f>'Revenues 9-14'!K15</f>
        <v>17</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64</v>
      </c>
      <c r="C5992" s="2" t="s">
        <v>594</v>
      </c>
      <c r="D5992" s="2" t="str">
        <f t="shared" si="92"/>
        <v>Error?</v>
      </c>
    </row>
    <row r="5993" spans="1:4" x14ac:dyDescent="0.2">
      <c r="A5993" s="5">
        <v>5932</v>
      </c>
      <c r="B5993" s="138">
        <f>'Revenues 9-14'!K65</f>
        <v>486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36240</v>
      </c>
      <c r="C6023" s="2" t="s">
        <v>594</v>
      </c>
      <c r="D6023" s="2" t="str">
        <f t="shared" si="93"/>
        <v>Error?</v>
      </c>
    </row>
    <row r="6024" spans="1:5" x14ac:dyDescent="0.2">
      <c r="A6024" s="5">
        <v>5963</v>
      </c>
      <c r="B6024" s="138">
        <f>'Revenues 9-14'!G109</f>
        <v>182182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39333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36240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53475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29722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617.53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62069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62069</v>
      </c>
      <c r="D6215" s="2" t="str">
        <f t="shared" si="96"/>
        <v>Error?</v>
      </c>
      <c r="E6215" s="2" t="s">
        <v>199</v>
      </c>
    </row>
    <row r="6216" spans="1:5" x14ac:dyDescent="0.2">
      <c r="A6216">
        <v>6155</v>
      </c>
      <c r="B6216" s="138">
        <f>'Assets-Liab 5-6'!J41</f>
        <v>62069</v>
      </c>
      <c r="D6216" s="2" t="str">
        <f t="shared" si="96"/>
        <v>Error?</v>
      </c>
      <c r="E6216" s="2" t="s">
        <v>199</v>
      </c>
    </row>
    <row r="6217" spans="1:5" x14ac:dyDescent="0.2">
      <c r="A6217">
        <v>6156</v>
      </c>
      <c r="B6217" s="138">
        <f>'Assets-Liab 5-6'!J4</f>
        <v>62069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360945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360945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360945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314428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314428</v>
      </c>
      <c r="D6229" s="2" t="str">
        <f t="shared" si="96"/>
        <v>Error?</v>
      </c>
      <c r="E6229" s="2" t="s">
        <v>199</v>
      </c>
    </row>
    <row r="6230" spans="1:5" x14ac:dyDescent="0.2">
      <c r="A6230">
        <v>6169</v>
      </c>
      <c r="B6230" s="138">
        <f>'Acct Summary 7-8'!J20</f>
        <v>46517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46517</v>
      </c>
      <c r="D6263" s="2" t="str">
        <f t="shared" si="96"/>
        <v>Error?</v>
      </c>
      <c r="E6263" s="2" t="s">
        <v>199</v>
      </c>
    </row>
    <row r="6264" spans="1:5" x14ac:dyDescent="0.2">
      <c r="A6264">
        <v>6203</v>
      </c>
      <c r="B6264" s="138">
        <f>'Acct Summary 7-8'!J79</f>
        <v>15552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62069</v>
      </c>
      <c r="D6266" s="2" t="str">
        <f t="shared" si="96"/>
        <v>Error?</v>
      </c>
      <c r="E6266" s="2" t="s">
        <v>199</v>
      </c>
    </row>
    <row r="6267" spans="1:5" x14ac:dyDescent="0.2">
      <c r="A6267">
        <v>6206</v>
      </c>
      <c r="B6267" s="138">
        <f>'Acct Summary 7-8'!C82</f>
        <v>300704</v>
      </c>
      <c r="D6267" s="2" t="str">
        <f t="shared" si="96"/>
        <v>Error?</v>
      </c>
      <c r="E6267" s="2" t="s">
        <v>199</v>
      </c>
    </row>
    <row r="6268" spans="1:5" x14ac:dyDescent="0.2">
      <c r="A6268">
        <v>6207</v>
      </c>
      <c r="B6268" s="138">
        <f>'Acct Summary 7-8'!D82</f>
        <v>-127748</v>
      </c>
      <c r="D6268" s="2" t="str">
        <f t="shared" si="96"/>
        <v>Error?</v>
      </c>
      <c r="E6268" s="2" t="s">
        <v>199</v>
      </c>
    </row>
    <row r="6269" spans="1:5" x14ac:dyDescent="0.2">
      <c r="A6269">
        <v>6208</v>
      </c>
      <c r="B6269" s="138">
        <f>'Acct Summary 7-8'!E82</f>
        <v>2481</v>
      </c>
      <c r="D6269" s="2" t="str">
        <f t="shared" si="96"/>
        <v>Error?</v>
      </c>
      <c r="E6269" s="2" t="s">
        <v>199</v>
      </c>
    </row>
    <row r="6270" spans="1:5" x14ac:dyDescent="0.2">
      <c r="A6270">
        <v>6209</v>
      </c>
      <c r="B6270" s="138">
        <f>'Acct Summary 7-8'!F82</f>
        <v>142285</v>
      </c>
      <c r="D6270" s="2" t="str">
        <f t="shared" si="96"/>
        <v>Error?</v>
      </c>
      <c r="E6270" s="2" t="s">
        <v>199</v>
      </c>
    </row>
    <row r="6271" spans="1:5" x14ac:dyDescent="0.2">
      <c r="A6271">
        <v>6210</v>
      </c>
      <c r="B6271" s="138">
        <f>'Acct Summary 7-8'!G82</f>
        <v>-18057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-11282</v>
      </c>
      <c r="D6273" s="2" t="str">
        <f t="shared" si="97"/>
        <v>Error?</v>
      </c>
      <c r="E6273" s="2" t="s">
        <v>199</v>
      </c>
    </row>
    <row r="6274" spans="1:5" x14ac:dyDescent="0.2">
      <c r="A6274">
        <v>6213</v>
      </c>
      <c r="B6274" s="138">
        <f>'Acct Summary 7-8'!J82</f>
        <v>46517</v>
      </c>
      <c r="D6274" s="2" t="str">
        <f t="shared" si="97"/>
        <v>Error?</v>
      </c>
      <c r="E6274" s="2" t="s">
        <v>199</v>
      </c>
    </row>
    <row r="6275" spans="1:5" x14ac:dyDescent="0.2">
      <c r="A6275">
        <v>6214</v>
      </c>
      <c r="B6275" s="138">
        <f>'Acct Summary 7-8'!K82</f>
        <v>-76822</v>
      </c>
      <c r="D6275" s="2" t="str">
        <f t="shared" si="97"/>
        <v>Error?</v>
      </c>
      <c r="E6275" s="2" t="s">
        <v>199</v>
      </c>
    </row>
    <row r="6276" spans="1:5" x14ac:dyDescent="0.2">
      <c r="A6276">
        <v>6215</v>
      </c>
      <c r="B6276" s="138">
        <f>'Acct Summary 7-8'!C83</f>
        <v>0.51260615937458454</v>
      </c>
      <c r="D6276" s="2" t="str">
        <f t="shared" si="97"/>
        <v>Error?</v>
      </c>
      <c r="E6276" s="2" t="s">
        <v>199</v>
      </c>
    </row>
    <row r="6277" spans="1:5" x14ac:dyDescent="0.2">
      <c r="A6277">
        <v>6216</v>
      </c>
      <c r="B6277" s="138">
        <f>'Acct Summary 7-8'!D83</f>
        <v>-1.2744086750930259</v>
      </c>
      <c r="D6277" s="2" t="str">
        <f t="shared" si="97"/>
        <v>Error?</v>
      </c>
      <c r="E6277" s="2" t="s">
        <v>199</v>
      </c>
    </row>
    <row r="6278" spans="1:5" x14ac:dyDescent="0.2">
      <c r="A6278">
        <v>6217</v>
      </c>
      <c r="B6278" s="138">
        <f>'Acct Summary 7-8'!E83</f>
        <v>8.2674095450092303E-3</v>
      </c>
      <c r="D6278" s="2" t="str">
        <f t="shared" si="97"/>
        <v>Error?</v>
      </c>
      <c r="E6278" s="2" t="s">
        <v>199</v>
      </c>
    </row>
    <row r="6279" spans="1:5" x14ac:dyDescent="0.2">
      <c r="A6279">
        <v>6218</v>
      </c>
      <c r="B6279" s="138">
        <f>'Acct Summary 7-8'!F83</f>
        <v>0.4096784131709803</v>
      </c>
      <c r="D6279" s="2" t="str">
        <f t="shared" si="97"/>
        <v>Error?</v>
      </c>
      <c r="E6279" s="2" t="s">
        <v>199</v>
      </c>
    </row>
    <row r="6280" spans="1:5" x14ac:dyDescent="0.2">
      <c r="A6280">
        <v>6219</v>
      </c>
      <c r="B6280" s="138">
        <f>'Acct Summary 7-8'!G83</f>
        <v>-3.5984671092095008E-2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-4.1108568596872223E-2</v>
      </c>
      <c r="D6282" s="2" t="str">
        <f t="shared" si="97"/>
        <v>Error?</v>
      </c>
      <c r="E6282" s="2" t="s">
        <v>199</v>
      </c>
    </row>
    <row r="6283" spans="1:5" x14ac:dyDescent="0.2">
      <c r="A6283">
        <v>6222</v>
      </c>
      <c r="B6283" s="138">
        <f>'Acct Summary 7-8'!J83</f>
        <v>0.74944013919992269</v>
      </c>
      <c r="D6283" s="2" t="str">
        <f t="shared" si="97"/>
        <v>Error?</v>
      </c>
      <c r="E6283" s="2" t="s">
        <v>199</v>
      </c>
    </row>
    <row r="6284" spans="1:5" x14ac:dyDescent="0.2">
      <c r="A6284">
        <v>6223</v>
      </c>
      <c r="B6284" s="138">
        <f>'Acct Summary 7-8'!K83</f>
        <v>-5.5915277676686808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358435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358435</v>
      </c>
      <c r="D6301" s="2" t="str">
        <f t="shared" si="97"/>
        <v>Error?</v>
      </c>
      <c r="E6301" s="2" t="s">
        <v>199</v>
      </c>
    </row>
    <row r="6302" spans="1:5" x14ac:dyDescent="0.2">
      <c r="A6302">
        <v>6241</v>
      </c>
      <c r="B6302" s="138">
        <f>'Revenues 9-14'!J14</f>
        <v>485</v>
      </c>
      <c r="D6302" s="2" t="str">
        <f t="shared" si="97"/>
        <v>Error?</v>
      </c>
      <c r="E6302" s="2" t="s">
        <v>199</v>
      </c>
    </row>
    <row r="6303" spans="1:5" x14ac:dyDescent="0.2">
      <c r="A6303">
        <v>6242</v>
      </c>
      <c r="B6303" s="138">
        <f>'Revenues 9-14'!J15</f>
        <v>166</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651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1403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1403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5703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456</v>
      </c>
      <c r="D6350" s="2" t="str">
        <f t="shared" si="98"/>
        <v>Error?</v>
      </c>
      <c r="E6350" s="2" t="s">
        <v>199</v>
      </c>
    </row>
    <row r="6351" spans="1:5" x14ac:dyDescent="0.2">
      <c r="A6351">
        <v>6290</v>
      </c>
      <c r="B6351" s="138">
        <f>'Revenues 9-14'!J108</f>
        <v>456</v>
      </c>
      <c r="D6351" s="2" t="str">
        <f t="shared" si="98"/>
        <v>Error?</v>
      </c>
      <c r="E6351" s="2" t="s">
        <v>199</v>
      </c>
    </row>
    <row r="6352" spans="1:5" x14ac:dyDescent="0.2">
      <c r="A6352">
        <v>6291</v>
      </c>
      <c r="B6352" s="138">
        <f>'Revenues 9-14'!J109</f>
        <v>360945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4014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49717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27265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379816</v>
      </c>
      <c r="D6983" s="2" t="str">
        <f t="shared" si="108"/>
        <v>Error?</v>
      </c>
    </row>
    <row r="6984" spans="1:4" x14ac:dyDescent="0.2">
      <c r="A6984">
        <v>6923</v>
      </c>
      <c r="B6984" s="138">
        <f>'Expenditures 15-22'!K86</f>
        <v>379816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379816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2714</v>
      </c>
      <c r="D6998" s="2" t="str">
        <f t="shared" si="108"/>
        <v>Error?</v>
      </c>
    </row>
    <row r="6999" spans="1:4" x14ac:dyDescent="0.2">
      <c r="A6999">
        <v>6938</v>
      </c>
      <c r="B6999" s="138">
        <f>'Expenditures 15-22'!K94</f>
        <v>2714</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42863</v>
      </c>
      <c r="D7002" s="2" t="str">
        <f t="shared" si="108"/>
        <v>Error?</v>
      </c>
    </row>
    <row r="7003" spans="1:4" x14ac:dyDescent="0.2">
      <c r="A7003">
        <v>6942</v>
      </c>
      <c r="B7003" s="138">
        <f>'Expenditures 15-22'!K96</f>
        <v>42863</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45577</v>
      </c>
      <c r="D7012" s="2" t="str">
        <f t="shared" si="108"/>
        <v>Error?</v>
      </c>
    </row>
    <row r="7013" spans="1:4" x14ac:dyDescent="0.2">
      <c r="A7013">
        <v>6952</v>
      </c>
      <c r="B7013" s="138">
        <f>'Expenditures 15-22'!K100</f>
        <v>45577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350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314428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360945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1122</v>
      </c>
      <c r="D7075" s="2" t="str">
        <f t="shared" si="109"/>
        <v>Error?</v>
      </c>
    </row>
    <row r="7076" spans="1:4" x14ac:dyDescent="0.2">
      <c r="A7076">
        <v>7015</v>
      </c>
      <c r="B7076" s="138">
        <f>'Expenditures 15-22'!K218</f>
        <v>1122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390</v>
      </c>
      <c r="D7079" s="2" t="str">
        <f t="shared" si="109"/>
        <v>Error?</v>
      </c>
    </row>
    <row r="7080" spans="1:4" x14ac:dyDescent="0.2">
      <c r="A7080">
        <v>7019</v>
      </c>
      <c r="B7080" s="138">
        <f>'Expenditures 15-22'!K226</f>
        <v>390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8645</v>
      </c>
      <c r="D7089" s="2" t="str">
        <f t="shared" si="109"/>
        <v>Error?</v>
      </c>
    </row>
    <row r="7090" spans="1:4" x14ac:dyDescent="0.2">
      <c r="A7090">
        <v>7029</v>
      </c>
      <c r="B7090" s="138">
        <f>'Expenditures 15-22'!K252</f>
        <v>8645</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96204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96204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9706</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9706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64095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64095</v>
      </c>
      <c r="D7153" s="2" t="str">
        <f t="shared" si="110"/>
        <v>Error?</v>
      </c>
    </row>
    <row r="7154" spans="1:4" x14ac:dyDescent="0.2">
      <c r="A7154">
        <v>7093</v>
      </c>
      <c r="B7154" s="138">
        <f>'Expenditures 15-22'!C323</f>
        <v>85960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12726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98686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17444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17444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11343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11343</v>
      </c>
      <c r="D7198" s="2" t="str">
        <f t="shared" si="111"/>
        <v>Error?</v>
      </c>
    </row>
    <row r="7199" spans="1:4" x14ac:dyDescent="0.2">
      <c r="A7199">
        <v>7138</v>
      </c>
      <c r="B7199" s="138">
        <f>'Expenditures 15-22'!C330</f>
        <v>85960</v>
      </c>
      <c r="D7199" s="2" t="str">
        <f t="shared" si="111"/>
        <v>Error?</v>
      </c>
    </row>
    <row r="7200" spans="1:4" x14ac:dyDescent="0.2">
      <c r="A7200">
        <v>7139</v>
      </c>
      <c r="B7200" s="138">
        <f>'Expenditures 15-22'!D330</f>
        <v>9706</v>
      </c>
      <c r="D7200" s="2" t="str">
        <f t="shared" si="111"/>
        <v>Error?</v>
      </c>
    </row>
    <row r="7201" spans="1:4" x14ac:dyDescent="0.2">
      <c r="A7201">
        <v>7140</v>
      </c>
      <c r="B7201" s="138">
        <f>'Expenditures 15-22'!E330</f>
        <v>218762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314428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85960</v>
      </c>
      <c r="D7216" s="2" t="str">
        <f t="shared" si="111"/>
        <v>Error?</v>
      </c>
    </row>
    <row r="7217" spans="1:4" x14ac:dyDescent="0.2">
      <c r="A7217">
        <v>7156</v>
      </c>
      <c r="B7217" s="138">
        <f>'Expenditures 15-22'!D342</f>
        <v>9706</v>
      </c>
      <c r="D7217" s="2" t="str">
        <f t="shared" si="111"/>
        <v>Error?</v>
      </c>
    </row>
    <row r="7218" spans="1:4" x14ac:dyDescent="0.2">
      <c r="A7218">
        <v>7157</v>
      </c>
      <c r="B7218" s="138">
        <f>'Expenditures 15-22'!E342</f>
        <v>218762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314428</v>
      </c>
      <c r="D7224" s="2" t="str">
        <f t="shared" si="111"/>
        <v>Error?</v>
      </c>
    </row>
    <row r="7225" spans="1:4" x14ac:dyDescent="0.2">
      <c r="A7225">
        <v>7164</v>
      </c>
      <c r="B7225" s="138">
        <f>'Expenditures 15-22'!K343</f>
        <v>46517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48881</v>
      </c>
      <c r="D7251" s="2" t="str">
        <f t="shared" si="112"/>
        <v>Error?</v>
      </c>
    </row>
    <row r="7252" spans="1:4" x14ac:dyDescent="0.2">
      <c r="A7252">
        <f t="shared" si="113"/>
        <v>7191</v>
      </c>
      <c r="B7252" s="138">
        <f>'Expenditures 15-22'!D9</f>
        <v>690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146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26870</v>
      </c>
      <c r="D7263" s="2" t="str">
        <f t="shared" si="112"/>
        <v>Error?</v>
      </c>
    </row>
    <row r="7264" spans="1:4" x14ac:dyDescent="0.2">
      <c r="A7264">
        <f t="shared" si="113"/>
        <v>7203</v>
      </c>
      <c r="B7264" s="138">
        <f>'Expenditures 15-22'!D17</f>
        <v>395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557966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16950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16950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-78331</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5703</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13379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19082</v>
      </c>
      <c r="D7719" s="2" t="str">
        <f t="shared" si="126"/>
        <v>Error?</v>
      </c>
      <c r="E7719" s="2" t="s">
        <v>881</v>
      </c>
    </row>
    <row r="7720" spans="1:6" x14ac:dyDescent="0.2">
      <c r="A7720">
        <v>7659</v>
      </c>
      <c r="B7720" s="138">
        <f>'Rest Tax Levies-Tort Im 25'!H14</f>
        <v>28553</v>
      </c>
      <c r="D7720" s="2" t="str">
        <f t="shared" si="126"/>
        <v>Error?</v>
      </c>
      <c r="E7720" s="2" t="s">
        <v>881</v>
      </c>
    </row>
    <row r="7721" spans="1:6" x14ac:dyDescent="0.2">
      <c r="A7721">
        <v>7660</v>
      </c>
      <c r="B7721" s="138">
        <f>'Rest Tax Levies-Tort Im 25'!K14</f>
        <v>26870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-86119</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-86119</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50615</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11366</v>
      </c>
      <c r="D7797" s="2" t="str">
        <f t="shared" si="127"/>
        <v>Error?</v>
      </c>
      <c r="E7797" s="4" t="s">
        <v>2020</v>
      </c>
    </row>
    <row r="7798" spans="1:5" x14ac:dyDescent="0.2">
      <c r="A7798">
        <v>7737</v>
      </c>
      <c r="B7798" s="138">
        <f>'Contracts Paid in CY 29'!F141</f>
        <v>11366</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7" t="s">
        <v>1253</v>
      </c>
      <c r="B2" s="2407"/>
      <c r="C2" s="2407"/>
      <c r="D2" s="2407"/>
      <c r="E2" s="2407"/>
      <c r="F2" s="2407"/>
      <c r="G2" s="2407"/>
      <c r="H2" s="2407"/>
      <c r="I2" s="2407"/>
      <c r="J2" s="2407"/>
      <c r="K2" s="2407"/>
      <c r="L2" s="2407"/>
    </row>
    <row r="3" spans="1:29" ht="13.5" customHeight="1" x14ac:dyDescent="0.2">
      <c r="A3" s="2438" t="s">
        <v>1252</v>
      </c>
      <c r="B3" s="2438"/>
      <c r="C3" s="2438"/>
      <c r="D3" s="2438"/>
      <c r="E3" s="2438"/>
      <c r="F3" s="2438"/>
      <c r="G3" s="2438"/>
      <c r="H3" s="2438"/>
      <c r="I3" s="2438"/>
      <c r="J3" s="2438"/>
      <c r="K3" s="2438"/>
      <c r="L3" s="2438"/>
    </row>
    <row r="4" spans="1:29" ht="13.5" customHeight="1" x14ac:dyDescent="0.2">
      <c r="A4" s="2407" t="s">
        <v>1799</v>
      </c>
      <c r="B4" s="2428"/>
      <c r="C4" s="2428"/>
      <c r="D4" s="2428"/>
      <c r="E4" s="2428"/>
      <c r="F4" s="2428"/>
      <c r="G4" s="2428"/>
      <c r="H4" s="2428"/>
      <c r="I4" s="2428"/>
      <c r="J4" s="2428"/>
      <c r="K4" s="2428"/>
      <c r="L4" s="242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9" t="str">
        <f>COVER!A17</f>
        <v>Altamont CUSD 10</v>
      </c>
      <c r="B7" s="2430"/>
      <c r="C7" s="2430"/>
      <c r="D7" s="2431"/>
      <c r="E7" s="2432">
        <f>COVER!A13</f>
        <v>3025010026</v>
      </c>
      <c r="F7" s="2433"/>
      <c r="G7" s="2439" t="str">
        <f>COVER!T23</f>
        <v>066-004976</v>
      </c>
      <c r="H7" s="2440"/>
      <c r="I7" s="2440"/>
      <c r="J7" s="2440"/>
      <c r="K7" s="2440"/>
      <c r="L7" s="244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2"/>
      <c r="B9" s="2443"/>
      <c r="C9" s="2443"/>
      <c r="D9" s="2443"/>
      <c r="E9" s="2443"/>
      <c r="F9" s="2444"/>
      <c r="G9" s="2413" t="str">
        <f>COVER!T13</f>
        <v>Glass and Shuffett, Ltd.</v>
      </c>
      <c r="H9" s="2445"/>
      <c r="I9" s="2445"/>
      <c r="J9" s="2445"/>
      <c r="K9" s="2445"/>
      <c r="L9" s="2446"/>
    </row>
    <row r="10" spans="1:29" ht="13.5" customHeight="1" x14ac:dyDescent="0.2">
      <c r="A10" s="2419" t="str">
        <f>COVER!A38</f>
        <v>Steve Mayerhofer</v>
      </c>
      <c r="B10" s="2420"/>
      <c r="C10" s="2420"/>
      <c r="D10" s="2420"/>
      <c r="E10" s="2420"/>
      <c r="F10" s="2421"/>
      <c r="G10" s="2413" t="str">
        <f>COVER!T17</f>
        <v>1819 West McCord St., P.O. Box489</v>
      </c>
      <c r="H10" s="2414"/>
      <c r="I10" s="2414"/>
      <c r="J10" s="2414"/>
      <c r="K10" s="2414"/>
      <c r="L10" s="2415"/>
    </row>
    <row r="11" spans="1:29" ht="13.5" customHeight="1" x14ac:dyDescent="0.2">
      <c r="A11" s="1185" t="s">
        <v>1599</v>
      </c>
      <c r="B11" s="1186"/>
      <c r="C11" s="1187"/>
      <c r="D11" s="1192"/>
      <c r="E11" s="1187"/>
      <c r="F11" s="1191"/>
      <c r="G11" s="2413" t="str">
        <f>COVER!T19</f>
        <v>Centralia</v>
      </c>
      <c r="H11" s="2414"/>
      <c r="I11" s="2414"/>
      <c r="J11" s="2414"/>
      <c r="K11" s="2414"/>
      <c r="L11" s="2415"/>
    </row>
    <row r="12" spans="1:29" ht="13.5" customHeight="1" x14ac:dyDescent="0.2">
      <c r="A12" s="2422" t="s">
        <v>1598</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1600</v>
      </c>
      <c r="H13" s="2409"/>
      <c r="I13" s="2425" t="str">
        <f>COVER!T25</f>
        <v>gandscpa@sbcglobal.net</v>
      </c>
      <c r="J13" s="2426"/>
      <c r="K13" s="2426"/>
      <c r="L13" s="2427"/>
    </row>
    <row r="14" spans="1:29" ht="13.5" customHeight="1" x14ac:dyDescent="0.2">
      <c r="A14" s="2413" t="str">
        <f>COVER!A19</f>
        <v>7 South Ewing</v>
      </c>
      <c r="B14" s="2414"/>
      <c r="C14" s="2414"/>
      <c r="D14" s="2414"/>
      <c r="E14" s="2414"/>
      <c r="F14" s="2415"/>
      <c r="G14" s="1196" t="s">
        <v>1247</v>
      </c>
      <c r="H14" s="1194"/>
      <c r="I14" s="1194"/>
      <c r="J14" s="1194"/>
      <c r="K14" s="1194"/>
      <c r="L14" s="1195"/>
    </row>
    <row r="15" spans="1:29" ht="13.5" customHeight="1" x14ac:dyDescent="0.2">
      <c r="A15" s="2413" t="str">
        <f>COVER!A21</f>
        <v>Altamont</v>
      </c>
      <c r="B15" s="2414"/>
      <c r="C15" s="2414"/>
      <c r="D15" s="2414"/>
      <c r="E15" s="2414"/>
      <c r="F15" s="2415"/>
      <c r="G15" s="2410">
        <f>COVER!T15</f>
        <v>0</v>
      </c>
      <c r="H15" s="2411"/>
      <c r="I15" s="2411"/>
      <c r="J15" s="2411"/>
      <c r="K15" s="2411"/>
      <c r="L15" s="2412"/>
    </row>
    <row r="16" spans="1:29" ht="12.2" customHeight="1" x14ac:dyDescent="0.2">
      <c r="A16" s="2435">
        <f>COVER!A25</f>
        <v>62441</v>
      </c>
      <c r="B16" s="2436"/>
      <c r="C16" s="2436"/>
      <c r="D16" s="2436"/>
      <c r="E16" s="2436"/>
      <c r="F16" s="2437"/>
      <c r="G16" s="2447"/>
      <c r="H16" s="2448"/>
      <c r="I16" s="2448"/>
      <c r="J16" s="2448"/>
      <c r="K16" s="2448"/>
      <c r="L16" s="2449"/>
    </row>
    <row r="17" spans="1:13" ht="12.2" customHeight="1" x14ac:dyDescent="0.2">
      <c r="A17" s="2450"/>
      <c r="B17" s="2436"/>
      <c r="C17" s="2436"/>
      <c r="D17" s="2436"/>
      <c r="E17" s="2436"/>
      <c r="F17" s="2437"/>
      <c r="G17" s="1196" t="s">
        <v>1246</v>
      </c>
      <c r="H17" s="1194"/>
      <c r="I17" s="1194"/>
      <c r="J17" s="1194"/>
      <c r="K17" s="1198" t="s">
        <v>1245</v>
      </c>
      <c r="L17" s="1191"/>
      <c r="M17" s="1184"/>
    </row>
    <row r="18" spans="1:13" ht="12.2" customHeight="1" x14ac:dyDescent="0.2">
      <c r="A18" s="2419"/>
      <c r="B18" s="2420"/>
      <c r="C18" s="2420"/>
      <c r="D18" s="2420"/>
      <c r="E18" s="2420"/>
      <c r="F18" s="2421"/>
      <c r="G18" s="2429" t="str">
        <f>COVER!T21</f>
        <v>618-532-5683</v>
      </c>
      <c r="H18" s="2430"/>
      <c r="I18" s="2430"/>
      <c r="J18" s="2430"/>
      <c r="K18" s="2429" t="str">
        <f>COVER!X21</f>
        <v>618532-5684</v>
      </c>
      <c r="L18" s="243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1" t="str">
        <f>'Single Audit Cover'!A7</f>
        <v>Altamont CUSD 10</v>
      </c>
      <c r="B1" s="2428"/>
      <c r="C1" s="2428"/>
      <c r="D1" s="2428"/>
    </row>
    <row r="2" spans="1:11" s="1215" customFormat="1" ht="12.75" x14ac:dyDescent="0.2">
      <c r="A2" s="2452">
        <f>'Single Audit Cover'!E7</f>
        <v>3025010026</v>
      </c>
      <c r="B2" s="2453"/>
      <c r="C2" s="2453"/>
      <c r="D2" s="2453"/>
    </row>
    <row r="3" spans="1:11" s="1215" customFormat="1" ht="12.75" x14ac:dyDescent="0.2">
      <c r="A3" s="2451" t="s">
        <v>1593</v>
      </c>
      <c r="B3" s="2428"/>
      <c r="C3" s="2428"/>
      <c r="D3" s="242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5" t="str">
        <f>'Single Audit Cover'!A7</f>
        <v>Altamont CUSD 10</v>
      </c>
      <c r="B1" s="2455"/>
      <c r="C1" s="2455"/>
      <c r="D1" s="2455"/>
      <c r="E1" s="2455"/>
    </row>
    <row r="2" spans="1:5" x14ac:dyDescent="0.2">
      <c r="A2" s="2456">
        <f>'Single Audit Cover'!E7</f>
        <v>3025010026</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60" t="s">
        <v>1305</v>
      </c>
    </row>
    <row r="10" spans="1:5" x14ac:dyDescent="0.2">
      <c r="A10" s="1261" t="s">
        <v>1304</v>
      </c>
      <c r="B10" s="1262" t="s">
        <v>1303</v>
      </c>
      <c r="C10" s="1262"/>
      <c r="D10" s="1263">
        <f>SUM('Acct Summary 7-8'!C7:K7)</f>
        <v>525638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29722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-35752</v>
      </c>
    </row>
    <row r="19" spans="1:4" ht="13.5" thickBot="1" x14ac:dyDescent="0.25">
      <c r="A19" s="1265" t="s">
        <v>1297</v>
      </c>
      <c r="D19" s="1266">
        <f>SUM(D10:D17)</f>
        <v>519608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7"/>
      <c r="B24" s="2457"/>
      <c r="D24" s="1268"/>
    </row>
    <row r="25" spans="1:4" x14ac:dyDescent="0.2">
      <c r="A25" s="2454"/>
      <c r="B25" s="2454"/>
      <c r="D25" s="1268"/>
    </row>
    <row r="26" spans="1:4" x14ac:dyDescent="0.2">
      <c r="A26" s="2454"/>
      <c r="B26" s="2454"/>
      <c r="D26" s="1268"/>
    </row>
    <row r="27" spans="1:4" x14ac:dyDescent="0.2">
      <c r="A27" s="2454"/>
      <c r="B27" s="2454"/>
      <c r="D27" s="1268"/>
    </row>
    <row r="28" spans="1:4" x14ac:dyDescent="0.2">
      <c r="A28" s="2454"/>
      <c r="B28" s="2454"/>
      <c r="D28" s="1268"/>
    </row>
    <row r="29" spans="1:4" x14ac:dyDescent="0.2">
      <c r="A29" s="2454"/>
      <c r="B29" s="2454"/>
      <c r="D29" s="1268"/>
    </row>
    <row r="30" spans="1:4" x14ac:dyDescent="0.2">
      <c r="A30" s="2454"/>
      <c r="B30" s="2454"/>
      <c r="D30" s="1268"/>
    </row>
    <row r="32" spans="1:4" x14ac:dyDescent="0.2">
      <c r="A32" s="1260" t="s">
        <v>1295</v>
      </c>
      <c r="D32" s="1263">
        <f>SUM(D19:D30)</f>
        <v>519608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4"/>
      <c r="B40" s="2454"/>
      <c r="D40" s="1268"/>
    </row>
    <row r="41" spans="1:4" x14ac:dyDescent="0.2">
      <c r="A41" s="2454"/>
      <c r="B41" s="2454"/>
      <c r="D41" s="1271"/>
    </row>
    <row r="42" spans="1:4" x14ac:dyDescent="0.2">
      <c r="A42" s="2454"/>
      <c r="B42" s="2454"/>
      <c r="D42" s="1271"/>
    </row>
    <row r="43" spans="1:4" x14ac:dyDescent="0.2">
      <c r="A43" s="2454"/>
      <c r="B43" s="2454"/>
      <c r="D43" s="1271"/>
    </row>
    <row r="44" spans="1:4" x14ac:dyDescent="0.2">
      <c r="A44" s="2454"/>
      <c r="B44" s="2454"/>
      <c r="D44" s="1271"/>
    </row>
    <row r="45" spans="1:4" x14ac:dyDescent="0.2">
      <c r="A45" s="2454"/>
      <c r="B45" s="2454"/>
      <c r="D45" s="1271"/>
    </row>
    <row r="47" spans="1:4" x14ac:dyDescent="0.2">
      <c r="B47" s="1272" t="s">
        <v>1289</v>
      </c>
      <c r="C47" s="1272"/>
      <c r="D47" s="1273">
        <f>SUM(D35:D45)</f>
        <v>0</v>
      </c>
    </row>
    <row r="49" spans="2:4" x14ac:dyDescent="0.2">
      <c r="B49" s="1272" t="s">
        <v>1288</v>
      </c>
      <c r="C49" s="1272"/>
      <c r="D49" s="1273">
        <f>D32-D47</f>
        <v>519608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Altamont CUSD 10</v>
      </c>
      <c r="B1" s="2468"/>
      <c r="C1" s="2468"/>
      <c r="D1" s="2468"/>
      <c r="E1" s="2468"/>
      <c r="F1" s="2468"/>
    </row>
    <row r="2" spans="1:7" ht="13.5" customHeight="1" x14ac:dyDescent="0.2">
      <c r="A2" s="2469">
        <f>'Single Audit Cover'!E7</f>
        <v>3025010026</v>
      </c>
      <c r="B2" s="2469"/>
      <c r="C2" s="2469"/>
      <c r="D2" s="2469"/>
      <c r="E2" s="2469"/>
      <c r="F2" s="2469"/>
      <c r="G2" s="1275"/>
    </row>
    <row r="3" spans="1:7" ht="15.75" customHeight="1" x14ac:dyDescent="0.2">
      <c r="A3" s="2470" t="s">
        <v>1333</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7"/>
      <c r="D5" s="317"/>
    </row>
    <row r="6" spans="1:7" ht="13.5" customHeight="1" x14ac:dyDescent="0.2">
      <c r="A6" s="1276" t="s">
        <v>1831</v>
      </c>
      <c r="C6" s="317"/>
      <c r="D6" s="317"/>
    </row>
    <row r="7" spans="1:7" ht="60.95" customHeight="1" x14ac:dyDescent="0.2">
      <c r="A7" s="2467" t="s">
        <v>1832</v>
      </c>
      <c r="B7" s="2467"/>
      <c r="C7" s="2467"/>
      <c r="D7" s="2467"/>
      <c r="E7" s="2467"/>
      <c r="F7" s="246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7" t="s">
        <v>1834</v>
      </c>
      <c r="B13" s="2467"/>
      <c r="C13" s="2467"/>
      <c r="D13" s="2467"/>
      <c r="E13" s="2467"/>
      <c r="F13" s="2467"/>
    </row>
    <row r="14" spans="1:7" ht="9.75" customHeight="1" x14ac:dyDescent="0.2">
      <c r="C14" s="1260"/>
      <c r="D14" s="1260"/>
    </row>
    <row r="15" spans="1:7" ht="13.5" customHeight="1" x14ac:dyDescent="0.2">
      <c r="C15" s="1871" t="s">
        <v>1332</v>
      </c>
      <c r="D15" s="2465" t="s">
        <v>1331</v>
      </c>
      <c r="E15" s="2465"/>
      <c r="F15" s="2465"/>
    </row>
    <row r="16" spans="1:7" ht="13.5" customHeight="1" x14ac:dyDescent="0.2">
      <c r="A16" s="1282"/>
      <c r="B16" s="1276" t="s">
        <v>1330</v>
      </c>
      <c r="C16" s="1871" t="s">
        <v>1329</v>
      </c>
      <c r="D16" s="2466" t="s">
        <v>1670</v>
      </c>
      <c r="E16" s="2466"/>
      <c r="F16" s="2466"/>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8" t="str">
        <f>'Single Audit Cover'!A7</f>
        <v>Altamont CUSD 10</v>
      </c>
      <c r="C1" s="2472"/>
      <c r="D1" s="2472"/>
      <c r="E1" s="2472"/>
      <c r="F1" s="2472"/>
      <c r="G1" s="2472"/>
      <c r="H1" s="2472"/>
      <c r="I1" s="2472"/>
      <c r="J1" s="2472"/>
      <c r="K1" s="2472"/>
      <c r="L1" s="2472"/>
      <c r="M1" s="2472"/>
    </row>
    <row r="2" spans="2:14" ht="15" x14ac:dyDescent="0.2">
      <c r="B2" s="2469">
        <f>'Single Audit Cover'!E7</f>
        <v>3025010026</v>
      </c>
      <c r="C2" s="2469"/>
      <c r="D2" s="2469"/>
      <c r="E2" s="2469"/>
      <c r="F2" s="2469"/>
      <c r="G2" s="2469"/>
      <c r="H2" s="2469"/>
      <c r="I2" s="2469"/>
      <c r="J2" s="2469"/>
      <c r="K2" s="2469"/>
      <c r="L2" s="2469"/>
      <c r="M2" s="2469"/>
      <c r="N2" s="1302"/>
    </row>
    <row r="3" spans="2:14" ht="15" x14ac:dyDescent="0.2">
      <c r="B3" s="2473" t="s">
        <v>1281</v>
      </c>
      <c r="C3" s="2473"/>
      <c r="D3" s="2473"/>
      <c r="E3" s="2473"/>
      <c r="F3" s="2473"/>
      <c r="G3" s="2473"/>
      <c r="H3" s="2473"/>
      <c r="I3" s="2473"/>
      <c r="J3" s="2473"/>
      <c r="K3" s="2473"/>
      <c r="L3" s="2473"/>
      <c r="M3" s="2473"/>
      <c r="N3" s="1302"/>
    </row>
    <row r="4" spans="2:14" ht="15" x14ac:dyDescent="0.2">
      <c r="B4" s="2474" t="str">
        <f>'Single Audit Cover'!A4</f>
        <v>Year Ending June 30, 2018</v>
      </c>
      <c r="C4" s="2474"/>
      <c r="D4" s="2474"/>
      <c r="E4" s="2474"/>
      <c r="F4" s="2474"/>
      <c r="G4" s="2474"/>
      <c r="H4" s="2474"/>
      <c r="I4" s="2474"/>
      <c r="J4" s="2474"/>
      <c r="K4" s="2474"/>
      <c r="L4" s="2474"/>
      <c r="M4" s="247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2078</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Altamont CUSD 10</v>
      </c>
      <c r="C1" s="2487"/>
      <c r="D1" s="2487"/>
      <c r="E1" s="2487"/>
      <c r="F1" s="2487"/>
      <c r="G1" s="2487"/>
      <c r="H1" s="2487"/>
      <c r="I1" s="2487"/>
      <c r="J1" s="1422"/>
    </row>
    <row r="2" spans="2:10" s="317" customFormat="1" ht="12.75" customHeight="1" x14ac:dyDescent="0.2">
      <c r="B2" s="2488">
        <f>'Single Audit Cover'!E7</f>
        <v>3025010026</v>
      </c>
      <c r="C2" s="2489"/>
      <c r="D2" s="2489"/>
      <c r="E2" s="2489"/>
      <c r="F2" s="2489"/>
      <c r="G2" s="2489"/>
      <c r="H2" s="2489"/>
      <c r="I2" s="2489"/>
      <c r="J2" s="1422"/>
    </row>
    <row r="3" spans="2:10" s="317" customFormat="1" ht="12.75" customHeight="1" x14ac:dyDescent="0.2">
      <c r="B3" s="2490" t="s">
        <v>1347</v>
      </c>
      <c r="C3" s="2491"/>
      <c r="D3" s="2491"/>
      <c r="E3" s="2491"/>
      <c r="F3" s="2491"/>
      <c r="G3" s="2491"/>
      <c r="H3" s="2491"/>
      <c r="I3" s="2491"/>
      <c r="J3" s="1423"/>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0" t="s">
        <v>1346</v>
      </c>
      <c r="C7" s="2491"/>
      <c r="D7" s="2491"/>
      <c r="E7" s="2491"/>
      <c r="F7" s="2491"/>
      <c r="G7" s="2491"/>
      <c r="H7" s="2491"/>
      <c r="I7" s="249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2"/>
      <c r="D11" s="249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3"/>
      <c r="E29" s="2493"/>
      <c r="F29" s="2493"/>
      <c r="G29" s="2493"/>
      <c r="H29" s="2493"/>
      <c r="I29" s="249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4" t="s">
        <v>1854</v>
      </c>
      <c r="D37" s="2495"/>
      <c r="E37" s="2495"/>
      <c r="F37" s="2496"/>
      <c r="G37" s="2494" t="s">
        <v>1674</v>
      </c>
      <c r="H37" s="2495"/>
      <c r="I37" s="2496"/>
    </row>
    <row r="38" spans="2:9" ht="16.5" customHeight="1" x14ac:dyDescent="0.2">
      <c r="B38" s="1444"/>
      <c r="C38" s="2482"/>
      <c r="D38" s="2483"/>
      <c r="E38" s="2483"/>
      <c r="F38" s="2484"/>
      <c r="G38" s="2497"/>
      <c r="H38" s="2498"/>
      <c r="I38" s="2499"/>
    </row>
    <row r="39" spans="2:9" ht="16.5" customHeight="1" x14ac:dyDescent="0.2">
      <c r="B39" s="1444"/>
      <c r="C39" s="2482"/>
      <c r="D39" s="2483"/>
      <c r="E39" s="2483"/>
      <c r="F39" s="2484"/>
      <c r="G39" s="2485"/>
      <c r="H39" s="2485"/>
      <c r="I39" s="2485"/>
    </row>
    <row r="40" spans="2:9" ht="16.5" customHeight="1" x14ac:dyDescent="0.2">
      <c r="B40" s="1444"/>
      <c r="C40" s="2482"/>
      <c r="D40" s="2483"/>
      <c r="E40" s="2483"/>
      <c r="F40" s="2484"/>
      <c r="G40" s="2485"/>
      <c r="H40" s="2485"/>
      <c r="I40" s="2485"/>
    </row>
    <row r="41" spans="2:9" ht="16.5" customHeight="1" x14ac:dyDescent="0.2">
      <c r="B41" s="1444"/>
      <c r="C41" s="2482"/>
      <c r="D41" s="2483"/>
      <c r="E41" s="2483"/>
      <c r="F41" s="2484"/>
      <c r="G41" s="2485"/>
      <c r="H41" s="2485"/>
      <c r="I41" s="2485"/>
    </row>
    <row r="42" spans="2:9" ht="16.5" customHeight="1" x14ac:dyDescent="0.2">
      <c r="B42" s="1444"/>
      <c r="C42" s="2482"/>
      <c r="D42" s="2483"/>
      <c r="E42" s="2483"/>
      <c r="F42" s="2484"/>
      <c r="G42" s="2485"/>
      <c r="H42" s="2485"/>
      <c r="I42" s="2485"/>
    </row>
    <row r="43" spans="2:9" ht="16.5" customHeight="1" x14ac:dyDescent="0.2">
      <c r="B43" s="1444"/>
      <c r="C43" s="2475" t="s">
        <v>1675</v>
      </c>
      <c r="D43" s="2476"/>
      <c r="E43" s="2476"/>
      <c r="F43" s="2477"/>
      <c r="G43" s="2478">
        <f>SUM(G38:I42)</f>
        <v>0</v>
      </c>
      <c r="H43" s="2478"/>
      <c r="I43" s="2478"/>
    </row>
    <row r="44" spans="2:9" ht="12.75" customHeight="1" x14ac:dyDescent="0.2"/>
    <row r="45" spans="2:9" ht="12.75" customHeight="1" x14ac:dyDescent="0.2">
      <c r="B45" s="1435" t="s">
        <v>1952</v>
      </c>
      <c r="D45" s="2479">
        <v>0</v>
      </c>
      <c r="E45" s="248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1"/>
      <c r="F49" s="2481"/>
      <c r="G49" s="248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Altamont CUSD 10</v>
      </c>
      <c r="C1" s="2486"/>
      <c r="D1" s="2486"/>
      <c r="E1" s="2486"/>
      <c r="F1" s="2486"/>
      <c r="G1" s="2486"/>
      <c r="H1" s="2486"/>
      <c r="I1" s="2486"/>
      <c r="J1" s="2486"/>
      <c r="K1" s="2486"/>
      <c r="L1" s="1374"/>
      <c r="M1" s="1374"/>
    </row>
    <row r="2" spans="1:13" ht="12" customHeight="1" x14ac:dyDescent="0.2">
      <c r="B2" s="2488">
        <f>'Single Audit Cover'!E7</f>
        <v>3025010026</v>
      </c>
      <c r="C2" s="2488"/>
      <c r="D2" s="2488"/>
      <c r="E2" s="2488"/>
      <c r="F2" s="2488"/>
      <c r="G2" s="2488"/>
      <c r="H2" s="2488"/>
      <c r="I2" s="2488"/>
      <c r="J2" s="2488"/>
      <c r="K2" s="2488"/>
      <c r="L2" s="1375"/>
      <c r="M2" s="1376"/>
    </row>
    <row r="3" spans="1:13" ht="10.35" customHeight="1" x14ac:dyDescent="0.2">
      <c r="B3" s="2502" t="s">
        <v>1347</v>
      </c>
      <c r="C3" s="2502"/>
      <c r="D3" s="2502"/>
      <c r="E3" s="2502"/>
      <c r="F3" s="2502"/>
      <c r="G3" s="2502"/>
      <c r="H3" s="2502"/>
      <c r="I3" s="2502"/>
      <c r="J3" s="2502"/>
      <c r="K3" s="2502"/>
      <c r="L3" s="1377"/>
      <c r="M3" s="1377"/>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1"/>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5"/>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0"/>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Altamont CUSD 10</v>
      </c>
      <c r="C1" s="2509"/>
      <c r="D1" s="2509"/>
      <c r="E1" s="2509"/>
      <c r="F1" s="2509"/>
      <c r="G1" s="2509"/>
      <c r="H1" s="2509"/>
      <c r="I1" s="2509"/>
      <c r="J1" s="2509"/>
      <c r="K1" s="2509"/>
      <c r="L1" s="1465"/>
    </row>
    <row r="2" spans="1:12" ht="12.75" customHeight="1" x14ac:dyDescent="0.2">
      <c r="B2" s="2510">
        <f>'Single Audit Cover'!E7</f>
        <v>3025010026</v>
      </c>
      <c r="C2" s="2510"/>
      <c r="D2" s="2510"/>
      <c r="E2" s="2510"/>
      <c r="F2" s="2510"/>
      <c r="G2" s="2510"/>
      <c r="H2" s="2510"/>
      <c r="I2" s="2510"/>
      <c r="J2" s="2510"/>
      <c r="K2" s="2510"/>
      <c r="L2" s="1466"/>
    </row>
    <row r="3" spans="1:12" ht="12.75" customHeight="1" x14ac:dyDescent="0.2">
      <c r="B3" s="2502" t="s">
        <v>1347</v>
      </c>
      <c r="C3" s="2502"/>
      <c r="D3" s="2502"/>
      <c r="E3" s="2502"/>
      <c r="F3" s="2502"/>
      <c r="G3" s="2502"/>
      <c r="H3" s="2502"/>
      <c r="I3" s="2502"/>
      <c r="J3" s="2502"/>
      <c r="K3" s="2502"/>
      <c r="L3" s="1377"/>
    </row>
    <row r="4" spans="1:12" ht="12.75" customHeight="1" x14ac:dyDescent="0.2">
      <c r="B4" s="2502" t="str">
        <f>'Single Audit Cover'!A4</f>
        <v>Year Ending June 30, 2018</v>
      </c>
      <c r="C4" s="2502"/>
      <c r="D4" s="2502"/>
      <c r="E4" s="2502"/>
      <c r="F4" s="2502"/>
      <c r="G4" s="2502"/>
      <c r="H4" s="2502"/>
      <c r="I4" s="2502"/>
      <c r="J4" s="2502"/>
      <c r="K4" s="2502"/>
      <c r="L4" s="1377"/>
    </row>
    <row r="5" spans="1:12" ht="5.25" customHeight="1" x14ac:dyDescent="0.2">
      <c r="B5" s="1260" t="s">
        <v>1231</v>
      </c>
      <c r="C5" s="1260"/>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3"/>
      <c r="G12" s="2493"/>
      <c r="H12" s="2493"/>
      <c r="I12" s="2493"/>
      <c r="J12" s="2493"/>
      <c r="K12" s="249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6"/>
      <c r="E14" s="2506"/>
      <c r="F14" s="2506"/>
      <c r="H14" s="1475" t="s">
        <v>1370</v>
      </c>
      <c r="I14" s="2507"/>
      <c r="J14" s="2507"/>
      <c r="K14" s="250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7"/>
      <c r="E16" s="2507"/>
      <c r="F16" s="2507"/>
      <c r="G16" s="2507"/>
      <c r="H16" s="2507"/>
      <c r="I16" s="2507"/>
      <c r="J16" s="2507"/>
      <c r="K16" s="2507"/>
      <c r="L16" s="322"/>
    </row>
    <row r="17" spans="2:12" ht="13.5" customHeight="1" x14ac:dyDescent="0.2">
      <c r="B17" s="1387" t="s">
        <v>1368</v>
      </c>
      <c r="C17" s="1387"/>
      <c r="D17" s="2508"/>
      <c r="E17" s="2508"/>
      <c r="F17" s="2508"/>
      <c r="G17" s="2508"/>
      <c r="H17" s="2508"/>
      <c r="I17" s="2508"/>
      <c r="J17" s="2508"/>
      <c r="K17" s="250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1"/>
      <c r="C20" s="2501"/>
      <c r="D20" s="2501"/>
      <c r="E20" s="2501"/>
      <c r="F20" s="2501"/>
      <c r="G20" s="2501"/>
      <c r="H20" s="2501"/>
      <c r="I20" s="2501"/>
      <c r="J20" s="2501"/>
      <c r="K20" s="250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Altamont CUSD 10</v>
      </c>
      <c r="C1" s="2486"/>
      <c r="D1" s="2486"/>
      <c r="E1" s="1491"/>
    </row>
    <row r="2" spans="2:5" s="1282" customFormat="1" ht="12.75" customHeight="1" x14ac:dyDescent="0.2">
      <c r="B2" s="2488">
        <f>'Single Audit Cover'!E7</f>
        <v>3025010026</v>
      </c>
      <c r="C2" s="2488"/>
      <c r="D2" s="2488"/>
      <c r="E2" s="1492"/>
    </row>
    <row r="3" spans="2:5" ht="12.75" customHeight="1" x14ac:dyDescent="0.2">
      <c r="B3" s="2502" t="s">
        <v>1869</v>
      </c>
      <c r="C3" s="2502"/>
      <c r="D3" s="2502"/>
      <c r="E3" s="1274"/>
    </row>
    <row r="4" spans="2:5" s="1282" customFormat="1" ht="12.75" customHeight="1" x14ac:dyDescent="0.2">
      <c r="B4" s="2512" t="str">
        <f>'Single Audit Cover'!A4</f>
        <v>Year Ending June 30, 2018</v>
      </c>
      <c r="C4" s="2512"/>
      <c r="D4" s="251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75500712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4">
        <f>ROUND(D10+F10+H10,5)</f>
        <v>2.5399999999999999E-2</v>
      </c>
      <c r="K10" s="222"/>
      <c r="L10" s="355">
        <v>5.0000000000000001E-4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6539205</v>
      </c>
      <c r="E16" s="356"/>
      <c r="F16" s="1755">
        <f>SUM('Acct Summary 7-8'!C17,'Acct Summary 7-8'!D17,'Acct Summary 7-8'!F17)</f>
        <v>6345179</v>
      </c>
      <c r="G16" s="356"/>
      <c r="H16" s="1755">
        <f>SUM(D16-F16)</f>
        <v>194026</v>
      </c>
      <c r="I16" s="222"/>
      <c r="J16" s="1755">
        <f>SUM('Acct Summary 7-8'!C81,'Acct Summary 7-8'!D81,'Acct Summary 7-8'!F81,'Acct Summary 7-8'!I81)</f>
        <v>1308612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10419098.256000001</v>
      </c>
      <c r="I31" s="368"/>
      <c r="J31" s="222"/>
      <c r="K31" s="222"/>
      <c r="L31" s="222"/>
      <c r="M31" s="222"/>
    </row>
    <row r="32" spans="1:13" ht="13.35" customHeight="1" x14ac:dyDescent="0.2">
      <c r="B32" s="369" t="s">
        <v>2085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7894933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8" zoomScale="110" zoomScaleNormal="110" workbookViewId="0">
      <selection activeCell="F37" sqref="F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Altamont CUSD 10</v>
      </c>
      <c r="E7" s="391"/>
      <c r="G7" s="252"/>
      <c r="H7" s="387"/>
      <c r="I7" s="387"/>
      <c r="J7" s="387"/>
      <c r="K7" s="387"/>
      <c r="L7" s="329"/>
      <c r="M7" s="329"/>
      <c r="N7" s="329"/>
      <c r="O7" s="329"/>
      <c r="P7" s="329"/>
    </row>
    <row r="8" spans="1:18" ht="12.75" x14ac:dyDescent="0.2">
      <c r="A8" s="329"/>
      <c r="B8" s="329"/>
      <c r="C8" s="389" t="s">
        <v>1187</v>
      </c>
      <c r="D8" s="392">
        <f>COVER!A13</f>
        <v>3025010026</v>
      </c>
      <c r="E8" s="393"/>
      <c r="G8" s="329"/>
      <c r="H8" s="329"/>
      <c r="I8" s="329"/>
      <c r="J8" s="329"/>
      <c r="K8" s="329"/>
      <c r="L8" s="329"/>
      <c r="M8" s="329"/>
      <c r="N8" s="329"/>
      <c r="O8" s="329"/>
      <c r="P8" s="329"/>
    </row>
    <row r="9" spans="1:18" ht="12.75" x14ac:dyDescent="0.2">
      <c r="A9" s="329"/>
      <c r="B9" s="329"/>
      <c r="C9" s="389" t="s">
        <v>737</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1308612</v>
      </c>
      <c r="I12" s="404"/>
      <c r="J12" s="404"/>
      <c r="K12" s="405">
        <f>TRUNC((H12/H13*100000),5)/100000</f>
        <v>0.2001179042</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6539205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6345179</v>
      </c>
      <c r="I17" s="404"/>
      <c r="J17" s="416"/>
      <c r="K17" s="405">
        <f>TRUNC((H17/H18*100000),5)/100000</f>
        <v>0.97032880900000007</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6539205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1315313</v>
      </c>
      <c r="I24" s="422"/>
      <c r="J24" s="422"/>
      <c r="K24" s="423">
        <f>TRUNC(((H24/H25*100000)/100000),2)</f>
        <v>74.62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17625.497220000001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1630060.3720799999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7894933</v>
      </c>
      <c r="I32" s="420"/>
      <c r="J32" s="420"/>
      <c r="K32" s="423">
        <f>TRUNC(100-((((H32/H33*100))*100)/100),2)</f>
        <v>24.22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10419098.256000001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3" colorId="8" zoomScale="110" zoomScaleNormal="110" workbookViewId="0">
      <selection activeCell="L38" sqref="L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1"/>
      <c r="D3" s="1582"/>
      <c r="E3" s="1582"/>
      <c r="F3" s="1582"/>
      <c r="G3" s="1582"/>
      <c r="H3" s="1582"/>
      <c r="I3" s="1582"/>
      <c r="J3" s="1582"/>
      <c r="K3" s="1582"/>
      <c r="L3" s="1582"/>
      <c r="M3" s="1583"/>
      <c r="N3" s="1584"/>
    </row>
    <row r="4" spans="1:14" ht="13.5" customHeight="1" x14ac:dyDescent="0.2">
      <c r="A4" s="463" t="s">
        <v>1750</v>
      </c>
      <c r="B4" s="464"/>
      <c r="C4" s="465">
        <v>586618</v>
      </c>
      <c r="D4" s="466">
        <v>100241</v>
      </c>
      <c r="E4" s="466">
        <v>300094</v>
      </c>
      <c r="F4" s="466">
        <v>354010</v>
      </c>
      <c r="G4" s="466">
        <v>501797</v>
      </c>
      <c r="H4" s="466">
        <v>0</v>
      </c>
      <c r="I4" s="466">
        <v>274444</v>
      </c>
      <c r="J4" s="467">
        <v>62069</v>
      </c>
      <c r="K4" s="466">
        <v>13739</v>
      </c>
      <c r="L4" s="466">
        <v>140287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586618</v>
      </c>
      <c r="D13" s="1759">
        <f t="shared" ref="D13:L13" si="0">SUM(D4:D12)</f>
        <v>100241</v>
      </c>
      <c r="E13" s="1759">
        <f t="shared" si="0"/>
        <v>300094</v>
      </c>
      <c r="F13" s="1759">
        <f t="shared" si="0"/>
        <v>354010</v>
      </c>
      <c r="G13" s="1759">
        <f t="shared" si="0"/>
        <v>501797</v>
      </c>
      <c r="H13" s="1759">
        <f t="shared" si="0"/>
        <v>0</v>
      </c>
      <c r="I13" s="1759">
        <f t="shared" si="0"/>
        <v>274444</v>
      </c>
      <c r="J13" s="1759">
        <f t="shared" si="0"/>
        <v>62069</v>
      </c>
      <c r="K13" s="1759">
        <f t="shared" si="0"/>
        <v>13739</v>
      </c>
      <c r="L13" s="1759">
        <f t="shared" si="0"/>
        <v>140287</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103054</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14542425</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1321001</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5455166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+E4</f>
        <v>300094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7594839</v>
      </c>
    </row>
    <row r="23" spans="1:14" ht="13.5" customHeight="1" thickBot="1" x14ac:dyDescent="0.25">
      <c r="A23" s="1758" t="s">
        <v>664</v>
      </c>
      <c r="B23" s="1763"/>
      <c r="C23" s="468"/>
      <c r="D23" s="468"/>
      <c r="E23" s="468"/>
      <c r="F23" s="468"/>
      <c r="G23" s="468"/>
      <c r="H23" s="468"/>
      <c r="I23" s="468"/>
      <c r="J23" s="468"/>
      <c r="K23" s="468"/>
      <c r="L23" s="468"/>
      <c r="M23" s="1710">
        <f>SUM(M15:M22)</f>
        <v>21421646</v>
      </c>
      <c r="N23" s="1710">
        <f>SUM(N21:N22)</f>
        <v>7894933</v>
      </c>
    </row>
    <row r="24" spans="1:14" ht="18" customHeight="1" thickTop="1" x14ac:dyDescent="0.2">
      <c r="A24" s="2138" t="s">
        <v>619</v>
      </c>
      <c r="B24" s="213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v>6701</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140287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6701</v>
      </c>
      <c r="G34" s="1762">
        <f t="shared" si="1"/>
        <v>0</v>
      </c>
      <c r="H34" s="1762">
        <f t="shared" si="1"/>
        <v>0</v>
      </c>
      <c r="I34" s="1762">
        <f t="shared" si="1"/>
        <v>0</v>
      </c>
      <c r="J34" s="1762">
        <f t="shared" si="1"/>
        <v>0</v>
      </c>
      <c r="K34" s="1762">
        <f t="shared" si="1"/>
        <v>0</v>
      </c>
      <c r="L34" s="1743">
        <f>SUM(L33)</f>
        <v>140287</v>
      </c>
      <c r="M34" s="468"/>
      <c r="N34" s="480"/>
    </row>
    <row r="35" spans="1:14" ht="18" customHeight="1" thickTop="1" x14ac:dyDescent="0.2">
      <c r="A35" s="2140" t="s">
        <v>550</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7894933</v>
      </c>
    </row>
    <row r="37" spans="1:14" ht="13.5" thickBot="1" x14ac:dyDescent="0.25">
      <c r="A37" s="1758" t="s">
        <v>674</v>
      </c>
      <c r="B37" s="1763"/>
      <c r="C37" s="477"/>
      <c r="D37" s="477"/>
      <c r="E37" s="477"/>
      <c r="F37" s="477"/>
      <c r="G37" s="477"/>
      <c r="H37" s="477"/>
      <c r="I37" s="477"/>
      <c r="J37" s="477"/>
      <c r="K37" s="477"/>
      <c r="L37" s="480"/>
      <c r="M37" s="468"/>
      <c r="N37" s="1710">
        <f>SUM(N36:N36)</f>
        <v>7894933</v>
      </c>
    </row>
    <row r="38" spans="1:14" s="329" customFormat="1" ht="13.5" customHeight="1" thickTop="1" x14ac:dyDescent="0.2">
      <c r="A38" s="496" t="s">
        <v>440</v>
      </c>
      <c r="B38" s="483">
        <v>714</v>
      </c>
      <c r="C38" s="466"/>
      <c r="D38" s="466"/>
      <c r="E38" s="466"/>
      <c r="F38" s="466"/>
      <c r="G38" s="466">
        <v>144082</v>
      </c>
      <c r="H38" s="466"/>
      <c r="I38" s="466"/>
      <c r="J38" s="466"/>
      <c r="K38" s="466"/>
      <c r="L38" s="481"/>
      <c r="M38" s="497"/>
      <c r="N38" s="497"/>
    </row>
    <row r="39" spans="1:14" s="329" customFormat="1" ht="13.5" customHeight="1" x14ac:dyDescent="0.2">
      <c r="A39" s="496" t="s">
        <v>360</v>
      </c>
      <c r="B39" s="483">
        <v>730</v>
      </c>
      <c r="C39" s="466">
        <f>'Acct Summary 7-8'!C81</f>
        <v>586618</v>
      </c>
      <c r="D39" s="466">
        <f>'Acct Summary 7-8'!D81</f>
        <v>100241</v>
      </c>
      <c r="E39" s="466">
        <f>'Acct Summary 7-8'!E81</f>
        <v>300094</v>
      </c>
      <c r="F39" s="466">
        <f>'Acct Summary 7-8'!F81</f>
        <v>347309</v>
      </c>
      <c r="G39" s="466">
        <f>'Acct Summary 7-8'!G81-G38</f>
        <v>357715</v>
      </c>
      <c r="H39" s="466">
        <f>'Acct Summary 7-8'!H81</f>
        <v>0</v>
      </c>
      <c r="I39" s="466">
        <f>'Acct Summary 7-8'!I81</f>
        <v>274444</v>
      </c>
      <c r="J39" s="467">
        <f>'Acct Summary 7-8'!J81</f>
        <v>62069</v>
      </c>
      <c r="K39" s="466">
        <f>'Acct Summary 7-8'!K81</f>
        <v>13739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21421646</v>
      </c>
      <c r="N40" s="497"/>
    </row>
    <row r="41" spans="1:14" ht="13.5" customHeight="1" thickBot="1" x14ac:dyDescent="0.25">
      <c r="A41" s="1758" t="s">
        <v>676</v>
      </c>
      <c r="B41" s="1728"/>
      <c r="C41" s="1710">
        <f>(SUM(C34,C37,C38,C39))</f>
        <v>586618</v>
      </c>
      <c r="D41" s="1710">
        <f t="shared" ref="D41:L41" si="2">SUM(D34,D37,D38:D39)</f>
        <v>100241</v>
      </c>
      <c r="E41" s="1710">
        <f t="shared" si="2"/>
        <v>300094</v>
      </c>
      <c r="F41" s="1710">
        <f t="shared" si="2"/>
        <v>354010</v>
      </c>
      <c r="G41" s="1710">
        <f t="shared" si="2"/>
        <v>501797</v>
      </c>
      <c r="H41" s="1710">
        <f t="shared" si="2"/>
        <v>0</v>
      </c>
      <c r="I41" s="1710">
        <f t="shared" si="2"/>
        <v>274444</v>
      </c>
      <c r="J41" s="1710">
        <f t="shared" si="2"/>
        <v>62069</v>
      </c>
      <c r="K41" s="1710">
        <f t="shared" si="2"/>
        <v>13739</v>
      </c>
      <c r="L41" s="1710">
        <f t="shared" si="2"/>
        <v>140287</v>
      </c>
      <c r="M41" s="1710">
        <f>SUM(M40)</f>
        <v>21421646</v>
      </c>
      <c r="N41" s="1710">
        <f>SUM(N37)</f>
        <v>7894933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colorId="8" zoomScaleNormal="110" zoomScaleSheetLayoutView="100" workbookViewId="0">
      <selection activeCell="A17" sqref="A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2" t="s">
        <v>1237</v>
      </c>
      <c r="B3" s="2163"/>
      <c r="C3" s="1595"/>
      <c r="D3" s="1596"/>
      <c r="E3" s="1596"/>
      <c r="F3" s="1596"/>
      <c r="G3" s="1596"/>
      <c r="H3" s="1596"/>
      <c r="I3" s="1596"/>
      <c r="J3" s="1596"/>
      <c r="K3" s="1597"/>
      <c r="L3" s="506"/>
    </row>
    <row r="4" spans="1:13" ht="15.75" customHeight="1" x14ac:dyDescent="0.2">
      <c r="A4" s="1954" t="s">
        <v>1579</v>
      </c>
      <c r="B4" s="1955">
        <v>1000</v>
      </c>
      <c r="C4" s="1764">
        <f>'Revenues 9-14'!C109</f>
        <v>1750641</v>
      </c>
      <c r="D4" s="1764">
        <f>'Revenues 9-14'!D109</f>
        <v>362151</v>
      </c>
      <c r="E4" s="1764">
        <f>'Revenues 9-14'!E109</f>
        <v>530420</v>
      </c>
      <c r="F4" s="1764">
        <f>'Revenues 9-14'!F109</f>
        <v>172156</v>
      </c>
      <c r="G4" s="1764">
        <f>'Revenues 9-14'!G109</f>
        <v>182182</v>
      </c>
      <c r="H4" s="1764">
        <f>'Revenues 9-14'!H109</f>
        <v>0</v>
      </c>
      <c r="I4" s="1764">
        <f>'Revenues 9-14'!I109</f>
        <v>39333</v>
      </c>
      <c r="J4" s="1764">
        <f>'Revenues 9-14'!J109</f>
        <v>360945</v>
      </c>
      <c r="K4" s="1764">
        <f>'Revenues 9-14'!K109</f>
        <v>36240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3315195</v>
      </c>
      <c r="D6" s="1765">
        <f>'Revenues 9-14'!D173</f>
        <v>45000</v>
      </c>
      <c r="E6" s="1765">
        <f>'Revenues 9-14'!E173</f>
        <v>0</v>
      </c>
      <c r="F6" s="1765">
        <f>'Revenues 9-14'!F173</f>
        <v>329091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525638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5591474</v>
      </c>
      <c r="D8" s="1710">
        <f t="shared" ref="D8:K8" si="0">SUM(D4:D7)</f>
        <v>407151</v>
      </c>
      <c r="E8" s="1710">
        <f t="shared" si="0"/>
        <v>530420</v>
      </c>
      <c r="F8" s="1710">
        <f t="shared" si="0"/>
        <v>501247</v>
      </c>
      <c r="G8" s="1710">
        <f t="shared" si="0"/>
        <v>182182</v>
      </c>
      <c r="H8" s="1710">
        <f t="shared" si="0"/>
        <v>0</v>
      </c>
      <c r="I8" s="1710">
        <f t="shared" si="0"/>
        <v>39333</v>
      </c>
      <c r="J8" s="1710">
        <f t="shared" si="0"/>
        <v>360945</v>
      </c>
      <c r="K8" s="1710">
        <f t="shared" si="0"/>
        <v>36240</v>
      </c>
      <c r="L8" s="347"/>
    </row>
    <row r="9" spans="1:13" ht="15.75" thickTop="1" x14ac:dyDescent="0.2">
      <c r="A9" s="514" t="s">
        <v>1752</v>
      </c>
      <c r="B9" s="515">
        <v>3998</v>
      </c>
      <c r="C9" s="481">
        <v>1336719</v>
      </c>
      <c r="D9" s="516"/>
      <c r="E9" s="481"/>
      <c r="F9" s="481"/>
      <c r="G9" s="517"/>
      <c r="H9" s="481"/>
      <c r="I9" s="509" t="s">
        <v>1231</v>
      </c>
      <c r="J9" s="478"/>
      <c r="K9" s="481"/>
      <c r="L9" s="347"/>
    </row>
    <row r="10" spans="1:13" s="519" customFormat="1" ht="13.5" thickBot="1" x14ac:dyDescent="0.25">
      <c r="A10" s="1758" t="s">
        <v>1235</v>
      </c>
      <c r="B10" s="1731"/>
      <c r="C10" s="1710">
        <f>SUM(C8:C9)</f>
        <v>6928193</v>
      </c>
      <c r="D10" s="1710">
        <f t="shared" ref="D10:K10" si="1">SUM(D8:D9)</f>
        <v>407151</v>
      </c>
      <c r="E10" s="1710">
        <f t="shared" si="1"/>
        <v>530420</v>
      </c>
      <c r="F10" s="1710">
        <f t="shared" si="1"/>
        <v>501247</v>
      </c>
      <c r="G10" s="1710">
        <f t="shared" si="1"/>
        <v>182182</v>
      </c>
      <c r="H10" s="1710">
        <f t="shared" si="1"/>
        <v>0</v>
      </c>
      <c r="I10" s="1710">
        <f t="shared" si="1"/>
        <v>39333</v>
      </c>
      <c r="J10" s="1710">
        <f t="shared" si="1"/>
        <v>360945</v>
      </c>
      <c r="K10" s="1710">
        <f t="shared" si="1"/>
        <v>36240</v>
      </c>
      <c r="L10" s="518"/>
    </row>
    <row r="11" spans="1:13" s="519" customFormat="1" ht="16.7" customHeight="1" thickTop="1" x14ac:dyDescent="0.2">
      <c r="A11" s="2136" t="s">
        <v>1238</v>
      </c>
      <c r="B11" s="2137"/>
      <c r="C11" s="1592"/>
      <c r="D11" s="1593"/>
      <c r="E11" s="1593"/>
      <c r="F11" s="1593"/>
      <c r="G11" s="1593"/>
      <c r="H11" s="1593"/>
      <c r="I11" s="1593"/>
      <c r="J11" s="1593"/>
      <c r="K11" s="1594"/>
      <c r="L11" s="518"/>
    </row>
    <row r="12" spans="1:13" ht="15.75" customHeight="1" x14ac:dyDescent="0.2">
      <c r="A12" s="1598" t="s">
        <v>476</v>
      </c>
      <c r="B12" s="1600">
        <v>1000</v>
      </c>
      <c r="C12" s="1764">
        <f>'Expenditures 15-22'!K33</f>
        <v>3589055</v>
      </c>
      <c r="D12" s="520" t="s">
        <v>1231</v>
      </c>
      <c r="E12" s="468" t="s">
        <v>1231</v>
      </c>
      <c r="F12" s="468" t="s">
        <v>1231</v>
      </c>
      <c r="G12" s="1764">
        <f>'Expenditures 15-22'!K229</f>
        <v>59564</v>
      </c>
      <c r="H12" s="521"/>
      <c r="I12" s="468" t="s">
        <v>1231</v>
      </c>
      <c r="J12" s="468" t="s">
        <v>1231</v>
      </c>
      <c r="K12" s="521" t="s">
        <v>1231</v>
      </c>
      <c r="L12" s="347"/>
    </row>
    <row r="13" spans="1:13" ht="15.75" customHeight="1" x14ac:dyDescent="0.2">
      <c r="A13" s="1598" t="s">
        <v>477</v>
      </c>
      <c r="B13" s="1600">
        <v>2000</v>
      </c>
      <c r="C13" s="1765">
        <f>'Expenditures 15-22'!K74</f>
        <v>1436520</v>
      </c>
      <c r="D13" s="1765">
        <f>'Expenditures 15-22'!K129</f>
        <v>534899</v>
      </c>
      <c r="E13" s="469" t="s">
        <v>1231</v>
      </c>
      <c r="F13" s="1765">
        <f>'Expenditures 15-22'!K184</f>
        <v>358962</v>
      </c>
      <c r="G13" s="1765">
        <f>'Expenditures 15-22'!K279</f>
        <v>140675</v>
      </c>
      <c r="H13" s="1765">
        <f>'Expenditures 15-22'!K303</f>
        <v>0</v>
      </c>
      <c r="I13" s="468" t="s">
        <v>1231</v>
      </c>
      <c r="J13" s="1765">
        <f>'Expenditures 15-22'!K330</f>
        <v>314428</v>
      </c>
      <c r="K13" s="1769">
        <f>'Expenditures 15-22'!K352</f>
        <v>113062</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425743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527939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5451318</v>
      </c>
      <c r="D17" s="1710">
        <f t="shared" si="2"/>
        <v>534899</v>
      </c>
      <c r="E17" s="1710">
        <f t="shared" si="2"/>
        <v>527939</v>
      </c>
      <c r="F17" s="1710">
        <f t="shared" si="2"/>
        <v>358962</v>
      </c>
      <c r="G17" s="1710">
        <f t="shared" si="2"/>
        <v>200239</v>
      </c>
      <c r="H17" s="1710">
        <f t="shared" si="2"/>
        <v>0</v>
      </c>
      <c r="I17" s="468"/>
      <c r="J17" s="1710">
        <f>SUM(J12:J16)</f>
        <v>314428</v>
      </c>
      <c r="K17" s="1710">
        <f>SUM(K12:K16)</f>
        <v>113062</v>
      </c>
      <c r="L17" s="347"/>
    </row>
    <row r="18" spans="1:12" ht="15" customHeight="1" thickTop="1" x14ac:dyDescent="0.2">
      <c r="A18" s="1766" t="s">
        <v>1753</v>
      </c>
      <c r="B18" s="1767">
        <v>4180</v>
      </c>
      <c r="C18" s="1764">
        <f t="shared" ref="C18:H18" si="3">C9</f>
        <v>1336719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6788037</v>
      </c>
      <c r="D19" s="1710">
        <f t="shared" si="4"/>
        <v>534899</v>
      </c>
      <c r="E19" s="1710">
        <f t="shared" si="4"/>
        <v>527939</v>
      </c>
      <c r="F19" s="1710">
        <f t="shared" si="4"/>
        <v>358962</v>
      </c>
      <c r="G19" s="1710">
        <f t="shared" si="4"/>
        <v>200239</v>
      </c>
      <c r="H19" s="1710">
        <f t="shared" si="4"/>
        <v>0</v>
      </c>
      <c r="I19" s="468"/>
      <c r="J19" s="1710">
        <f>SUM(J17:J18)</f>
        <v>314428</v>
      </c>
      <c r="K19" s="1710">
        <f>SUM(K17:K18)</f>
        <v>113062</v>
      </c>
      <c r="L19" s="347"/>
    </row>
    <row r="20" spans="1:12" ht="16.5" thickTop="1" thickBot="1" x14ac:dyDescent="0.25">
      <c r="A20" s="2152" t="s">
        <v>1754</v>
      </c>
      <c r="B20" s="2153"/>
      <c r="C20" s="1768">
        <f>C8-C17</f>
        <v>140156</v>
      </c>
      <c r="D20" s="1768">
        <f t="shared" ref="D20:K20" si="5">D8-D17</f>
        <v>-127748</v>
      </c>
      <c r="E20" s="1768">
        <f t="shared" si="5"/>
        <v>2481</v>
      </c>
      <c r="F20" s="1768">
        <f t="shared" si="5"/>
        <v>142285</v>
      </c>
      <c r="G20" s="1768">
        <f t="shared" si="5"/>
        <v>-18057</v>
      </c>
      <c r="H20" s="1768">
        <f t="shared" si="5"/>
        <v>0</v>
      </c>
      <c r="I20" s="1768">
        <f t="shared" si="5"/>
        <v>39333</v>
      </c>
      <c r="J20" s="1768">
        <f t="shared" si="5"/>
        <v>46517</v>
      </c>
      <c r="K20" s="1768">
        <f t="shared" si="5"/>
        <v>-76822</v>
      </c>
      <c r="L20" s="347"/>
    </row>
    <row r="21" spans="1:12" ht="16.7" customHeight="1" thickTop="1" x14ac:dyDescent="0.2">
      <c r="A21" s="2164" t="s">
        <v>616</v>
      </c>
      <c r="B21" s="2165"/>
      <c r="C21" s="1592"/>
      <c r="D21" s="1593"/>
      <c r="E21" s="1593"/>
      <c r="F21" s="1593"/>
      <c r="G21" s="1593"/>
      <c r="H21" s="1593"/>
      <c r="I21" s="1593"/>
      <c r="J21" s="1593"/>
      <c r="K21" s="1594"/>
      <c r="L21" s="524"/>
    </row>
    <row r="22" spans="1:12" ht="15.75" customHeight="1" collapsed="1" x14ac:dyDescent="0.2">
      <c r="A22" s="2160" t="s">
        <v>617</v>
      </c>
      <c r="B22" s="2161"/>
      <c r="C22" s="477"/>
      <c r="D22" s="477"/>
      <c r="E22" s="477"/>
      <c r="F22" s="477"/>
      <c r="G22" s="477"/>
      <c r="H22" s="477"/>
      <c r="I22" s="477"/>
      <c r="J22" s="477"/>
      <c r="K22" s="477"/>
      <c r="L22" s="347"/>
    </row>
    <row r="23" spans="1:12" s="485" customFormat="1" ht="15.75" customHeight="1" x14ac:dyDescent="0.2">
      <c r="A23" s="2156" t="s">
        <v>311</v>
      </c>
      <c r="B23" s="215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50615</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8" t="s">
        <v>1038</v>
      </c>
      <c r="B32" s="215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109933</v>
      </c>
      <c r="D43" s="467"/>
      <c r="E43" s="467"/>
      <c r="F43" s="467"/>
      <c r="G43" s="467"/>
      <c r="H43" s="467"/>
      <c r="I43" s="467"/>
      <c r="J43" s="467"/>
      <c r="K43" s="467"/>
      <c r="L43" s="524"/>
    </row>
    <row r="44" spans="1:12" s="485" customFormat="1" ht="13.5" customHeight="1" thickBot="1" x14ac:dyDescent="0.25">
      <c r="A44" s="2166" t="s">
        <v>392</v>
      </c>
      <c r="B44" s="2167"/>
      <c r="C44" s="1725">
        <f>SUM(C24:C43)</f>
        <v>160548</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50615</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25">
        <f t="shared" ref="C76:K76" si="7">SUM(C47:C75)</f>
        <v>0</v>
      </c>
      <c r="D76" s="1725">
        <f t="shared" si="7"/>
        <v>0</v>
      </c>
      <c r="E76" s="1725">
        <f t="shared" si="7"/>
        <v>0</v>
      </c>
      <c r="F76" s="1725">
        <f t="shared" si="7"/>
        <v>0</v>
      </c>
      <c r="G76" s="1725">
        <f t="shared" si="7"/>
        <v>0</v>
      </c>
      <c r="H76" s="1725">
        <f t="shared" si="7"/>
        <v>0</v>
      </c>
      <c r="I76" s="1725">
        <f t="shared" si="7"/>
        <v>50615</v>
      </c>
      <c r="J76" s="1725">
        <f t="shared" si="7"/>
        <v>0</v>
      </c>
      <c r="K76" s="1725">
        <f t="shared" si="7"/>
        <v>0</v>
      </c>
      <c r="L76" s="524"/>
    </row>
    <row r="77" spans="1:12" ht="14.25" thickTop="1" thickBot="1" x14ac:dyDescent="0.25">
      <c r="A77" s="2144" t="s">
        <v>1239</v>
      </c>
      <c r="B77" s="2145"/>
      <c r="C77" s="1725">
        <f t="shared" ref="C77:K77" si="8">C44-C76</f>
        <v>160548</v>
      </c>
      <c r="D77" s="1725">
        <f t="shared" si="8"/>
        <v>0</v>
      </c>
      <c r="E77" s="1725">
        <f t="shared" si="8"/>
        <v>0</v>
      </c>
      <c r="F77" s="1725">
        <f t="shared" si="8"/>
        <v>0</v>
      </c>
      <c r="G77" s="1725">
        <f t="shared" si="8"/>
        <v>0</v>
      </c>
      <c r="H77" s="1725">
        <f t="shared" si="8"/>
        <v>0</v>
      </c>
      <c r="I77" s="1725">
        <f t="shared" si="8"/>
        <v>-50615</v>
      </c>
      <c r="J77" s="1725">
        <f t="shared" si="8"/>
        <v>0</v>
      </c>
      <c r="K77" s="1725">
        <f t="shared" si="8"/>
        <v>0</v>
      </c>
      <c r="L77" s="347"/>
    </row>
    <row r="78" spans="1:12" ht="21.75" customHeight="1" thickTop="1" thickBot="1" x14ac:dyDescent="0.25">
      <c r="A78" s="2148" t="s">
        <v>618</v>
      </c>
      <c r="B78" s="2149"/>
      <c r="C78" s="1724">
        <f t="shared" ref="C78:K78" si="9">C20+C77</f>
        <v>300704</v>
      </c>
      <c r="D78" s="1724">
        <f t="shared" si="9"/>
        <v>-127748</v>
      </c>
      <c r="E78" s="1724">
        <f t="shared" si="9"/>
        <v>2481</v>
      </c>
      <c r="F78" s="1724">
        <f t="shared" si="9"/>
        <v>142285</v>
      </c>
      <c r="G78" s="1724">
        <f t="shared" si="9"/>
        <v>-18057</v>
      </c>
      <c r="H78" s="1724">
        <f t="shared" si="9"/>
        <v>0</v>
      </c>
      <c r="I78" s="1724">
        <f t="shared" si="9"/>
        <v>-11282</v>
      </c>
      <c r="J78" s="1724">
        <f t="shared" si="9"/>
        <v>46517</v>
      </c>
      <c r="K78" s="1724">
        <f t="shared" si="9"/>
        <v>-76822</v>
      </c>
      <c r="L78" s="533"/>
    </row>
    <row r="79" spans="1:12" ht="13.5" thickTop="1" x14ac:dyDescent="0.2">
      <c r="A79" s="1516" t="s">
        <v>2073</v>
      </c>
      <c r="B79" s="534"/>
      <c r="C79" s="478">
        <v>285914</v>
      </c>
      <c r="D79" s="535">
        <v>227989</v>
      </c>
      <c r="E79" s="535">
        <v>297613</v>
      </c>
      <c r="F79" s="535">
        <v>205024</v>
      </c>
      <c r="G79" s="535">
        <v>519854</v>
      </c>
      <c r="H79" s="535">
        <v>0</v>
      </c>
      <c r="I79" s="535">
        <v>285726</v>
      </c>
      <c r="J79" s="535">
        <v>15552</v>
      </c>
      <c r="K79" s="535">
        <v>90561</v>
      </c>
      <c r="L79" s="347"/>
    </row>
    <row r="80" spans="1:12" x14ac:dyDescent="0.2">
      <c r="A80" s="2154" t="s">
        <v>1898</v>
      </c>
      <c r="B80" s="2155"/>
      <c r="C80" s="467"/>
      <c r="D80" s="467"/>
      <c r="E80" s="467"/>
      <c r="F80" s="467"/>
      <c r="G80" s="467"/>
      <c r="H80" s="467"/>
      <c r="I80" s="467"/>
      <c r="J80" s="467"/>
      <c r="K80" s="467"/>
      <c r="L80" s="347"/>
    </row>
    <row r="81" spans="1:12" ht="13.5" thickBot="1" x14ac:dyDescent="0.25">
      <c r="A81" s="2146" t="s">
        <v>2074</v>
      </c>
      <c r="B81" s="2147"/>
      <c r="C81" s="1710">
        <f>(SUM(C78:C80))</f>
        <v>586618</v>
      </c>
      <c r="D81" s="1710">
        <f>SUM(D78:D80)</f>
        <v>100241</v>
      </c>
      <c r="E81" s="1710">
        <f t="shared" ref="E81:K81" si="10">SUM(E78:E80)</f>
        <v>300094</v>
      </c>
      <c r="F81" s="1710">
        <f t="shared" si="10"/>
        <v>347309</v>
      </c>
      <c r="G81" s="1710">
        <f t="shared" si="10"/>
        <v>501797</v>
      </c>
      <c r="H81" s="1710">
        <f t="shared" si="10"/>
        <v>0</v>
      </c>
      <c r="I81" s="1710">
        <f t="shared" si="10"/>
        <v>274444</v>
      </c>
      <c r="J81" s="1710">
        <f t="shared" si="10"/>
        <v>62069</v>
      </c>
      <c r="K81" s="1710">
        <f t="shared" si="10"/>
        <v>13739</v>
      </c>
      <c r="L81" s="347"/>
    </row>
    <row r="82" spans="1:12" ht="0.75" customHeight="1" thickTop="1" thickBot="1" x14ac:dyDescent="0.25">
      <c r="A82" s="536" t="s">
        <v>361</v>
      </c>
      <c r="B82" s="537"/>
      <c r="C82" s="538">
        <f>(C81-C79)</f>
        <v>300704</v>
      </c>
      <c r="D82" s="538">
        <f t="shared" ref="D82:K82" si="11">(D81-D79)</f>
        <v>-127748</v>
      </c>
      <c r="E82" s="538">
        <f t="shared" si="11"/>
        <v>2481</v>
      </c>
      <c r="F82" s="538">
        <f t="shared" si="11"/>
        <v>142285</v>
      </c>
      <c r="G82" s="538">
        <f t="shared" si="11"/>
        <v>-18057</v>
      </c>
      <c r="H82" s="538">
        <f t="shared" si="11"/>
        <v>0</v>
      </c>
      <c r="I82" s="538">
        <f t="shared" si="11"/>
        <v>-11282</v>
      </c>
      <c r="J82" s="538">
        <f t="shared" si="11"/>
        <v>46517</v>
      </c>
      <c r="K82" s="538">
        <f t="shared" si="11"/>
        <v>-76822</v>
      </c>
    </row>
    <row r="83" spans="1:12" ht="14.25" hidden="1" thickTop="1" thickBot="1" x14ac:dyDescent="0.25">
      <c r="A83" s="539" t="s">
        <v>362</v>
      </c>
      <c r="B83" s="464"/>
      <c r="C83" s="540">
        <f>C82/C81</f>
        <v>0.51260615937458454</v>
      </c>
      <c r="D83" s="540">
        <f t="shared" ref="D83:K83" si="12">D82/D81</f>
        <v>-1.2744086750930259</v>
      </c>
      <c r="E83" s="540">
        <f t="shared" si="12"/>
        <v>8.2674095450092303E-3</v>
      </c>
      <c r="F83" s="540">
        <f t="shared" si="12"/>
        <v>0.4096784131709803</v>
      </c>
      <c r="G83" s="540">
        <f t="shared" si="12"/>
        <v>-3.5984671092095008E-2</v>
      </c>
      <c r="H83" s="540" t="e">
        <f t="shared" si="12"/>
        <v>#DIV/0!</v>
      </c>
      <c r="I83" s="540">
        <f t="shared" si="12"/>
        <v>-4.1108568596872223E-2</v>
      </c>
      <c r="J83" s="540">
        <f t="shared" si="12"/>
        <v>0.74944013919992269</v>
      </c>
      <c r="K83" s="540">
        <f t="shared" si="12"/>
        <v>-5.5915277676686808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1905</v>
      </c>
      <c r="B1" s="452"/>
      <c r="C1" s="453" t="s">
        <v>445</v>
      </c>
      <c r="D1" s="453" t="s">
        <v>446</v>
      </c>
      <c r="E1" s="453" t="s">
        <v>447</v>
      </c>
      <c r="F1" s="453" t="s">
        <v>448</v>
      </c>
      <c r="G1" s="453" t="s">
        <v>449</v>
      </c>
      <c r="H1" s="453" t="s">
        <v>450</v>
      </c>
      <c r="I1" s="453" t="s">
        <v>451</v>
      </c>
      <c r="J1" s="453" t="s">
        <v>452</v>
      </c>
      <c r="K1" s="453" t="s">
        <v>780</v>
      </c>
    </row>
    <row r="2" spans="1:12" ht="36" x14ac:dyDescent="0.2">
      <c r="A2" s="215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1313420</v>
      </c>
      <c r="D5" s="481">
        <v>356908</v>
      </c>
      <c r="E5" s="466">
        <v>524147</v>
      </c>
      <c r="F5" s="548">
        <v>142765</v>
      </c>
      <c r="G5" s="466">
        <v>49788</v>
      </c>
      <c r="H5" s="466"/>
      <c r="I5" s="466">
        <v>35689</v>
      </c>
      <c r="J5" s="467">
        <v>358435</v>
      </c>
      <c r="K5" s="466">
        <v>35690</v>
      </c>
    </row>
    <row r="6" spans="1:12" ht="15" x14ac:dyDescent="0.2">
      <c r="A6" s="463" t="s">
        <v>1761</v>
      </c>
      <c r="B6" s="470">
        <v>1130</v>
      </c>
      <c r="C6" s="466">
        <v>35690</v>
      </c>
      <c r="D6" s="466"/>
      <c r="E6" s="475"/>
      <c r="F6" s="475"/>
      <c r="G6" s="468"/>
      <c r="H6" s="468"/>
      <c r="I6" s="468"/>
      <c r="J6" s="468"/>
      <c r="K6" s="468"/>
    </row>
    <row r="7" spans="1:12" x14ac:dyDescent="0.2">
      <c r="A7" s="463" t="s">
        <v>112</v>
      </c>
      <c r="B7" s="549">
        <v>1140</v>
      </c>
      <c r="C7" s="466">
        <v>28553</v>
      </c>
      <c r="D7" s="466"/>
      <c r="E7" s="468"/>
      <c r="F7" s="467"/>
      <c r="G7" s="467"/>
      <c r="H7" s="467"/>
      <c r="I7" s="468"/>
      <c r="J7" s="468"/>
      <c r="K7" s="468"/>
    </row>
    <row r="8" spans="1:12" x14ac:dyDescent="0.2">
      <c r="A8" s="463" t="s">
        <v>433</v>
      </c>
      <c r="B8" s="470">
        <v>1150</v>
      </c>
      <c r="C8" s="475"/>
      <c r="D8" s="475"/>
      <c r="E8" s="477"/>
      <c r="F8" s="477"/>
      <c r="G8" s="481">
        <f>49790+63722</f>
        <v>113512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1377663</v>
      </c>
      <c r="D12" s="1729">
        <f t="shared" si="0"/>
        <v>356908</v>
      </c>
      <c r="E12" s="1729">
        <f t="shared" si="0"/>
        <v>524147</v>
      </c>
      <c r="F12" s="1729">
        <f t="shared" si="0"/>
        <v>142765</v>
      </c>
      <c r="G12" s="1729">
        <f t="shared" si="0"/>
        <v>163300</v>
      </c>
      <c r="H12" s="1729">
        <f t="shared" si="0"/>
        <v>0</v>
      </c>
      <c r="I12" s="1729">
        <f t="shared" si="0"/>
        <v>35689</v>
      </c>
      <c r="J12" s="1729">
        <f t="shared" si="0"/>
        <v>358435</v>
      </c>
      <c r="K12" s="1710">
        <f t="shared" si="0"/>
        <v>35690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1874</v>
      </c>
      <c r="D14" s="466">
        <v>485</v>
      </c>
      <c r="E14" s="466">
        <v>706</v>
      </c>
      <c r="F14" s="466">
        <v>194</v>
      </c>
      <c r="G14" s="466">
        <f>155+72</f>
        <v>227</v>
      </c>
      <c r="H14" s="466"/>
      <c r="I14" s="466">
        <v>49</v>
      </c>
      <c r="J14" s="467">
        <v>485</v>
      </c>
      <c r="K14" s="466">
        <v>47</v>
      </c>
    </row>
    <row r="15" spans="1:12" ht="12.75" customHeight="1" x14ac:dyDescent="0.2">
      <c r="A15" s="463" t="s">
        <v>97</v>
      </c>
      <c r="B15" s="470">
        <v>1220</v>
      </c>
      <c r="C15" s="551">
        <v>640</v>
      </c>
      <c r="D15" s="466">
        <v>166</v>
      </c>
      <c r="E15" s="466">
        <v>244</v>
      </c>
      <c r="F15" s="466">
        <v>67</v>
      </c>
      <c r="G15" s="466">
        <f>53+23</f>
        <v>76</v>
      </c>
      <c r="H15" s="466"/>
      <c r="I15" s="466">
        <v>16</v>
      </c>
      <c r="J15" s="467">
        <v>166</v>
      </c>
      <c r="K15" s="466">
        <v>17</v>
      </c>
    </row>
    <row r="16" spans="1:12" ht="15" customHeight="1" x14ac:dyDescent="0.2">
      <c r="A16" s="463" t="s">
        <v>1762</v>
      </c>
      <c r="B16" s="549">
        <v>1230</v>
      </c>
      <c r="C16" s="551">
        <v>77107</v>
      </c>
      <c r="D16" s="466"/>
      <c r="E16" s="466"/>
      <c r="F16" s="466"/>
      <c r="G16" s="466">
        <v>12000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79621</v>
      </c>
      <c r="D18" s="1732">
        <f t="shared" ref="D18:K18" si="1">SUM(D14:D17)</f>
        <v>651</v>
      </c>
      <c r="E18" s="1732">
        <f t="shared" si="1"/>
        <v>950</v>
      </c>
      <c r="F18" s="1732">
        <f t="shared" si="1"/>
        <v>261</v>
      </c>
      <c r="G18" s="1732">
        <f t="shared" si="1"/>
        <v>12303</v>
      </c>
      <c r="H18" s="1732">
        <f t="shared" si="1"/>
        <v>0</v>
      </c>
      <c r="I18" s="1732">
        <f t="shared" si="1"/>
        <v>65</v>
      </c>
      <c r="J18" s="1732">
        <f t="shared" si="1"/>
        <v>651</v>
      </c>
      <c r="K18" s="1733">
        <f t="shared" si="1"/>
        <v>64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7179</v>
      </c>
      <c r="D65" s="466">
        <v>3469</v>
      </c>
      <c r="E65" s="466">
        <v>5323</v>
      </c>
      <c r="F65" s="467">
        <v>4131</v>
      </c>
      <c r="G65" s="466">
        <f>2026+4553</f>
        <v>6579</v>
      </c>
      <c r="H65" s="466"/>
      <c r="I65" s="466">
        <v>3579</v>
      </c>
      <c r="J65" s="467">
        <v>1403</v>
      </c>
      <c r="K65" s="466">
        <v>486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7179</v>
      </c>
      <c r="D67" s="1710">
        <f t="shared" ref="D67:K67" si="2">SUM(D65:D66)</f>
        <v>3469</v>
      </c>
      <c r="E67" s="1710">
        <f t="shared" si="2"/>
        <v>5323</v>
      </c>
      <c r="F67" s="1710">
        <f t="shared" si="2"/>
        <v>4131</v>
      </c>
      <c r="G67" s="1710">
        <f t="shared" si="2"/>
        <v>6579</v>
      </c>
      <c r="H67" s="1710">
        <f t="shared" si="2"/>
        <v>0</v>
      </c>
      <c r="I67" s="1710">
        <f t="shared" si="2"/>
        <v>3579</v>
      </c>
      <c r="J67" s="1710">
        <f t="shared" si="2"/>
        <v>1403</v>
      </c>
      <c r="K67" s="1710">
        <f t="shared" si="2"/>
        <v>486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24504+28971</f>
        <v>53475</v>
      </c>
      <c r="D69" s="468"/>
      <c r="E69" s="468"/>
      <c r="F69" s="468"/>
      <c r="G69" s="468"/>
      <c r="H69" s="468"/>
      <c r="I69" s="468"/>
      <c r="J69" s="468"/>
      <c r="K69" s="468"/>
    </row>
    <row r="70" spans="1:11" ht="12.75" customHeight="1" x14ac:dyDescent="0.2">
      <c r="A70" s="463" t="s">
        <v>1054</v>
      </c>
      <c r="B70" s="470">
        <v>1612</v>
      </c>
      <c r="C70" s="551">
        <v>2757</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4499</v>
      </c>
      <c r="D72" s="468"/>
      <c r="E72" s="468"/>
      <c r="F72" s="468"/>
      <c r="G72" s="468"/>
      <c r="H72" s="468"/>
      <c r="I72" s="468"/>
      <c r="J72" s="468"/>
      <c r="K72" s="468"/>
    </row>
    <row r="73" spans="1:11" ht="12.75" customHeight="1" x14ac:dyDescent="0.2">
      <c r="A73" s="463" t="s">
        <v>1055</v>
      </c>
      <c r="B73" s="470">
        <v>1620</v>
      </c>
      <c r="C73" s="551">
        <f>739+1366</f>
        <v>2105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62836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f>22847+9280</f>
        <v>32127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700+780+1554+1268+1804</f>
        <v>6106</v>
      </c>
      <c r="D81" s="466"/>
      <c r="E81" s="468"/>
      <c r="F81" s="468"/>
      <c r="G81" s="468"/>
      <c r="H81" s="468"/>
      <c r="I81" s="468"/>
      <c r="J81" s="468"/>
      <c r="K81" s="468"/>
    </row>
    <row r="82" spans="1:11" ht="12.75" customHeight="1" thickBot="1" x14ac:dyDescent="0.25">
      <c r="A82" s="1730" t="s">
        <v>259</v>
      </c>
      <c r="B82" s="1731"/>
      <c r="C82" s="1729">
        <f>SUM(C77:C81)</f>
        <v>38233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f>42363+1240+1975+827+2271+2312+1217+870+3981+1313+694+975+1589+1021+6600</f>
        <v>69248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69248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150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5703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12390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36769+11496+33073+11710+98+4622</f>
        <v>97768</v>
      </c>
      <c r="D107" s="466">
        <v>973</v>
      </c>
      <c r="E107" s="466"/>
      <c r="F107" s="466">
        <f>9312+15687</f>
        <v>24999</v>
      </c>
      <c r="G107" s="466"/>
      <c r="H107" s="466"/>
      <c r="I107" s="466"/>
      <c r="J107" s="467">
        <v>456</v>
      </c>
      <c r="K107" s="466"/>
    </row>
    <row r="108" spans="1:12" ht="12.75" customHeight="1" thickBot="1" x14ac:dyDescent="0.25">
      <c r="A108" s="1730" t="s">
        <v>508</v>
      </c>
      <c r="B108" s="1734"/>
      <c r="C108" s="1729">
        <f>SUM(C95:C107)</f>
        <v>115861</v>
      </c>
      <c r="D108" s="1729">
        <f t="shared" ref="D108:K108" si="3">SUM(D95:D107)</f>
        <v>1123</v>
      </c>
      <c r="E108" s="1729">
        <f t="shared" si="3"/>
        <v>0</v>
      </c>
      <c r="F108" s="1729">
        <f t="shared" si="3"/>
        <v>24999</v>
      </c>
      <c r="G108" s="1729">
        <f t="shared" si="3"/>
        <v>0</v>
      </c>
      <c r="H108" s="1729">
        <f t="shared" si="3"/>
        <v>0</v>
      </c>
      <c r="I108" s="1729">
        <f t="shared" si="3"/>
        <v>0</v>
      </c>
      <c r="J108" s="1729">
        <f t="shared" si="3"/>
        <v>456</v>
      </c>
      <c r="K108" s="1710">
        <f t="shared" si="3"/>
        <v>0</v>
      </c>
    </row>
    <row r="109" spans="1:12" ht="14.25" thickTop="1" thickBot="1" x14ac:dyDescent="0.25">
      <c r="A109" s="1735" t="s">
        <v>266</v>
      </c>
      <c r="B109" s="1736" t="s">
        <v>591</v>
      </c>
      <c r="C109" s="1737">
        <f t="shared" ref="C109:K109" si="4">SUM(C12,C18,C40,C63,C67,C75,C82,C93,C108,)</f>
        <v>1750641</v>
      </c>
      <c r="D109" s="1737">
        <f t="shared" si="4"/>
        <v>362151</v>
      </c>
      <c r="E109" s="1737">
        <f t="shared" si="4"/>
        <v>530420</v>
      </c>
      <c r="F109" s="1737">
        <f t="shared" si="4"/>
        <v>172156</v>
      </c>
      <c r="G109" s="1737">
        <f t="shared" si="4"/>
        <v>182182</v>
      </c>
      <c r="H109" s="1737">
        <f t="shared" si="4"/>
        <v>0</v>
      </c>
      <c r="I109" s="1737">
        <f t="shared" si="4"/>
        <v>39333</v>
      </c>
      <c r="J109" s="1737">
        <f t="shared" si="4"/>
        <v>360945</v>
      </c>
      <c r="K109" s="1724">
        <f t="shared" si="4"/>
        <v>36240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3171741</v>
      </c>
      <c r="D117" s="481">
        <v>45000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3171741</v>
      </c>
      <c r="D121" s="1729">
        <f t="shared" si="5"/>
        <v>45000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15212</v>
      </c>
      <c r="D124" s="561"/>
      <c r="E124" s="468"/>
      <c r="F124" s="548"/>
      <c r="G124" s="468"/>
      <c r="H124" s="468"/>
      <c r="I124" s="468"/>
      <c r="J124" s="468"/>
      <c r="K124" s="468"/>
    </row>
    <row r="125" spans="1:11" ht="12.75" customHeight="1" x14ac:dyDescent="0.2">
      <c r="A125" s="463" t="s">
        <v>1521</v>
      </c>
      <c r="B125" s="562">
        <v>3105</v>
      </c>
      <c r="C125" s="466">
        <v>51654</v>
      </c>
      <c r="D125" s="561"/>
      <c r="E125" s="468"/>
      <c r="F125" s="466"/>
      <c r="G125" s="468"/>
      <c r="H125" s="468"/>
      <c r="I125" s="468"/>
      <c r="J125" s="468"/>
      <c r="K125" s="468"/>
    </row>
    <row r="126" spans="1:11" ht="12.75" customHeight="1" x14ac:dyDescent="0.2">
      <c r="A126" s="463" t="s">
        <v>922</v>
      </c>
      <c r="B126" s="562">
        <v>3110</v>
      </c>
      <c r="C126" s="551">
        <v>54001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1775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122642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4014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4014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2669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13379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184248</v>
      </c>
      <c r="G151" s="467"/>
      <c r="H151" s="468"/>
      <c r="I151" s="468"/>
      <c r="J151" s="468"/>
      <c r="K151" s="468"/>
    </row>
    <row r="152" spans="1:11" ht="12.75" customHeight="1" x14ac:dyDescent="0.2">
      <c r="A152" s="463" t="s">
        <v>1117</v>
      </c>
      <c r="B152" s="562">
        <v>3510</v>
      </c>
      <c r="C152" s="551"/>
      <c r="D152" s="466"/>
      <c r="E152" s="561"/>
      <c r="F152" s="466">
        <v>144843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329091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70" t="s">
        <v>418</v>
      </c>
      <c r="B172" s="2171"/>
      <c r="C172" s="1744">
        <f t="shared" ref="C172:K172" si="6">SUM(C131,C140,C144,C145:C149,C154,C155:C170,C171)</f>
        <v>143454</v>
      </c>
      <c r="D172" s="1744">
        <f t="shared" si="6"/>
        <v>0</v>
      </c>
      <c r="E172" s="1744">
        <f t="shared" si="6"/>
        <v>0</v>
      </c>
      <c r="F172" s="1744">
        <f t="shared" si="6"/>
        <v>329091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3315195</v>
      </c>
      <c r="D173" s="1737">
        <f>SUM(D121,D172)</f>
        <v>45000</v>
      </c>
      <c r="E173" s="1737">
        <f>SUM(E121,E172)</f>
        <v>0</v>
      </c>
      <c r="F173" s="1737">
        <f t="shared" ref="F173:K173" si="7">SUM(F121,F172)</f>
        <v>329091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1764</v>
      </c>
      <c r="B178" s="217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0" t="s">
        <v>1763</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8" t="s">
        <v>818</v>
      </c>
      <c r="B184" s="217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4" t="s">
        <v>1906</v>
      </c>
      <c r="B185" s="217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126368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29785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156153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f>19736+114994</f>
        <v>134730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134730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350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350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47647</v>
      </c>
      <c r="D220" s="466"/>
      <c r="E220" s="468"/>
      <c r="F220" s="466"/>
      <c r="G220" s="466"/>
      <c r="H220" s="468"/>
      <c r="I220" s="468"/>
      <c r="J220" s="468"/>
      <c r="K220" s="468"/>
    </row>
    <row r="221" spans="1:11" ht="12.75" customHeight="1" x14ac:dyDescent="0.2">
      <c r="A221" s="463" t="s">
        <v>1114</v>
      </c>
      <c r="B221" s="470">
        <v>4625</v>
      </c>
      <c r="C221" s="551">
        <v>115011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162658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23679-4389</f>
        <v>19290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16705</v>
      </c>
      <c r="D270" s="576"/>
      <c r="E270" s="468"/>
      <c r="F270" s="576"/>
      <c r="G270" s="576"/>
      <c r="H270" s="468"/>
      <c r="I270" s="468"/>
      <c r="J270" s="468"/>
      <c r="K270" s="468"/>
    </row>
    <row r="271" spans="1:11" ht="12.75" customHeight="1" thickTop="1" thickBot="1" x14ac:dyDescent="0.25">
      <c r="A271" s="463" t="s">
        <v>395</v>
      </c>
      <c r="B271" s="470">
        <v>4992</v>
      </c>
      <c r="C271" s="575">
        <v>35752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525638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525638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5591474</v>
      </c>
      <c r="D275" s="1737">
        <f t="shared" si="12"/>
        <v>407151</v>
      </c>
      <c r="E275" s="1737">
        <f t="shared" si="12"/>
        <v>530420</v>
      </c>
      <c r="F275" s="1737">
        <f t="shared" si="12"/>
        <v>501247</v>
      </c>
      <c r="G275" s="1737">
        <f t="shared" si="12"/>
        <v>182182</v>
      </c>
      <c r="H275" s="1737">
        <f t="shared" si="12"/>
        <v>0</v>
      </c>
      <c r="I275" s="1737">
        <f t="shared" si="12"/>
        <v>39333</v>
      </c>
      <c r="J275" s="1737">
        <f t="shared" si="12"/>
        <v>360945</v>
      </c>
      <c r="K275" s="1724">
        <f t="shared" si="12"/>
        <v>36240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showWhiteSpace="0" view="pageLayout" topLeftCell="A54" colorId="8" zoomScaleNormal="110" workbookViewId="0">
      <selection activeCell="J381" sqref="J38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1167109+4341+31046+451+5116+781430+97194+1217+21559+243+12981+8012+15709+1408</f>
        <v>2147816</v>
      </c>
      <c r="D5" s="466">
        <f>16827+86705+1600+13804+66304</f>
        <v>185240</v>
      </c>
      <c r="E5" s="466">
        <f>594+742+11366+43322+161</f>
        <v>56185</v>
      </c>
      <c r="F5" s="466">
        <f>2428+1420+7290+1299+272+497+363+697+595+20641+1214+1862+470+307+464+1568+1662+3220</f>
        <v>46269</v>
      </c>
      <c r="G5" s="466">
        <f>2722+159359</f>
        <v>162081</v>
      </c>
      <c r="H5" s="466">
        <v>1168</v>
      </c>
      <c r="I5" s="467"/>
      <c r="J5" s="467"/>
      <c r="K5" s="1693">
        <f>SUM(C5:J5)</f>
        <v>2598759</v>
      </c>
      <c r="L5" s="466">
        <v>2496724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f>98879+42674+8938+89277+48140+58273+23942+2347</f>
        <v>372470</v>
      </c>
      <c r="D8" s="466">
        <f>2188+11638+2038+21143</f>
        <v>37007</v>
      </c>
      <c r="E8" s="466"/>
      <c r="F8" s="466">
        <f>246+278+381+194+119</f>
        <v>1218</v>
      </c>
      <c r="G8" s="466">
        <f>23054</f>
        <v>23054</v>
      </c>
      <c r="H8" s="466"/>
      <c r="I8" s="467"/>
      <c r="J8" s="467"/>
      <c r="K8" s="1693">
        <f t="shared" si="0"/>
        <v>433749</v>
      </c>
      <c r="L8" s="466">
        <v>438551</v>
      </c>
    </row>
    <row r="9" spans="1:14" x14ac:dyDescent="0.2">
      <c r="A9" s="1526" t="s">
        <v>745</v>
      </c>
      <c r="B9" s="615" t="s">
        <v>1025</v>
      </c>
      <c r="C9" s="467">
        <f>46796+2085</f>
        <v>48881</v>
      </c>
      <c r="D9" s="467">
        <v>690</v>
      </c>
      <c r="E9" s="467"/>
      <c r="F9" s="467">
        <v>146</v>
      </c>
      <c r="G9" s="467"/>
      <c r="H9" s="467"/>
      <c r="I9" s="467"/>
      <c r="J9" s="467"/>
      <c r="K9" s="1693">
        <f t="shared" si="0"/>
        <v>49717</v>
      </c>
      <c r="L9" s="466">
        <v>50149</v>
      </c>
    </row>
    <row r="10" spans="1:14" x14ac:dyDescent="0.2">
      <c r="A10" s="1526" t="s">
        <v>746</v>
      </c>
      <c r="B10" s="615">
        <v>1250</v>
      </c>
      <c r="C10" s="466">
        <f>18657+82752+5672+1079</f>
        <v>108160</v>
      </c>
      <c r="D10" s="466">
        <f>11840+787</f>
        <v>12627</v>
      </c>
      <c r="E10" s="466">
        <f>1085+539+5719</f>
        <v>7343</v>
      </c>
      <c r="F10" s="466">
        <v>30743</v>
      </c>
      <c r="G10" s="466"/>
      <c r="H10" s="466"/>
      <c r="I10" s="467"/>
      <c r="J10" s="467"/>
      <c r="K10" s="1693">
        <f t="shared" si="0"/>
        <v>158873</v>
      </c>
      <c r="L10" s="466">
        <v>163107</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f>152871+3722+4191</f>
        <v>160784</v>
      </c>
      <c r="D13" s="466">
        <f>2365+3544</f>
        <v>5909</v>
      </c>
      <c r="E13" s="466">
        <f>74+2642</f>
        <v>2716</v>
      </c>
      <c r="F13" s="466">
        <f>5505+234+3146+1620+983</f>
        <v>11488</v>
      </c>
      <c r="G13" s="466"/>
      <c r="H13" s="466"/>
      <c r="I13" s="467"/>
      <c r="J13" s="467"/>
      <c r="K13" s="1693">
        <f t="shared" si="0"/>
        <v>180897</v>
      </c>
      <c r="L13" s="466">
        <v>181735</v>
      </c>
    </row>
    <row r="14" spans="1:14" x14ac:dyDescent="0.2">
      <c r="A14" s="1526" t="s">
        <v>1020</v>
      </c>
      <c r="B14" s="615">
        <v>1500</v>
      </c>
      <c r="C14" s="466">
        <f>75961+7748</f>
        <v>83709</v>
      </c>
      <c r="D14" s="466">
        <v>699</v>
      </c>
      <c r="E14" s="466">
        <f>19340+3316+1012</f>
        <v>23668</v>
      </c>
      <c r="F14" s="466">
        <f>8315+3022+2036</f>
        <v>13373</v>
      </c>
      <c r="G14" s="466">
        <v>4896</v>
      </c>
      <c r="H14" s="466">
        <f>4834+411+1000</f>
        <v>6245</v>
      </c>
      <c r="I14" s="467"/>
      <c r="J14" s="467"/>
      <c r="K14" s="1693">
        <f t="shared" si="0"/>
        <v>132590</v>
      </c>
      <c r="L14" s="466">
        <v>132320</v>
      </c>
    </row>
    <row r="15" spans="1:14" x14ac:dyDescent="0.2">
      <c r="A15" s="1526" t="s">
        <v>1021</v>
      </c>
      <c r="B15" s="615">
        <v>1600</v>
      </c>
      <c r="C15" s="466"/>
      <c r="D15" s="466"/>
      <c r="E15" s="466"/>
      <c r="F15" s="466"/>
      <c r="G15" s="466"/>
      <c r="H15" s="466">
        <v>7205</v>
      </c>
      <c r="I15" s="467"/>
      <c r="J15" s="467"/>
      <c r="K15" s="1693">
        <f t="shared" si="0"/>
        <v>7205</v>
      </c>
      <c r="L15" s="466">
        <v>7189</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26870</v>
      </c>
      <c r="D17" s="467">
        <v>395</v>
      </c>
      <c r="E17" s="467"/>
      <c r="F17" s="467"/>
      <c r="G17" s="467"/>
      <c r="H17" s="467"/>
      <c r="I17" s="467"/>
      <c r="J17" s="467"/>
      <c r="K17" s="1693">
        <f t="shared" si="0"/>
        <v>27265</v>
      </c>
      <c r="L17" s="466">
        <v>30500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2948690</v>
      </c>
      <c r="D33" s="1692">
        <f t="shared" ref="D33:L33" si="1">SUM(D5:D32)</f>
        <v>242567</v>
      </c>
      <c r="E33" s="1692">
        <f t="shared" si="1"/>
        <v>89912</v>
      </c>
      <c r="F33" s="1692">
        <f t="shared" si="1"/>
        <v>103237</v>
      </c>
      <c r="G33" s="1692">
        <f t="shared" si="1"/>
        <v>190031</v>
      </c>
      <c r="H33" s="1692">
        <f t="shared" si="1"/>
        <v>14618</v>
      </c>
      <c r="I33" s="1692">
        <f t="shared" si="1"/>
        <v>0</v>
      </c>
      <c r="J33" s="1692">
        <f t="shared" si="1"/>
        <v>0</v>
      </c>
      <c r="K33" s="1692">
        <f t="shared" si="1"/>
        <v>3589055</v>
      </c>
      <c r="L33" s="1692">
        <f t="shared" si="1"/>
        <v>3500275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41135</v>
      </c>
      <c r="D36" s="481">
        <v>604</v>
      </c>
      <c r="E36" s="481"/>
      <c r="F36" s="481"/>
      <c r="G36" s="481"/>
      <c r="H36" s="481"/>
      <c r="I36" s="467"/>
      <c r="J36" s="467"/>
      <c r="K36" s="1693">
        <f t="shared" ref="K36:K41" si="2">SUM(C36:J36)</f>
        <v>41739</v>
      </c>
      <c r="L36" s="466">
        <v>41745</v>
      </c>
    </row>
    <row r="37" spans="1:14" x14ac:dyDescent="0.2">
      <c r="A37" s="1526" t="s">
        <v>1151</v>
      </c>
      <c r="B37" s="615">
        <v>2120</v>
      </c>
      <c r="C37" s="466">
        <f>41231+2325</f>
        <v>43556</v>
      </c>
      <c r="D37" s="466">
        <v>645</v>
      </c>
      <c r="E37" s="466">
        <v>95</v>
      </c>
      <c r="F37" s="466"/>
      <c r="G37" s="466"/>
      <c r="H37" s="466"/>
      <c r="I37" s="467"/>
      <c r="J37" s="467"/>
      <c r="K37" s="1693">
        <f t="shared" si="2"/>
        <v>44296</v>
      </c>
      <c r="L37" s="466">
        <v>44305</v>
      </c>
    </row>
    <row r="38" spans="1:14" x14ac:dyDescent="0.2">
      <c r="A38" s="1526" t="s">
        <v>207</v>
      </c>
      <c r="B38" s="615">
        <v>2130</v>
      </c>
      <c r="C38" s="466"/>
      <c r="D38" s="466"/>
      <c r="E38" s="466"/>
      <c r="F38" s="466">
        <v>670</v>
      </c>
      <c r="G38" s="466"/>
      <c r="H38" s="466"/>
      <c r="I38" s="467"/>
      <c r="J38" s="467"/>
      <c r="K38" s="1693">
        <f t="shared" si="2"/>
        <v>670</v>
      </c>
      <c r="L38" s="466">
        <v>670</v>
      </c>
    </row>
    <row r="39" spans="1:14" x14ac:dyDescent="0.2">
      <c r="A39" s="1526" t="s">
        <v>208</v>
      </c>
      <c r="B39" s="615">
        <v>2140</v>
      </c>
      <c r="C39" s="466">
        <v>47329</v>
      </c>
      <c r="D39" s="466">
        <f>693+5324</f>
        <v>6017</v>
      </c>
      <c r="E39" s="466">
        <f>707+270</f>
        <v>977</v>
      </c>
      <c r="F39" s="466">
        <v>661</v>
      </c>
      <c r="G39" s="466"/>
      <c r="H39" s="466">
        <v>210</v>
      </c>
      <c r="I39" s="467"/>
      <c r="J39" s="467"/>
      <c r="K39" s="1693">
        <f t="shared" si="2"/>
        <v>55194</v>
      </c>
      <c r="L39" s="466">
        <v>55245</v>
      </c>
    </row>
    <row r="40" spans="1:14" x14ac:dyDescent="0.2">
      <c r="A40" s="1526" t="s">
        <v>209</v>
      </c>
      <c r="B40" s="615">
        <v>2150</v>
      </c>
      <c r="C40" s="466">
        <f>51089+1180</f>
        <v>52269</v>
      </c>
      <c r="D40" s="466">
        <f>752+136</f>
        <v>888</v>
      </c>
      <c r="E40" s="466">
        <v>449</v>
      </c>
      <c r="F40" s="466">
        <v>74</v>
      </c>
      <c r="G40" s="466"/>
      <c r="H40" s="466"/>
      <c r="I40" s="467"/>
      <c r="J40" s="467"/>
      <c r="K40" s="1693">
        <f t="shared" si="2"/>
        <v>53680</v>
      </c>
      <c r="L40" s="466">
        <v>53716</v>
      </c>
    </row>
    <row r="41" spans="1:14" x14ac:dyDescent="0.2">
      <c r="A41" s="1526" t="s">
        <v>1768</v>
      </c>
      <c r="B41" s="615">
        <v>2190</v>
      </c>
      <c r="C41" s="466">
        <v>5027</v>
      </c>
      <c r="D41" s="466"/>
      <c r="E41" s="466"/>
      <c r="F41" s="466"/>
      <c r="G41" s="466"/>
      <c r="H41" s="466"/>
      <c r="I41" s="467"/>
      <c r="J41" s="467"/>
      <c r="K41" s="1693">
        <f t="shared" si="2"/>
        <v>5027</v>
      </c>
      <c r="L41" s="466">
        <v>5400</v>
      </c>
    </row>
    <row r="42" spans="1:14" ht="12.75" customHeight="1" thickBot="1" x14ac:dyDescent="0.25">
      <c r="A42" s="1690" t="s">
        <v>581</v>
      </c>
      <c r="B42" s="1691" t="s">
        <v>740</v>
      </c>
      <c r="C42" s="1692">
        <f>SUM(C36:C41)</f>
        <v>189316</v>
      </c>
      <c r="D42" s="1692">
        <f t="shared" ref="D42:L42" si="3">SUM(D36:D41)</f>
        <v>8154</v>
      </c>
      <c r="E42" s="1692">
        <f t="shared" si="3"/>
        <v>1521</v>
      </c>
      <c r="F42" s="1692">
        <f t="shared" si="3"/>
        <v>1405</v>
      </c>
      <c r="G42" s="1692">
        <f t="shared" si="3"/>
        <v>0</v>
      </c>
      <c r="H42" s="1692">
        <f t="shared" si="3"/>
        <v>210</v>
      </c>
      <c r="I42" s="1692">
        <f t="shared" si="3"/>
        <v>0</v>
      </c>
      <c r="J42" s="1692">
        <f t="shared" si="3"/>
        <v>0</v>
      </c>
      <c r="K42" s="1692">
        <f t="shared" si="3"/>
        <v>200606</v>
      </c>
      <c r="L42" s="1692">
        <f t="shared" si="3"/>
        <v>201081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4389+19571+19401</f>
        <v>43361</v>
      </c>
      <c r="D44" s="481">
        <v>2262</v>
      </c>
      <c r="E44" s="481">
        <v>5488</v>
      </c>
      <c r="F44" s="481">
        <f>129+750+238</f>
        <v>1117</v>
      </c>
      <c r="G44" s="481"/>
      <c r="H44" s="481">
        <v>389</v>
      </c>
      <c r="I44" s="467"/>
      <c r="J44" s="467"/>
      <c r="K44" s="1694">
        <f>SUM(C44:J44)</f>
        <v>52617</v>
      </c>
      <c r="L44" s="481">
        <v>31222</v>
      </c>
    </row>
    <row r="45" spans="1:14" x14ac:dyDescent="0.2">
      <c r="A45" s="1526" t="s">
        <v>869</v>
      </c>
      <c r="B45" s="615">
        <v>2220</v>
      </c>
      <c r="C45" s="466"/>
      <c r="D45" s="466"/>
      <c r="E45" s="466">
        <v>2143</v>
      </c>
      <c r="F45" s="466">
        <f>10299+70697</f>
        <v>80996</v>
      </c>
      <c r="G45" s="466">
        <v>2471</v>
      </c>
      <c r="H45" s="466"/>
      <c r="I45" s="467"/>
      <c r="J45" s="467"/>
      <c r="K45" s="1694">
        <f>SUM(C45:J45)</f>
        <v>85610</v>
      </c>
      <c r="L45" s="466">
        <v>118106</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43361</v>
      </c>
      <c r="D47" s="1692">
        <f t="shared" ref="D47:K47" si="4">SUM(D44:D46)</f>
        <v>2262</v>
      </c>
      <c r="E47" s="1692">
        <f t="shared" si="4"/>
        <v>7631</v>
      </c>
      <c r="F47" s="1692">
        <f t="shared" si="4"/>
        <v>82113</v>
      </c>
      <c r="G47" s="1692">
        <f t="shared" si="4"/>
        <v>2471</v>
      </c>
      <c r="H47" s="1692">
        <f t="shared" si="4"/>
        <v>389</v>
      </c>
      <c r="I47" s="1692">
        <f t="shared" si="4"/>
        <v>0</v>
      </c>
      <c r="J47" s="1692">
        <f t="shared" si="4"/>
        <v>0</v>
      </c>
      <c r="K47" s="1692">
        <f t="shared" si="4"/>
        <v>138227</v>
      </c>
      <c r="L47" s="1692">
        <f>SUM(L44:L46)</f>
        <v>149328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1948</v>
      </c>
      <c r="D49" s="481"/>
      <c r="E49" s="481">
        <f>11200+19481+6966+8091</f>
        <v>45738</v>
      </c>
      <c r="F49" s="481">
        <f>1275+68</f>
        <v>1343</v>
      </c>
      <c r="G49" s="481">
        <v>2116</v>
      </c>
      <c r="H49" s="481">
        <f>12057+3913</f>
        <v>15970</v>
      </c>
      <c r="I49" s="467"/>
      <c r="J49" s="467"/>
      <c r="K49" s="1694">
        <f>SUM(C49:J49)</f>
        <v>67115</v>
      </c>
      <c r="L49" s="481">
        <v>67807</v>
      </c>
    </row>
    <row r="50" spans="1:14" x14ac:dyDescent="0.2">
      <c r="A50" s="1526" t="s">
        <v>872</v>
      </c>
      <c r="B50" s="615">
        <v>2320</v>
      </c>
      <c r="C50" s="466">
        <f>88118+60124</f>
        <v>148242</v>
      </c>
      <c r="D50" s="466">
        <f>1339+12730+18547</f>
        <v>32616</v>
      </c>
      <c r="E50" s="466">
        <f>1288+1861+636</f>
        <v>3785</v>
      </c>
      <c r="F50" s="466">
        <v>1217</v>
      </c>
      <c r="G50" s="466"/>
      <c r="H50" s="466"/>
      <c r="I50" s="467"/>
      <c r="J50" s="467"/>
      <c r="K50" s="1694">
        <f>SUM(C50:J50)</f>
        <v>185860</v>
      </c>
      <c r="L50" s="466">
        <v>185386</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150190</v>
      </c>
      <c r="D53" s="1692">
        <f t="shared" ref="D53:L53" si="5">SUM(D49:D52)</f>
        <v>32616</v>
      </c>
      <c r="E53" s="1692">
        <f t="shared" si="5"/>
        <v>49523</v>
      </c>
      <c r="F53" s="1692">
        <f t="shared" si="5"/>
        <v>2560</v>
      </c>
      <c r="G53" s="1692">
        <f t="shared" si="5"/>
        <v>2116</v>
      </c>
      <c r="H53" s="1692">
        <f t="shared" si="5"/>
        <v>15970</v>
      </c>
      <c r="I53" s="1692">
        <f t="shared" si="5"/>
        <v>0</v>
      </c>
      <c r="J53" s="1692">
        <f t="shared" si="5"/>
        <v>0</v>
      </c>
      <c r="K53" s="1692">
        <f t="shared" si="5"/>
        <v>252975</v>
      </c>
      <c r="L53" s="1692">
        <f t="shared" si="5"/>
        <v>253193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69110+62525+93284+56787+28249+25870+349</f>
        <v>336174</v>
      </c>
      <c r="D55" s="481">
        <f>4319+26621+28307</f>
        <v>59247</v>
      </c>
      <c r="E55" s="481">
        <f>670+1213+1029+813</f>
        <v>3725</v>
      </c>
      <c r="F55" s="481">
        <f>1608+18+728</f>
        <v>2354</v>
      </c>
      <c r="G55" s="481"/>
      <c r="H55" s="481"/>
      <c r="I55" s="467"/>
      <c r="J55" s="467"/>
      <c r="K55" s="1694">
        <f>SUM(C55:J55)</f>
        <v>401500</v>
      </c>
      <c r="L55" s="481">
        <v>404532</v>
      </c>
    </row>
    <row r="56" spans="1:14" ht="12.75" customHeight="1" x14ac:dyDescent="0.2">
      <c r="A56" s="1530" t="s">
        <v>394</v>
      </c>
      <c r="B56" s="629">
        <v>2490</v>
      </c>
      <c r="C56" s="466"/>
      <c r="D56" s="466"/>
      <c r="E56" s="466">
        <v>6500</v>
      </c>
      <c r="F56" s="466"/>
      <c r="G56" s="466"/>
      <c r="H56" s="466"/>
      <c r="I56" s="467"/>
      <c r="J56" s="467"/>
      <c r="K56" s="1694">
        <f>SUM(C56:J56)</f>
        <v>6500</v>
      </c>
      <c r="L56" s="466">
        <v>6500</v>
      </c>
    </row>
    <row r="57" spans="1:14" s="343" customFormat="1" ht="12.75" customHeight="1" thickBot="1" x14ac:dyDescent="0.25">
      <c r="A57" s="1690" t="s">
        <v>281</v>
      </c>
      <c r="B57" s="1695" t="s">
        <v>34</v>
      </c>
      <c r="C57" s="1696">
        <f>SUM(C55:C56)</f>
        <v>336174</v>
      </c>
      <c r="D57" s="1696">
        <f t="shared" ref="D57:K57" si="6">SUM(D55:D56)</f>
        <v>59247</v>
      </c>
      <c r="E57" s="1696">
        <f t="shared" si="6"/>
        <v>10225</v>
      </c>
      <c r="F57" s="1696">
        <f t="shared" si="6"/>
        <v>2354</v>
      </c>
      <c r="G57" s="1696">
        <f t="shared" si="6"/>
        <v>0</v>
      </c>
      <c r="H57" s="1696">
        <f t="shared" si="6"/>
        <v>0</v>
      </c>
      <c r="I57" s="1696">
        <f t="shared" si="6"/>
        <v>0</v>
      </c>
      <c r="J57" s="1696">
        <f t="shared" si="6"/>
        <v>0</v>
      </c>
      <c r="K57" s="1696">
        <f t="shared" si="6"/>
        <v>408000</v>
      </c>
      <c r="L57" s="1692">
        <f>SUM(L55:L56)</f>
        <v>411032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c r="D60" s="466"/>
      <c r="E60" s="466"/>
      <c r="F60" s="466">
        <f>1699+1872</f>
        <v>3571</v>
      </c>
      <c r="G60" s="466"/>
      <c r="H60" s="466"/>
      <c r="I60" s="467"/>
      <c r="J60" s="467"/>
      <c r="K60" s="1694">
        <f t="shared" si="7"/>
        <v>3571</v>
      </c>
      <c r="L60" s="466">
        <v>3575</v>
      </c>
      <c r="M60" s="610"/>
      <c r="N60" s="610"/>
    </row>
    <row r="61" spans="1:14" s="343" customFormat="1" x14ac:dyDescent="0.2">
      <c r="A61" s="1526" t="s">
        <v>206</v>
      </c>
      <c r="B61" s="615">
        <v>2540</v>
      </c>
      <c r="C61" s="466"/>
      <c r="D61" s="466"/>
      <c r="E61" s="466">
        <f>6949+12367+1680+2919+17493</f>
        <v>41408</v>
      </c>
      <c r="F61" s="466">
        <f>27350+127972</f>
        <v>155322</v>
      </c>
      <c r="G61" s="466"/>
      <c r="H61" s="466"/>
      <c r="I61" s="467"/>
      <c r="J61" s="467"/>
      <c r="K61" s="1694">
        <f t="shared" si="7"/>
        <v>196730</v>
      </c>
      <c r="L61" s="466">
        <v>207100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f>31213+27138+2851</f>
        <v>61202</v>
      </c>
      <c r="D63" s="466">
        <f>2622+5244</f>
        <v>7866</v>
      </c>
      <c r="E63" s="466">
        <f>1159+1794+69+1214+1037</f>
        <v>5273</v>
      </c>
      <c r="F63" s="466">
        <f>68272+36929+291+4781+1028+219+45</f>
        <v>111565</v>
      </c>
      <c r="G63" s="466">
        <v>19176</v>
      </c>
      <c r="H63" s="466">
        <f>570+150</f>
        <v>720</v>
      </c>
      <c r="I63" s="467"/>
      <c r="J63" s="467"/>
      <c r="K63" s="1694">
        <f t="shared" si="7"/>
        <v>205802</v>
      </c>
      <c r="L63" s="466">
        <v>190355</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61202</v>
      </c>
      <c r="D65" s="1692">
        <f t="shared" ref="D65:L65" si="8">SUM(D59:D64)</f>
        <v>7866</v>
      </c>
      <c r="E65" s="1692">
        <f t="shared" si="8"/>
        <v>46681</v>
      </c>
      <c r="F65" s="1692">
        <f t="shared" si="8"/>
        <v>270458</v>
      </c>
      <c r="G65" s="1692">
        <f t="shared" si="8"/>
        <v>19176</v>
      </c>
      <c r="H65" s="1692">
        <f t="shared" si="8"/>
        <v>720</v>
      </c>
      <c r="I65" s="1692">
        <f t="shared" si="8"/>
        <v>0</v>
      </c>
      <c r="J65" s="1692">
        <f t="shared" si="8"/>
        <v>0</v>
      </c>
      <c r="K65" s="1692">
        <f t="shared" si="8"/>
        <v>406103</v>
      </c>
      <c r="L65" s="1692">
        <f t="shared" si="8"/>
        <v>401030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30609</v>
      </c>
      <c r="F73" s="573"/>
      <c r="G73" s="573"/>
      <c r="H73" s="573"/>
      <c r="I73" s="531"/>
      <c r="J73" s="531"/>
      <c r="K73" s="1692">
        <f>SUM(C73:J73)</f>
        <v>30609</v>
      </c>
      <c r="L73" s="576">
        <v>30700</v>
      </c>
      <c r="M73" s="610"/>
      <c r="N73" s="610"/>
    </row>
    <row r="74" spans="1:14" ht="12.75" customHeight="1" thickTop="1" thickBot="1" x14ac:dyDescent="0.25">
      <c r="A74" s="1690" t="s">
        <v>865</v>
      </c>
      <c r="B74" s="1698">
        <v>2000</v>
      </c>
      <c r="C74" s="1699">
        <f>SUM(C42,C47,C53,C57,C65,C72,C73)</f>
        <v>780243</v>
      </c>
      <c r="D74" s="1699">
        <f t="shared" ref="D74:K74" si="10">SUM(D42,D47,D53,D57,D65,D72,D73)</f>
        <v>110145</v>
      </c>
      <c r="E74" s="1699">
        <f t="shared" si="10"/>
        <v>146190</v>
      </c>
      <c r="F74" s="1699">
        <f t="shared" si="10"/>
        <v>358890</v>
      </c>
      <c r="G74" s="1699">
        <f t="shared" si="10"/>
        <v>23763</v>
      </c>
      <c r="H74" s="1699">
        <f t="shared" si="10"/>
        <v>17289</v>
      </c>
      <c r="I74" s="1699">
        <f t="shared" si="10"/>
        <v>0</v>
      </c>
      <c r="J74" s="1699">
        <f t="shared" si="10"/>
        <v>0</v>
      </c>
      <c r="K74" s="1699">
        <f t="shared" si="10"/>
        <v>1436520</v>
      </c>
      <c r="L74" s="1699">
        <f>SUM(L42,L47,L53,L57,L65,L72,L73)</f>
        <v>1446364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c r="F79" s="617"/>
      <c r="G79" s="617"/>
      <c r="H79" s="466"/>
      <c r="I79" s="477"/>
      <c r="J79" s="477"/>
      <c r="K79" s="1693">
        <f t="shared" si="11"/>
        <v>0</v>
      </c>
      <c r="L79" s="466">
        <v>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f>225000+154816</f>
        <v>379816</v>
      </c>
      <c r="I86" s="477"/>
      <c r="J86" s="477"/>
      <c r="K86" s="1699">
        <f t="shared" ref="K86:K98" si="12">H86</f>
        <v>379816</v>
      </c>
      <c r="L86" s="530">
        <v>379817</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379816</v>
      </c>
      <c r="I92" s="477"/>
      <c r="J92" s="477"/>
      <c r="K92" s="1699">
        <f t="shared" si="12"/>
        <v>379816</v>
      </c>
      <c r="L92" s="1692">
        <f>SUM(L85:L91)</f>
        <v>379817</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v>2714</v>
      </c>
      <c r="I94" s="477"/>
      <c r="J94" s="477"/>
      <c r="K94" s="1699">
        <f t="shared" si="12"/>
        <v>2714</v>
      </c>
      <c r="L94" s="530">
        <v>2000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f>42863</f>
        <v>42863</v>
      </c>
      <c r="I96" s="477"/>
      <c r="J96" s="477"/>
      <c r="K96" s="1699">
        <f t="shared" si="12"/>
        <v>42863</v>
      </c>
      <c r="L96" s="530">
        <v>43000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45577</v>
      </c>
      <c r="I100" s="477"/>
      <c r="J100" s="477"/>
      <c r="K100" s="1699">
        <f>SUM(K93:K99)</f>
        <v>45577</v>
      </c>
      <c r="L100" s="1699">
        <f>SUM(L93:L99)</f>
        <v>45000</v>
      </c>
    </row>
    <row r="101" spans="1:14" ht="12.75" customHeight="1" thickTop="1" thickBot="1" x14ac:dyDescent="0.25">
      <c r="A101" s="1532" t="s">
        <v>1569</v>
      </c>
      <c r="B101" s="644" t="s">
        <v>988</v>
      </c>
      <c r="C101" s="617"/>
      <c r="D101" s="617"/>
      <c r="E101" s="531">
        <v>350</v>
      </c>
      <c r="F101" s="617"/>
      <c r="G101" s="617"/>
      <c r="H101" s="531"/>
      <c r="I101" s="477"/>
      <c r="J101" s="477"/>
      <c r="K101" s="1701">
        <f>SUM(C101:J101)</f>
        <v>350</v>
      </c>
      <c r="L101" s="530">
        <v>1850</v>
      </c>
    </row>
    <row r="102" spans="1:14" ht="12.75" customHeight="1" thickTop="1" thickBot="1" x14ac:dyDescent="0.25">
      <c r="A102" s="1690" t="s">
        <v>1567</v>
      </c>
      <c r="B102" s="1700">
        <v>4000</v>
      </c>
      <c r="C102" s="617"/>
      <c r="D102" s="617"/>
      <c r="E102" s="1699">
        <f>SUM(E84,E92,E100,E101)</f>
        <v>350</v>
      </c>
      <c r="F102" s="617"/>
      <c r="G102" s="617"/>
      <c r="H102" s="1699">
        <f>SUM(H84,H92,H100,H101)</f>
        <v>425393</v>
      </c>
      <c r="I102" s="477"/>
      <c r="J102" s="477"/>
      <c r="K102" s="1699">
        <f>SUM(K84,K92,K100,K101)</f>
        <v>425743</v>
      </c>
      <c r="L102" s="1699">
        <f>SUM(L84,L92,L100,L101)</f>
        <v>426667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3728933</v>
      </c>
      <c r="D114" s="1692">
        <f t="shared" ref="D114:K114" si="13">SUM(D33,D74,D75,D102,D112,D113)</f>
        <v>352712</v>
      </c>
      <c r="E114" s="1692">
        <f t="shared" si="13"/>
        <v>236452</v>
      </c>
      <c r="F114" s="1692">
        <f t="shared" si="13"/>
        <v>462127</v>
      </c>
      <c r="G114" s="1692">
        <f t="shared" si="13"/>
        <v>213794</v>
      </c>
      <c r="H114" s="1692">
        <f>SUM(H33,H74,H75,H102,H112,H113)</f>
        <v>457300</v>
      </c>
      <c r="I114" s="1692">
        <f t="shared" si="13"/>
        <v>0</v>
      </c>
      <c r="J114" s="1692">
        <f t="shared" si="13"/>
        <v>0</v>
      </c>
      <c r="K114" s="1692">
        <f t="shared" si="13"/>
        <v>5451318</v>
      </c>
      <c r="L114" s="1692">
        <f>SUM(L33,L74,L75,L102,L112,L113)</f>
        <v>5373306</v>
      </c>
    </row>
    <row r="115" spans="1:14" ht="13.5" thickTop="1" x14ac:dyDescent="0.2">
      <c r="A115" s="2207" t="s">
        <v>1053</v>
      </c>
      <c r="B115" s="2208"/>
      <c r="C115" s="619"/>
      <c r="D115" s="619"/>
      <c r="E115" s="619"/>
      <c r="F115" s="619"/>
      <c r="G115" s="619"/>
      <c r="H115" s="619"/>
      <c r="I115" s="619"/>
      <c r="J115" s="619"/>
      <c r="K115" s="1706">
        <f>'Revenues 9-14'!C275-'Expenditures 15-22'!K114</f>
        <v>140156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70791+61495+767+4831+95986+7187</f>
        <v>241057</v>
      </c>
      <c r="D124" s="466">
        <f>18408+10488</f>
        <v>28896</v>
      </c>
      <c r="E124" s="466">
        <v>24321</v>
      </c>
      <c r="F124" s="466">
        <f>38200+415</f>
        <v>38615</v>
      </c>
      <c r="G124" s="466">
        <f>198650+3360</f>
        <v>202010</v>
      </c>
      <c r="H124" s="466"/>
      <c r="I124" s="467"/>
      <c r="J124" s="467"/>
      <c r="K124" s="1692">
        <f>SUM(C124:J124)</f>
        <v>534899</v>
      </c>
      <c r="L124" s="466">
        <v>539380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241057</v>
      </c>
      <c r="D127" s="1692">
        <f t="shared" ref="D127:L127" si="14">SUM(D122:D126)</f>
        <v>28896</v>
      </c>
      <c r="E127" s="1692">
        <f t="shared" si="14"/>
        <v>24321</v>
      </c>
      <c r="F127" s="1692">
        <f t="shared" si="14"/>
        <v>38615</v>
      </c>
      <c r="G127" s="1692">
        <f t="shared" si="14"/>
        <v>202010</v>
      </c>
      <c r="H127" s="1692">
        <f t="shared" si="14"/>
        <v>0</v>
      </c>
      <c r="I127" s="1692">
        <f t="shared" si="14"/>
        <v>0</v>
      </c>
      <c r="J127" s="1692">
        <f t="shared" si="14"/>
        <v>0</v>
      </c>
      <c r="K127" s="1692">
        <f t="shared" si="14"/>
        <v>534899</v>
      </c>
      <c r="L127" s="1692">
        <f t="shared" si="14"/>
        <v>539380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241057</v>
      </c>
      <c r="D129" s="1699">
        <f t="shared" ref="D129:L129" si="15">SUM(D120,D127,D128)</f>
        <v>28896</v>
      </c>
      <c r="E129" s="1699">
        <f t="shared" si="15"/>
        <v>24321</v>
      </c>
      <c r="F129" s="1699">
        <f t="shared" si="15"/>
        <v>38615</v>
      </c>
      <c r="G129" s="1699">
        <f t="shared" si="15"/>
        <v>202010</v>
      </c>
      <c r="H129" s="1699">
        <f t="shared" si="15"/>
        <v>0</v>
      </c>
      <c r="I129" s="1699">
        <f t="shared" si="15"/>
        <v>0</v>
      </c>
      <c r="J129" s="1699">
        <f t="shared" si="15"/>
        <v>0</v>
      </c>
      <c r="K129" s="1699">
        <f t="shared" si="15"/>
        <v>534899</v>
      </c>
      <c r="L129" s="1699">
        <f t="shared" si="15"/>
        <v>539380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7" t="s">
        <v>641</v>
      </c>
      <c r="B151" s="2179"/>
      <c r="C151" s="1692">
        <f>SUM(C129,C130,C139,C149,C150)</f>
        <v>241057</v>
      </c>
      <c r="D151" s="1692">
        <f t="shared" ref="D151:K151" si="16">SUM(D129,D130,D139,D149,D150)</f>
        <v>28896</v>
      </c>
      <c r="E151" s="1692">
        <f t="shared" si="16"/>
        <v>24321</v>
      </c>
      <c r="F151" s="1692">
        <f t="shared" si="16"/>
        <v>38615</v>
      </c>
      <c r="G151" s="1692">
        <f t="shared" si="16"/>
        <v>202010</v>
      </c>
      <c r="H151" s="1692">
        <f t="shared" si="16"/>
        <v>0</v>
      </c>
      <c r="I151" s="1692">
        <f t="shared" si="16"/>
        <v>0</v>
      </c>
      <c r="J151" s="1692">
        <f t="shared" si="16"/>
        <v>0</v>
      </c>
      <c r="K151" s="1692">
        <f t="shared" si="16"/>
        <v>534899</v>
      </c>
      <c r="L151" s="1692">
        <f>SUM(L129,L130,L139,L149,L150)</f>
        <v>539380</v>
      </c>
    </row>
    <row r="152" spans="1:14" ht="12.75" customHeight="1" thickTop="1" x14ac:dyDescent="0.2">
      <c r="A152" s="2200" t="s">
        <v>1240</v>
      </c>
      <c r="B152" s="2201"/>
      <c r="C152" s="619"/>
      <c r="D152" s="619"/>
      <c r="E152" s="619"/>
      <c r="F152" s="619"/>
      <c r="G152" s="619"/>
      <c r="H152" s="619"/>
      <c r="I152" s="619"/>
      <c r="J152" s="617"/>
      <c r="K152" s="1706">
        <f>'Revenues 9-14'!D275-'Expenditures 15-22'!K151</f>
        <v>-127748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218388+1806+131245+500+500+500</f>
        <v>352939</v>
      </c>
      <c r="I169" s="617"/>
      <c r="J169" s="617"/>
      <c r="K169" s="1693">
        <f>SUM(C169:H169)</f>
        <v>352939</v>
      </c>
      <c r="L169" s="657">
        <v>352940</v>
      </c>
    </row>
    <row r="170" spans="1:14" ht="33.75" customHeight="1" x14ac:dyDescent="0.2">
      <c r="A170" s="670" t="s">
        <v>1769</v>
      </c>
      <c r="B170" s="672" t="s">
        <v>31</v>
      </c>
      <c r="C170" s="617"/>
      <c r="D170" s="617"/>
      <c r="E170" s="617"/>
      <c r="F170" s="617"/>
      <c r="G170" s="617"/>
      <c r="H170" s="569">
        <f>85000+90000</f>
        <v>175000</v>
      </c>
      <c r="I170" s="617"/>
      <c r="J170" s="617"/>
      <c r="K170" s="1693">
        <f>SUM(C170:J170)</f>
        <v>175000</v>
      </c>
      <c r="L170" s="569">
        <v>175000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527939</v>
      </c>
      <c r="I172" s="639"/>
      <c r="J172" s="617"/>
      <c r="K172" s="1699">
        <f>SUM(K168,K169,K170,K171)</f>
        <v>527939</v>
      </c>
      <c r="L172" s="1699">
        <f>SUM(L168,L169,L170,L171)</f>
        <v>527940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527939</v>
      </c>
      <c r="I174" s="639"/>
      <c r="J174" s="617"/>
      <c r="K174" s="1699">
        <f>SUM(K160,K172,K173)</f>
        <v>527939</v>
      </c>
      <c r="L174" s="1699">
        <f>SUM(L160,L172,L173)</f>
        <v>527940</v>
      </c>
    </row>
    <row r="175" spans="1:14" ht="13.5" thickTop="1" x14ac:dyDescent="0.2">
      <c r="A175" s="2207" t="s">
        <v>1053</v>
      </c>
      <c r="B175" s="2208"/>
      <c r="C175" s="617"/>
      <c r="D175" s="617"/>
      <c r="E175" s="617"/>
      <c r="F175" s="617"/>
      <c r="G175" s="617"/>
      <c r="H175" s="619"/>
      <c r="I175" s="617"/>
      <c r="J175" s="617"/>
      <c r="K175" s="1706">
        <f>'Revenues 9-14'!E275-'Expenditures 15-22'!K174</f>
        <v>2481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235482</v>
      </c>
      <c r="D182" s="466">
        <v>25371</v>
      </c>
      <c r="E182" s="466">
        <v>31686</v>
      </c>
      <c r="F182" s="466">
        <v>66423</v>
      </c>
      <c r="G182" s="466"/>
      <c r="H182" s="466"/>
      <c r="I182" s="467"/>
      <c r="J182" s="467"/>
      <c r="K182" s="1693">
        <f>SUM(C182:J182)</f>
        <v>358962</v>
      </c>
      <c r="L182" s="466">
        <v>367945</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235482</v>
      </c>
      <c r="D184" s="1699">
        <f t="shared" ref="D184:J184" si="17">SUM(D180,D182,D183)</f>
        <v>25371</v>
      </c>
      <c r="E184" s="1699">
        <f t="shared" si="17"/>
        <v>31686</v>
      </c>
      <c r="F184" s="1699">
        <f t="shared" si="17"/>
        <v>66423</v>
      </c>
      <c r="G184" s="1699">
        <f t="shared" si="17"/>
        <v>0</v>
      </c>
      <c r="H184" s="1699">
        <f t="shared" si="17"/>
        <v>0</v>
      </c>
      <c r="I184" s="1699">
        <f t="shared" si="17"/>
        <v>0</v>
      </c>
      <c r="J184" s="1699">
        <f t="shared" si="17"/>
        <v>0</v>
      </c>
      <c r="K184" s="1699">
        <f>SUM(K180,K182,K183)</f>
        <v>358962</v>
      </c>
      <c r="L184" s="1699">
        <f>SUM(L180, L182:L183)</f>
        <v>367945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235482</v>
      </c>
      <c r="D210" s="1692">
        <f>SUM(D184,D185)</f>
        <v>25371</v>
      </c>
      <c r="E210" s="1692">
        <f>SUM(E184,E185,E196)</f>
        <v>31686</v>
      </c>
      <c r="F210" s="1692">
        <f>SUM(F184,F185)</f>
        <v>66423</v>
      </c>
      <c r="G210" s="1692">
        <f>SUM(G184,G185)</f>
        <v>0</v>
      </c>
      <c r="H210" s="1692">
        <f>SUM(H184,H185,H196,H208,H209)</f>
        <v>0</v>
      </c>
      <c r="I210" s="1692">
        <f>SUM(I184,I185)</f>
        <v>0</v>
      </c>
      <c r="J210" s="1692">
        <f>SUM(J184,J185)</f>
        <v>0</v>
      </c>
      <c r="K210" s="1693">
        <f>SUM(K184,K185,K196,K208,K209)</f>
        <v>358962</v>
      </c>
      <c r="L210" s="1692">
        <f>SUM(L184,L185,L196,L208,L209)</f>
        <v>367945</v>
      </c>
    </row>
    <row r="211" spans="1:14" ht="13.5" thickTop="1" x14ac:dyDescent="0.2">
      <c r="A211" s="2207" t="s">
        <v>1053</v>
      </c>
      <c r="B211" s="2208"/>
      <c r="C211" s="619"/>
      <c r="D211" s="619"/>
      <c r="E211" s="619"/>
      <c r="F211" s="619"/>
      <c r="G211" s="619"/>
      <c r="H211" s="619"/>
      <c r="I211" s="617"/>
      <c r="J211" s="617"/>
      <c r="K211" s="1706">
        <f>'Revenues 9-14'!F275-'Expenditures 15-22'!K210</f>
        <v>142285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29873</v>
      </c>
      <c r="E215" s="617"/>
      <c r="F215" s="617"/>
      <c r="G215" s="617"/>
      <c r="H215" s="617"/>
      <c r="I215" s="617"/>
      <c r="J215" s="617"/>
      <c r="K215" s="1693">
        <f>D215</f>
        <v>29873</v>
      </c>
      <c r="L215" s="466">
        <v>30932</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20371</v>
      </c>
      <c r="E217" s="617"/>
      <c r="F217" s="617"/>
      <c r="G217" s="617"/>
      <c r="H217" s="617"/>
      <c r="I217" s="617"/>
      <c r="J217" s="617"/>
      <c r="K217" s="1693">
        <f t="shared" si="19"/>
        <v>20371</v>
      </c>
      <c r="L217" s="466">
        <v>20925</v>
      </c>
    </row>
    <row r="218" spans="1:14" x14ac:dyDescent="0.2">
      <c r="A218" s="1526" t="s">
        <v>296</v>
      </c>
      <c r="B218" s="615" t="s">
        <v>1025</v>
      </c>
      <c r="C218" s="617"/>
      <c r="D218" s="467">
        <v>1122</v>
      </c>
      <c r="E218" s="617"/>
      <c r="F218" s="617"/>
      <c r="G218" s="617"/>
      <c r="H218" s="617"/>
      <c r="I218" s="617"/>
      <c r="J218" s="617"/>
      <c r="K218" s="1693">
        <f t="shared" si="19"/>
        <v>1122</v>
      </c>
      <c r="L218" s="466">
        <v>1133</v>
      </c>
    </row>
    <row r="219" spans="1:14" x14ac:dyDescent="0.2">
      <c r="A219" s="1526" t="s">
        <v>297</v>
      </c>
      <c r="B219" s="615">
        <v>1250</v>
      </c>
      <c r="C219" s="617"/>
      <c r="D219" s="466">
        <v>1323</v>
      </c>
      <c r="E219" s="617"/>
      <c r="F219" s="617"/>
      <c r="G219" s="617"/>
      <c r="H219" s="617"/>
      <c r="I219" s="617"/>
      <c r="J219" s="617"/>
      <c r="K219" s="1693">
        <f t="shared" si="19"/>
        <v>1323</v>
      </c>
      <c r="L219" s="466">
        <v>1354</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2293</v>
      </c>
      <c r="E222" s="617"/>
      <c r="F222" s="617"/>
      <c r="G222" s="617"/>
      <c r="H222" s="617"/>
      <c r="I222" s="617"/>
      <c r="J222" s="617"/>
      <c r="K222" s="1693">
        <f t="shared" si="19"/>
        <v>2293</v>
      </c>
      <c r="L222" s="466">
        <v>2350</v>
      </c>
    </row>
    <row r="223" spans="1:14" x14ac:dyDescent="0.2">
      <c r="A223" s="1526" t="s">
        <v>1020</v>
      </c>
      <c r="B223" s="615">
        <v>1500</v>
      </c>
      <c r="C223" s="617"/>
      <c r="D223" s="466">
        <v>4192</v>
      </c>
      <c r="E223" s="617"/>
      <c r="F223" s="617"/>
      <c r="G223" s="617"/>
      <c r="H223" s="617"/>
      <c r="I223" s="617"/>
      <c r="J223" s="617"/>
      <c r="K223" s="1693">
        <f t="shared" si="19"/>
        <v>4192</v>
      </c>
      <c r="L223" s="466">
        <v>4265</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390</v>
      </c>
      <c r="E226" s="617"/>
      <c r="F226" s="617"/>
      <c r="G226" s="617"/>
      <c r="H226" s="617"/>
      <c r="I226" s="617"/>
      <c r="J226" s="617"/>
      <c r="K226" s="1693">
        <f t="shared" si="19"/>
        <v>390</v>
      </c>
      <c r="L226" s="466">
        <v>400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59564</v>
      </c>
      <c r="E229" s="617"/>
      <c r="F229" s="617"/>
      <c r="G229" s="617"/>
      <c r="H229" s="617"/>
      <c r="I229" s="617"/>
      <c r="J229" s="617"/>
      <c r="K229" s="1692">
        <f>SUM(K215:K228)</f>
        <v>59564</v>
      </c>
      <c r="L229" s="1692">
        <f>SUM(L215:L228)</f>
        <v>61359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590</v>
      </c>
      <c r="E232" s="617"/>
      <c r="F232" s="617"/>
      <c r="G232" s="617"/>
      <c r="H232" s="617"/>
      <c r="I232" s="617"/>
      <c r="J232" s="617"/>
      <c r="K232" s="1693">
        <f t="shared" ref="K232:K237" si="20">D232</f>
        <v>590</v>
      </c>
      <c r="L232" s="466">
        <v>600</v>
      </c>
    </row>
    <row r="233" spans="1:12" x14ac:dyDescent="0.2">
      <c r="A233" s="1526" t="s">
        <v>1151</v>
      </c>
      <c r="B233" s="615">
        <v>2120</v>
      </c>
      <c r="C233" s="617"/>
      <c r="D233" s="466">
        <f>598+34</f>
        <v>632</v>
      </c>
      <c r="E233" s="617"/>
      <c r="F233" s="617"/>
      <c r="G233" s="617"/>
      <c r="H233" s="617"/>
      <c r="I233" s="617"/>
      <c r="J233" s="617"/>
      <c r="K233" s="1693">
        <f t="shared" si="20"/>
        <v>632</v>
      </c>
      <c r="L233" s="466">
        <v>550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v>600</v>
      </c>
      <c r="E235" s="617"/>
      <c r="F235" s="617"/>
      <c r="G235" s="617"/>
      <c r="H235" s="617"/>
      <c r="I235" s="617"/>
      <c r="J235" s="617"/>
      <c r="K235" s="1693">
        <f t="shared" si="20"/>
        <v>600</v>
      </c>
      <c r="L235" s="466">
        <v>600</v>
      </c>
    </row>
    <row r="236" spans="1:12" x14ac:dyDescent="0.2">
      <c r="A236" s="1526" t="s">
        <v>209</v>
      </c>
      <c r="B236" s="615">
        <v>2150</v>
      </c>
      <c r="C236" s="617"/>
      <c r="D236" s="466">
        <f>758</f>
        <v>758</v>
      </c>
      <c r="E236" s="617"/>
      <c r="F236" s="617"/>
      <c r="G236" s="617"/>
      <c r="H236" s="617"/>
      <c r="I236" s="617"/>
      <c r="J236" s="617"/>
      <c r="K236" s="1693">
        <f t="shared" si="20"/>
        <v>758</v>
      </c>
      <c r="L236" s="466">
        <v>775</v>
      </c>
    </row>
    <row r="237" spans="1:12" x14ac:dyDescent="0.2">
      <c r="A237" s="1526" t="s">
        <v>167</v>
      </c>
      <c r="B237" s="615">
        <v>2190</v>
      </c>
      <c r="C237" s="617"/>
      <c r="D237" s="466">
        <v>385</v>
      </c>
      <c r="E237" s="617"/>
      <c r="F237" s="617"/>
      <c r="G237" s="617"/>
      <c r="H237" s="617"/>
      <c r="I237" s="617"/>
      <c r="J237" s="617"/>
      <c r="K237" s="1693">
        <f t="shared" si="20"/>
        <v>385</v>
      </c>
      <c r="L237" s="466">
        <v>250</v>
      </c>
    </row>
    <row r="238" spans="1:12" ht="12.75" customHeight="1" thickBot="1" x14ac:dyDescent="0.25">
      <c r="A238" s="1690" t="s">
        <v>581</v>
      </c>
      <c r="B238" s="1697" t="s">
        <v>740</v>
      </c>
      <c r="C238" s="617"/>
      <c r="D238" s="1692">
        <f>SUM(D232:D237)</f>
        <v>2965</v>
      </c>
      <c r="E238" s="617"/>
      <c r="F238" s="617"/>
      <c r="G238" s="617"/>
      <c r="H238" s="617"/>
      <c r="I238" s="617"/>
      <c r="J238" s="617"/>
      <c r="K238" s="1692">
        <f>SUM(K232:K237)</f>
        <v>2965</v>
      </c>
      <c r="L238" s="1692">
        <f>SUM(L232:L237)</f>
        <v>2775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216+64</f>
        <v>280</v>
      </c>
      <c r="E240" s="617"/>
      <c r="F240" s="617"/>
      <c r="G240" s="617"/>
      <c r="H240" s="617"/>
      <c r="I240" s="617"/>
      <c r="J240" s="617"/>
      <c r="K240" s="1694">
        <f>D240</f>
        <v>280</v>
      </c>
      <c r="L240" s="481">
        <v>315</v>
      </c>
    </row>
    <row r="241" spans="1:12" x14ac:dyDescent="0.2">
      <c r="A241" s="1526" t="s">
        <v>869</v>
      </c>
      <c r="B241" s="615">
        <v>2220</v>
      </c>
      <c r="C241" s="617"/>
      <c r="D241" s="466">
        <f>281</f>
        <v>281</v>
      </c>
      <c r="E241" s="617"/>
      <c r="F241" s="617"/>
      <c r="G241" s="617"/>
      <c r="H241" s="617"/>
      <c r="I241" s="617"/>
      <c r="J241" s="617"/>
      <c r="K241" s="1694">
        <f>D241</f>
        <v>281</v>
      </c>
      <c r="L241" s="466">
        <v>300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561</v>
      </c>
      <c r="E243" s="617"/>
      <c r="F243" s="617"/>
      <c r="G243" s="617"/>
      <c r="H243" s="617"/>
      <c r="I243" s="617"/>
      <c r="J243" s="617"/>
      <c r="K243" s="1692">
        <f>SUM(K240:K242)</f>
        <v>561</v>
      </c>
      <c r="L243" s="1692">
        <f>SUM(L240:L242)</f>
        <v>615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121+28</f>
        <v>149</v>
      </c>
      <c r="E245" s="617"/>
      <c r="F245" s="617"/>
      <c r="G245" s="617"/>
      <c r="H245" s="617"/>
      <c r="I245" s="617"/>
      <c r="J245" s="617"/>
      <c r="K245" s="1694">
        <f>D245</f>
        <v>149</v>
      </c>
      <c r="L245" s="481">
        <v>151</v>
      </c>
    </row>
    <row r="246" spans="1:12" x14ac:dyDescent="0.2">
      <c r="A246" s="1526" t="s">
        <v>872</v>
      </c>
      <c r="B246" s="615">
        <v>2320</v>
      </c>
      <c r="C246" s="617"/>
      <c r="D246" s="466">
        <v>15324</v>
      </c>
      <c r="E246" s="617"/>
      <c r="F246" s="617"/>
      <c r="G246" s="617"/>
      <c r="H246" s="617"/>
      <c r="I246" s="617"/>
      <c r="J246" s="617"/>
      <c r="K246" s="1694">
        <f t="shared" ref="K246:K256" si="21">D246</f>
        <v>15324</v>
      </c>
      <c r="L246" s="466">
        <v>16550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v>8645</v>
      </c>
      <c r="E252" s="617"/>
      <c r="F252" s="617"/>
      <c r="G252" s="617"/>
      <c r="H252" s="617"/>
      <c r="I252" s="617"/>
      <c r="J252" s="617"/>
      <c r="K252" s="1694">
        <f t="shared" si="21"/>
        <v>8645</v>
      </c>
      <c r="L252" s="466">
        <v>9125</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24118</v>
      </c>
      <c r="E257" s="617"/>
      <c r="F257" s="617"/>
      <c r="G257" s="617"/>
      <c r="H257" s="617"/>
      <c r="I257" s="617"/>
      <c r="J257" s="617"/>
      <c r="K257" s="1692">
        <f>SUM(K245:K256)</f>
        <v>24118</v>
      </c>
      <c r="L257" s="1692">
        <f>SUM(L245:L256)</f>
        <v>25826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13708</v>
      </c>
      <c r="E259" s="617"/>
      <c r="F259" s="617"/>
      <c r="G259" s="617"/>
      <c r="H259" s="617"/>
      <c r="I259" s="617"/>
      <c r="J259" s="617"/>
      <c r="K259" s="1694">
        <f>D259</f>
        <v>13708</v>
      </c>
      <c r="L259" s="481">
        <v>14700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13708</v>
      </c>
      <c r="E261" s="617"/>
      <c r="F261" s="617"/>
      <c r="G261" s="617"/>
      <c r="H261" s="617"/>
      <c r="I261" s="617"/>
      <c r="J261" s="617"/>
      <c r="K261" s="1692">
        <f>SUM(K259:K260)</f>
        <v>13708</v>
      </c>
      <c r="L261" s="1692">
        <f>SUM(L259:L260)</f>
        <v>14700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c r="E264" s="617"/>
      <c r="F264" s="617"/>
      <c r="G264" s="617"/>
      <c r="H264" s="617"/>
      <c r="I264" s="617"/>
      <c r="J264" s="617"/>
      <c r="K264" s="1694">
        <f t="shared" ref="K264:K269" si="22">D264</f>
        <v>0</v>
      </c>
      <c r="L264" s="466">
        <v>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3702+3176+3+300+4051+1735+1419+1+70+1755+11127+7123+104+410+11183</f>
        <v>46159</v>
      </c>
      <c r="E266" s="617"/>
      <c r="F266" s="617"/>
      <c r="G266" s="617"/>
      <c r="H266" s="617"/>
      <c r="I266" s="617"/>
      <c r="J266" s="617"/>
      <c r="K266" s="1694">
        <f t="shared" si="22"/>
        <v>46159</v>
      </c>
      <c r="L266" s="466">
        <v>49100</v>
      </c>
    </row>
    <row r="267" spans="1:14" x14ac:dyDescent="0.2">
      <c r="A267" s="1526" t="s">
        <v>1010</v>
      </c>
      <c r="B267" s="615">
        <v>2550</v>
      </c>
      <c r="C267" s="617"/>
      <c r="D267" s="466">
        <f>8308+567+861+2+468+4218+302+472+17+239+20633+1279+2327+22+1827</f>
        <v>41542</v>
      </c>
      <c r="E267" s="617"/>
      <c r="F267" s="617"/>
      <c r="G267" s="617"/>
      <c r="H267" s="617"/>
      <c r="I267" s="617"/>
      <c r="J267" s="617"/>
      <c r="K267" s="1694">
        <f t="shared" si="22"/>
        <v>41542</v>
      </c>
      <c r="L267" s="466">
        <v>43430</v>
      </c>
    </row>
    <row r="268" spans="1:14" x14ac:dyDescent="0.2">
      <c r="A268" s="1526" t="s">
        <v>102</v>
      </c>
      <c r="B268" s="615">
        <v>2560</v>
      </c>
      <c r="C268" s="617"/>
      <c r="D268" s="466">
        <f>1703+1172+726+594+4317+3110</f>
        <v>11622</v>
      </c>
      <c r="E268" s="617"/>
      <c r="F268" s="617"/>
      <c r="G268" s="617"/>
      <c r="H268" s="617"/>
      <c r="I268" s="617"/>
      <c r="J268" s="617"/>
      <c r="K268" s="1694">
        <f t="shared" si="22"/>
        <v>11622</v>
      </c>
      <c r="L268" s="466">
        <v>12200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99323</v>
      </c>
      <c r="E270" s="617"/>
      <c r="F270" s="617"/>
      <c r="G270" s="617"/>
      <c r="H270" s="617"/>
      <c r="I270" s="617"/>
      <c r="J270" s="617"/>
      <c r="K270" s="1692">
        <f>SUM(K263:K269)</f>
        <v>99323</v>
      </c>
      <c r="L270" s="1692">
        <f>SUM(L263:L269)</f>
        <v>104730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140675</v>
      </c>
      <c r="E279" s="617"/>
      <c r="F279" s="617"/>
      <c r="G279" s="617"/>
      <c r="H279" s="617"/>
      <c r="I279" s="617"/>
      <c r="J279" s="617"/>
      <c r="K279" s="1699">
        <f>SUM(K238,K243,K257,K261,K270,K277,K278)</f>
        <v>140675</v>
      </c>
      <c r="L279" s="1699">
        <f>SUM(L238,L243,L257,L261,L270,L277,L278)</f>
        <v>148646</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8" t="s">
        <v>526</v>
      </c>
      <c r="B295" s="2199"/>
      <c r="C295" s="617"/>
      <c r="D295" s="1692">
        <f>SUM(D229,D279,D280,D285)</f>
        <v>200239</v>
      </c>
      <c r="E295" s="617"/>
      <c r="F295" s="617"/>
      <c r="G295" s="617"/>
      <c r="H295" s="1692">
        <f>H293</f>
        <v>0</v>
      </c>
      <c r="I295" s="617"/>
      <c r="J295" s="617"/>
      <c r="K295" s="1692">
        <f>SUM(K229,K279,K280,K285,K293,K294)</f>
        <v>200239</v>
      </c>
      <c r="L295" s="1692">
        <f>SUM(L229,L279,L280,L285,L293,L294)</f>
        <v>210005</v>
      </c>
    </row>
    <row r="296" spans="1:14" ht="13.5" thickTop="1" x14ac:dyDescent="0.2">
      <c r="A296" s="2207" t="s">
        <v>1053</v>
      </c>
      <c r="B296" s="2208"/>
      <c r="C296" s="617"/>
      <c r="D296" s="619"/>
      <c r="E296" s="617"/>
      <c r="F296" s="617"/>
      <c r="G296" s="617"/>
      <c r="H296" s="688"/>
      <c r="I296" s="617"/>
      <c r="J296" s="617"/>
      <c r="K296" s="1706">
        <f>'Revenues 9-14'!G275-'Expenditures 15-22'!K295</f>
        <v>-18057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96204</v>
      </c>
      <c r="F320" s="467"/>
      <c r="G320" s="467"/>
      <c r="H320" s="467"/>
      <c r="I320" s="467"/>
      <c r="J320" s="467"/>
      <c r="K320" s="1693">
        <f t="shared" ref="K320:K327" si="24">SUM(C320:J320)</f>
        <v>96204</v>
      </c>
      <c r="L320" s="467">
        <v>97000</v>
      </c>
      <c r="M320" s="666"/>
      <c r="N320" s="666"/>
    </row>
    <row r="321" spans="1:14" s="675" customFormat="1" x14ac:dyDescent="0.2">
      <c r="A321" s="1541" t="s">
        <v>318</v>
      </c>
      <c r="B321" s="698" t="s">
        <v>301</v>
      </c>
      <c r="C321" s="467"/>
      <c r="D321" s="467">
        <f>2519+1549+87+91+66+84+83+41+311+818+88+107+15+252+548+497+322+719+1073+436</f>
        <v>9706</v>
      </c>
      <c r="E321" s="467"/>
      <c r="F321" s="467"/>
      <c r="G321" s="467"/>
      <c r="H321" s="467"/>
      <c r="I321" s="467"/>
      <c r="J321" s="467"/>
      <c r="K321" s="1693">
        <f t="shared" si="24"/>
        <v>9706</v>
      </c>
      <c r="L321" s="467">
        <v>9732</v>
      </c>
      <c r="M321" s="666"/>
      <c r="N321" s="666"/>
    </row>
    <row r="322" spans="1:14" s="675" customFormat="1" x14ac:dyDescent="0.2">
      <c r="A322" s="1541" t="s">
        <v>256</v>
      </c>
      <c r="B322" s="698" t="s">
        <v>302</v>
      </c>
      <c r="C322" s="467"/>
      <c r="D322" s="467"/>
      <c r="E322" s="467">
        <f>42455+21640</f>
        <v>64095</v>
      </c>
      <c r="F322" s="467"/>
      <c r="G322" s="467"/>
      <c r="H322" s="467"/>
      <c r="I322" s="467"/>
      <c r="J322" s="467"/>
      <c r="K322" s="1693">
        <f t="shared" si="24"/>
        <v>64095</v>
      </c>
      <c r="L322" s="467">
        <v>64095</v>
      </c>
      <c r="M322" s="666"/>
      <c r="N322" s="666"/>
    </row>
    <row r="323" spans="1:14" s="675" customFormat="1" x14ac:dyDescent="0.2">
      <c r="A323" s="1541" t="s">
        <v>726</v>
      </c>
      <c r="B323" s="698" t="s">
        <v>303</v>
      </c>
      <c r="C323" s="467">
        <f>42447+33626+9887</f>
        <v>85960</v>
      </c>
      <c r="D323" s="467"/>
      <c r="E323" s="467">
        <f>1436+6330+4960</f>
        <v>12726</v>
      </c>
      <c r="F323" s="467"/>
      <c r="G323" s="467"/>
      <c r="H323" s="467"/>
      <c r="I323" s="467"/>
      <c r="J323" s="467"/>
      <c r="K323" s="1693">
        <f t="shared" si="24"/>
        <v>98686</v>
      </c>
      <c r="L323" s="467">
        <v>98890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v>17444</v>
      </c>
      <c r="F325" s="467"/>
      <c r="G325" s="467"/>
      <c r="H325" s="467"/>
      <c r="I325" s="467"/>
      <c r="J325" s="467"/>
      <c r="K325" s="1693">
        <f t="shared" si="24"/>
        <v>17444</v>
      </c>
      <c r="L325" s="467">
        <v>35000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11343</v>
      </c>
      <c r="F327" s="467"/>
      <c r="G327" s="467"/>
      <c r="H327" s="467"/>
      <c r="I327" s="467"/>
      <c r="J327" s="467"/>
      <c r="K327" s="1693">
        <f t="shared" si="24"/>
        <v>11343</v>
      </c>
      <c r="L327" s="467">
        <v>15000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v>16950</v>
      </c>
      <c r="F329" s="474"/>
      <c r="G329" s="474"/>
      <c r="H329" s="474"/>
      <c r="I329" s="474"/>
      <c r="J329" s="474"/>
      <c r="K329" s="1721">
        <f>SUM(C329:J329)</f>
        <v>16950</v>
      </c>
      <c r="L329" s="474">
        <v>16950</v>
      </c>
      <c r="M329" s="666"/>
      <c r="N329" s="666"/>
    </row>
    <row r="330" spans="1:14" s="675" customFormat="1" ht="12.75" customHeight="1" thickBot="1" x14ac:dyDescent="0.25">
      <c r="A330" s="1722" t="s">
        <v>741</v>
      </c>
      <c r="B330" s="1691" t="s">
        <v>590</v>
      </c>
      <c r="C330" s="1692">
        <f>SUM(C319:C329)</f>
        <v>85960</v>
      </c>
      <c r="D330" s="1692">
        <f t="shared" ref="D330:J330" si="25">SUM(D319:D329)</f>
        <v>9706</v>
      </c>
      <c r="E330" s="1692">
        <f t="shared" si="25"/>
        <v>218762</v>
      </c>
      <c r="F330" s="1692">
        <f t="shared" si="25"/>
        <v>0</v>
      </c>
      <c r="G330" s="1692">
        <f t="shared" si="25"/>
        <v>0</v>
      </c>
      <c r="H330" s="1692">
        <f t="shared" si="25"/>
        <v>0</v>
      </c>
      <c r="I330" s="1692">
        <f t="shared" si="25"/>
        <v>0</v>
      </c>
      <c r="J330" s="1692">
        <f t="shared" si="25"/>
        <v>0</v>
      </c>
      <c r="K330" s="1692">
        <f>SUM(K319:K329)</f>
        <v>314428</v>
      </c>
      <c r="L330" s="1692">
        <f>SUM(L319:L329)</f>
        <v>336667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85960</v>
      </c>
      <c r="D342" s="1692">
        <f>SUM(D330)</f>
        <v>9706</v>
      </c>
      <c r="E342" s="1692">
        <f>SUM(E330)</f>
        <v>218762</v>
      </c>
      <c r="F342" s="1692">
        <f>SUM(F330)</f>
        <v>0</v>
      </c>
      <c r="G342" s="1692">
        <f>SUM(G330)</f>
        <v>0</v>
      </c>
      <c r="H342" s="1692">
        <f>SUM(H330,H334,H340)</f>
        <v>0</v>
      </c>
      <c r="I342" s="1692">
        <f>SUM(I330)</f>
        <v>0</v>
      </c>
      <c r="J342" s="1692">
        <f>SUM(J330)</f>
        <v>0</v>
      </c>
      <c r="K342" s="1692">
        <f>SUM(K330,K334,K340)</f>
        <v>314428</v>
      </c>
      <c r="L342" s="1699">
        <f>SUM(L330,L340,L341)</f>
        <v>336667</v>
      </c>
    </row>
    <row r="343" spans="1:14" ht="12.75" customHeight="1" thickTop="1" x14ac:dyDescent="0.2">
      <c r="A343" s="2193" t="s">
        <v>1053</v>
      </c>
      <c r="B343" s="2194"/>
      <c r="C343" s="617"/>
      <c r="D343" s="617"/>
      <c r="E343" s="617"/>
      <c r="F343" s="617"/>
      <c r="G343" s="617"/>
      <c r="H343" s="617"/>
      <c r="I343" s="617"/>
      <c r="J343" s="617"/>
      <c r="K343" s="1706">
        <f>'Revenues 9-14'!J275-'Expenditures 15-22'!K342</f>
        <v>46517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33297</v>
      </c>
      <c r="H348" s="466">
        <v>79701</v>
      </c>
      <c r="I348" s="467"/>
      <c r="J348" s="467"/>
      <c r="K348" s="1693">
        <f>SUM(C348:J348)</f>
        <v>112998</v>
      </c>
      <c r="L348" s="466">
        <v>97504</v>
      </c>
    </row>
    <row r="349" spans="1:14" x14ac:dyDescent="0.2">
      <c r="A349" s="1526" t="s">
        <v>206</v>
      </c>
      <c r="B349" s="615">
        <v>2540</v>
      </c>
      <c r="C349" s="466"/>
      <c r="D349" s="466"/>
      <c r="E349" s="466"/>
      <c r="F349" s="466">
        <v>64</v>
      </c>
      <c r="G349" s="466"/>
      <c r="H349" s="466"/>
      <c r="I349" s="467"/>
      <c r="J349" s="467"/>
      <c r="K349" s="1693">
        <f>SUM(C349:J349)</f>
        <v>64</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64</v>
      </c>
      <c r="G350" s="1692">
        <f t="shared" si="26"/>
        <v>33297</v>
      </c>
      <c r="H350" s="1692">
        <f t="shared" si="26"/>
        <v>79701</v>
      </c>
      <c r="I350" s="1692">
        <f t="shared" si="26"/>
        <v>0</v>
      </c>
      <c r="J350" s="1692">
        <f t="shared" si="26"/>
        <v>0</v>
      </c>
      <c r="K350" s="1692">
        <f t="shared" si="26"/>
        <v>113062</v>
      </c>
      <c r="L350" s="1692">
        <f t="shared" si="26"/>
        <v>97504</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64</v>
      </c>
      <c r="G352" s="1692">
        <f t="shared" si="27"/>
        <v>33297</v>
      </c>
      <c r="H352" s="1692">
        <f t="shared" si="27"/>
        <v>79701</v>
      </c>
      <c r="I352" s="1692">
        <f t="shared" si="27"/>
        <v>0</v>
      </c>
      <c r="J352" s="1692">
        <f t="shared" si="27"/>
        <v>0</v>
      </c>
      <c r="K352" s="1692">
        <f t="shared" si="27"/>
        <v>113062</v>
      </c>
      <c r="L352" s="1692">
        <f t="shared" si="27"/>
        <v>97504</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64</v>
      </c>
      <c r="G367" s="1692">
        <f t="shared" si="28"/>
        <v>33297</v>
      </c>
      <c r="H367" s="1692">
        <f t="shared" si="28"/>
        <v>79701</v>
      </c>
      <c r="I367" s="1692">
        <f t="shared" si="28"/>
        <v>0</v>
      </c>
      <c r="J367" s="1692">
        <f t="shared" si="28"/>
        <v>0</v>
      </c>
      <c r="K367" s="1692">
        <f t="shared" si="28"/>
        <v>113062</v>
      </c>
      <c r="L367" s="1692">
        <f t="shared" si="28"/>
        <v>97504</v>
      </c>
    </row>
    <row r="368" spans="1:14" ht="13.5" thickTop="1" x14ac:dyDescent="0.2">
      <c r="A368" s="2207" t="s">
        <v>1053</v>
      </c>
      <c r="B368" s="2208"/>
      <c r="C368" s="655"/>
      <c r="D368" s="655"/>
      <c r="E368" s="627"/>
      <c r="F368" s="627"/>
      <c r="G368" s="627"/>
      <c r="H368" s="627"/>
      <c r="I368" s="627"/>
      <c r="J368" s="624"/>
      <c r="K368" s="1693">
        <f>'Revenues 9-14'!K275-'Expenditures 15-22'!K367</f>
        <v>-76822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4d435f69-8686-490b-bd6d-b153bf22ab50"/>
    <ds:schemaRef ds:uri="http://schemas.microsoft.com/office/2006/documentManagement/types"/>
    <ds:schemaRef ds:uri="http://purl.org/dc/elements/1.1/"/>
    <ds:schemaRef ds:uri="http://schemas.microsoft.com/sharepoint/v3"/>
    <ds:schemaRef ds:uri="6ce3111e-7420-4802-b50a-75d4e9a0b980"/>
    <ds:schemaRef ds:uri="http://purl.org/dc/terms/"/>
    <ds:schemaRef ds:uri="http://purl.org/dc/dcmitype/"/>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2018-10-08T20:20:31Z</cp:lastPrinted>
  <dcterms:created xsi:type="dcterms:W3CDTF">2003-10-29T19:06:34Z</dcterms:created>
  <dcterms:modified xsi:type="dcterms:W3CDTF">2018-11-05T22:02:28Z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a7b528c8-b1b2-49d0-a46f-0e7ec5ed7f2a</vt:lpwstr>
  </property>
</Properties>
</file>