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87" r:id="rId19"/>
    <sheet name="REF 34" sheetId="117" r:id="rId20"/>
    <sheet name="Table of Contents - Excel" sheetId="184" r:id="rId21"/>
    <sheet name="Opinion - PDF" sheetId="129" r:id="rId22"/>
    <sheet name="GAS Report - PDF" sheetId="185" r:id="rId23"/>
    <sheet name="Notes - PDF" sheetId="186" r:id="rId24"/>
    <sheet name="Activity Funds - Excel" sheetId="183" r:id="rId25"/>
    <sheet name="DeficitAFRSum Calc 36" sheetId="146" r:id="rId26"/>
    <sheet name="AUDITCHECK" sheetId="36" r:id="rId27"/>
    <sheet name="AFR18" sheetId="106" state="hidden" r:id="rId28"/>
    <sheet name="Single Audit Cover" sheetId="169" r:id="rId29"/>
    <sheet name="Single Audit Checklist" sheetId="170" r:id="rId30"/>
    <sheet name="SEFA Reconcile" sheetId="171" r:id="rId31"/>
    <sheet name="SEFA NOTES" sheetId="173" r:id="rId32"/>
    <sheet name=" SEFA" sheetId="179" r:id="rId33"/>
    <sheet name="SF&amp;QC Sec-1" sheetId="174" r:id="rId34"/>
    <sheet name="SF&amp;QC Sec-2" sheetId="175" r:id="rId35"/>
    <sheet name="SF&amp;QC Sec-3" sheetId="176" r:id="rId36"/>
    <sheet name="SSPAF" sheetId="177" r:id="rId37"/>
  </sheets>
  <externalReferences>
    <externalReference r:id="rId38"/>
  </externalReferences>
  <definedNames>
    <definedName name="a" localSheetId="24">#REF!</definedName>
    <definedName name="a" localSheetId="22">#REF!</definedName>
    <definedName name="a" localSheetId="23">#REF!</definedName>
    <definedName name="a">#REF!</definedName>
    <definedName name="AFAFDAF" localSheetId="22">#REF!</definedName>
    <definedName name="AFAFDAF" localSheetId="23">#REF!</definedName>
    <definedName name="AFAFDAF">#REF!</definedName>
    <definedName name="AFDASFDAFDAFD" localSheetId="22">#REF!</definedName>
    <definedName name="AFDASFDAFDAFD" localSheetId="23">#REF!</definedName>
    <definedName name="AFDASFDAFDAFD">#REF!</definedName>
    <definedName name="b" localSheetId="22">#REF!</definedName>
    <definedName name="b" localSheetId="23">#REF!</definedName>
    <definedName name="b">#REF!</definedName>
    <definedName name="d" localSheetId="22">#REF!</definedName>
    <definedName name="d" localSheetId="23">#REF!</definedName>
    <definedName name="d">#REF!</definedName>
    <definedName name="dafd" localSheetId="22">#REF!</definedName>
    <definedName name="dafd" localSheetId="23">#REF!</definedName>
    <definedName name="dafd">#REF!</definedName>
    <definedName name="E" localSheetId="22">#REF!</definedName>
    <definedName name="E" localSheetId="23">#REF!</definedName>
    <definedName name="E">#REF!</definedName>
    <definedName name="FDAFDAFD" localSheetId="22">#REF!</definedName>
    <definedName name="FDAFDAFD" localSheetId="23">#REF!</definedName>
    <definedName name="FDAFDAFD">#REF!</definedName>
    <definedName name="_xlnm.Print_Area" localSheetId="32">' SEFA'!$B$1:$M$46</definedName>
    <definedName name="_xlnm.Print_Area" localSheetId="31">'SEFA NOTES'!$A$1:$F$52</definedName>
    <definedName name="_xlnm.Print_Area" localSheetId="30">'SEFA Reconcile'!$A$1:$E$49</definedName>
    <definedName name="_xlnm.Print_Area" localSheetId="33">'SF&amp;QC Sec-1'!$A$1:$J$63</definedName>
    <definedName name="_xlnm.Print_Area" localSheetId="35">'SF&amp;QC Sec-3'!$A$1:$K$52</definedName>
    <definedName name="_xlnm.Print_Area" localSheetId="29">'Single Audit Checklist'!$A$1:$D$124</definedName>
    <definedName name="_xlnm.Print_Area" localSheetId="28">'Single Audit Cover'!$A$1:$L$52</definedName>
    <definedName name="_xlnm.Print_Titles" localSheetId="6">'Acct Summary 7-8'!$A:$B,'Acct Summary 7-8'!$1:$2</definedName>
    <definedName name="_xlnm.Print_Titles" localSheetId="5">'Assets-Liab 5-6'!$A:$B,'Assets-Liab 5-6'!$1:$2</definedName>
    <definedName name="_xlnm.Print_Titles" localSheetId="26">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9">'Single Audit Checklist'!$1:$4</definedName>
    <definedName name="SCHADDRS" localSheetId="32">#REF!</definedName>
    <definedName name="SCHADDRS" localSheetId="17">#REF!</definedName>
    <definedName name="SCHADDRS" localSheetId="24">#REF!</definedName>
    <definedName name="SCHADDRS" localSheetId="25">#REF!</definedName>
    <definedName name="SCHADDRS" localSheetId="4">#REF!</definedName>
    <definedName name="SCHADDRS" localSheetId="22">#REF!</definedName>
    <definedName name="SCHADDRS" localSheetId="23">#REF!</definedName>
    <definedName name="SCHADDRS" localSheetId="31">#REF!</definedName>
    <definedName name="SCHADDRS" localSheetId="30">#REF!</definedName>
    <definedName name="SCHADDRS" localSheetId="33">#REF!</definedName>
    <definedName name="SCHADDRS" localSheetId="34">#REF!</definedName>
    <definedName name="SCHADDRS" localSheetId="35">#REF!</definedName>
    <definedName name="SCHADDRS" localSheetId="29">#REF!</definedName>
    <definedName name="SCHADDRS" localSheetId="28">#REF!</definedName>
    <definedName name="SCHADDRS" localSheetId="36">#REF!</definedName>
    <definedName name="SCHADDRS" localSheetId="20">#REF!</definedName>
    <definedName name="SCHADDRS">#REF!</definedName>
    <definedName name="SCHCTY" localSheetId="32">#REF!</definedName>
    <definedName name="SCHCTY" localSheetId="17">#REF!</definedName>
    <definedName name="SCHCTY" localSheetId="24">#REF!</definedName>
    <definedName name="SCHCTY" localSheetId="25">#REF!</definedName>
    <definedName name="SCHCTY" localSheetId="4">#REF!</definedName>
    <definedName name="SCHCTY" localSheetId="22">#REF!</definedName>
    <definedName name="SCHCTY" localSheetId="23">#REF!</definedName>
    <definedName name="SCHCTY" localSheetId="31">#REF!</definedName>
    <definedName name="SCHCTY" localSheetId="30">#REF!</definedName>
    <definedName name="SCHCTY" localSheetId="33">#REF!</definedName>
    <definedName name="SCHCTY" localSheetId="34">#REF!</definedName>
    <definedName name="SCHCTY" localSheetId="35">#REF!</definedName>
    <definedName name="SCHCTY" localSheetId="29">#REF!</definedName>
    <definedName name="SCHCTY" localSheetId="28">#REF!</definedName>
    <definedName name="SCHCTY" localSheetId="36">#REF!</definedName>
    <definedName name="SCHCTY" localSheetId="20">#REF!</definedName>
    <definedName name="SCHCTY">#REF!</definedName>
    <definedName name="SCHNMBR" localSheetId="32">#REF!</definedName>
    <definedName name="SCHNMBR" localSheetId="17">#REF!</definedName>
    <definedName name="SCHNMBR" localSheetId="24">#REF!</definedName>
    <definedName name="SCHNMBR" localSheetId="25">#REF!</definedName>
    <definedName name="SCHNMBR" localSheetId="4">#REF!</definedName>
    <definedName name="SCHNMBR" localSheetId="22">#REF!</definedName>
    <definedName name="SCHNMBR" localSheetId="23">#REF!</definedName>
    <definedName name="SCHNMBR" localSheetId="31">#REF!</definedName>
    <definedName name="SCHNMBR" localSheetId="30">#REF!</definedName>
    <definedName name="SCHNMBR" localSheetId="33">#REF!</definedName>
    <definedName name="SCHNMBR" localSheetId="34">#REF!</definedName>
    <definedName name="SCHNMBR" localSheetId="35">#REF!</definedName>
    <definedName name="SCHNMBR" localSheetId="29">#REF!</definedName>
    <definedName name="SCHNMBR" localSheetId="28">#REF!</definedName>
    <definedName name="SCHNMBR" localSheetId="36">#REF!</definedName>
    <definedName name="SCHNMBR" localSheetId="20">#REF!</definedName>
    <definedName name="SCHNMBR">#REF!</definedName>
    <definedName name="SCHNME" localSheetId="32">#REF!</definedName>
    <definedName name="SCHNME" localSheetId="17">#REF!</definedName>
    <definedName name="SCHNME" localSheetId="24">#REF!</definedName>
    <definedName name="SCHNME" localSheetId="25">#REF!</definedName>
    <definedName name="SCHNME" localSheetId="4">#REF!</definedName>
    <definedName name="SCHNME" localSheetId="22">#REF!</definedName>
    <definedName name="SCHNME" localSheetId="23">#REF!</definedName>
    <definedName name="SCHNME" localSheetId="31">#REF!</definedName>
    <definedName name="SCHNME" localSheetId="30">#REF!</definedName>
    <definedName name="SCHNME" localSheetId="33">#REF!</definedName>
    <definedName name="SCHNME" localSheetId="34">#REF!</definedName>
    <definedName name="SCHNME" localSheetId="35">#REF!</definedName>
    <definedName name="SCHNME" localSheetId="29">#REF!</definedName>
    <definedName name="SCHNME" localSheetId="28">#REF!</definedName>
    <definedName name="SCHNME" localSheetId="36">#REF!</definedName>
    <definedName name="SCHNME" localSheetId="20">#REF!</definedName>
    <definedName name="SCHNME">#REF!</definedName>
    <definedName name="SUPT" localSheetId="32">#REF!</definedName>
    <definedName name="SUPT" localSheetId="17">#REF!</definedName>
    <definedName name="SUPT" localSheetId="24">#REF!</definedName>
    <definedName name="SUPT" localSheetId="25">#REF!</definedName>
    <definedName name="SUPT" localSheetId="4">#REF!</definedName>
    <definedName name="SUPT" localSheetId="22">#REF!</definedName>
    <definedName name="SUPT" localSheetId="23">#REF!</definedName>
    <definedName name="SUPT" localSheetId="31">#REF!</definedName>
    <definedName name="SUPT" localSheetId="30">#REF!</definedName>
    <definedName name="SUPT" localSheetId="33">#REF!</definedName>
    <definedName name="SUPT" localSheetId="34">#REF!</definedName>
    <definedName name="SUPT" localSheetId="35">#REF!</definedName>
    <definedName name="SUPT" localSheetId="29">#REF!</definedName>
    <definedName name="SUPT" localSheetId="28">#REF!</definedName>
    <definedName name="SUPT" localSheetId="36">#REF!</definedName>
    <definedName name="SUPT" localSheetId="20">#REF!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61" i="187" l="1"/>
  <c r="B60" i="187"/>
  <c r="H39" i="3" l="1"/>
  <c r="J15" i="12"/>
  <c r="J31" i="8" l="1"/>
  <c r="F349" i="29" l="1"/>
  <c r="E349" i="29"/>
  <c r="F301" i="29"/>
  <c r="E301" i="29"/>
  <c r="D267" i="29"/>
  <c r="D266" i="29"/>
  <c r="D264" i="29"/>
  <c r="D259" i="29"/>
  <c r="D246" i="29"/>
  <c r="D237" i="29"/>
  <c r="D234" i="29"/>
  <c r="D223" i="29"/>
  <c r="D219" i="29"/>
  <c r="D216" i="29"/>
  <c r="D215" i="29"/>
  <c r="F182" i="29"/>
  <c r="H182" i="29"/>
  <c r="E182" i="29"/>
  <c r="D182" i="29"/>
  <c r="C182" i="29"/>
  <c r="F152" i="5"/>
  <c r="F151" i="5"/>
  <c r="F124" i="29"/>
  <c r="E124" i="29"/>
  <c r="F5" i="29"/>
  <c r="H79" i="29"/>
  <c r="E63" i="29"/>
  <c r="D61" i="29"/>
  <c r="C61" i="29"/>
  <c r="D60" i="29"/>
  <c r="H55" i="29"/>
  <c r="E55" i="29"/>
  <c r="D55" i="29"/>
  <c r="C55" i="29"/>
  <c r="D50" i="29"/>
  <c r="C50" i="29"/>
  <c r="E49" i="29"/>
  <c r="E44" i="29"/>
  <c r="E38" i="29"/>
  <c r="D37" i="29"/>
  <c r="F17" i="29"/>
  <c r="D17" i="29"/>
  <c r="H14" i="29"/>
  <c r="F14" i="29"/>
  <c r="E14" i="29"/>
  <c r="D14" i="29"/>
  <c r="C14" i="29"/>
  <c r="D13" i="29"/>
  <c r="C13" i="29"/>
  <c r="F10" i="29"/>
  <c r="E10" i="29"/>
  <c r="D10" i="29"/>
  <c r="C10" i="29"/>
  <c r="F7" i="29"/>
  <c r="E7" i="29"/>
  <c r="D7" i="29"/>
  <c r="C7" i="29"/>
  <c r="C5" i="29"/>
  <c r="H5" i="29"/>
  <c r="E5" i="29"/>
  <c r="D5" i="29"/>
  <c r="C268" i="5"/>
  <c r="C203" i="5"/>
  <c r="C196" i="5"/>
  <c r="C194" i="5"/>
  <c r="C158" i="5"/>
  <c r="C134" i="5"/>
  <c r="C124" i="5"/>
  <c r="C96" i="5"/>
  <c r="C84" i="5"/>
  <c r="C79" i="5"/>
  <c r="C77" i="5"/>
  <c r="C71" i="5"/>
  <c r="I13" i="11" l="1"/>
  <c r="I12" i="11"/>
  <c r="I8" i="11"/>
  <c r="G37" i="183"/>
  <c r="G29" i="183"/>
  <c r="I29" i="183" s="1"/>
  <c r="G25" i="183"/>
  <c r="G49" i="183"/>
  <c r="I49" i="183" s="1"/>
  <c r="G28" i="183"/>
  <c r="I28" i="183" s="1"/>
  <c r="G24" i="183"/>
  <c r="G20" i="183"/>
  <c r="I18" i="183"/>
  <c r="I42" i="183"/>
  <c r="G51" i="183"/>
  <c r="E51" i="183"/>
  <c r="C51" i="183"/>
  <c r="I48" i="183"/>
  <c r="E46" i="183"/>
  <c r="C46" i="183"/>
  <c r="I44" i="183"/>
  <c r="I43" i="183"/>
  <c r="I41" i="183"/>
  <c r="I40" i="183"/>
  <c r="I39" i="183"/>
  <c r="I38" i="183"/>
  <c r="I37" i="183"/>
  <c r="I36" i="183"/>
  <c r="I35" i="183"/>
  <c r="I34" i="183"/>
  <c r="I33" i="183"/>
  <c r="I32" i="183"/>
  <c r="I31" i="183"/>
  <c r="I30" i="183"/>
  <c r="I27" i="183"/>
  <c r="I26" i="183"/>
  <c r="I25" i="183"/>
  <c r="I24" i="183"/>
  <c r="I23" i="183"/>
  <c r="I22" i="183"/>
  <c r="I21" i="183"/>
  <c r="I19" i="183"/>
  <c r="I17" i="183"/>
  <c r="G46" i="183" l="1"/>
  <c r="G53" i="183" s="1"/>
  <c r="G12" i="183" s="1"/>
  <c r="I20" i="183"/>
  <c r="I46" i="183" s="1"/>
  <c r="E53" i="183"/>
  <c r="E12" i="183" s="1"/>
  <c r="I51" i="183"/>
  <c r="C53" i="183"/>
  <c r="C12" i="183" s="1"/>
  <c r="D182" i="34"/>
  <c r="I12" i="183" l="1"/>
  <c r="I53" i="183"/>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c r="B5114" i="106"/>
  <c r="D5114" i="106" s="1"/>
  <c r="B5115" i="106"/>
  <c r="D5115" i="106"/>
  <c r="B5116" i="106"/>
  <c r="D5116" i="106" s="1"/>
  <c r="B5117" i="106"/>
  <c r="D5117" i="106" s="1"/>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s="1"/>
  <c r="B6304" i="106"/>
  <c r="D6304" i="106"/>
  <c r="B6305" i="106"/>
  <c r="D6305" i="106"/>
  <c r="B6307" i="106"/>
  <c r="D6307" i="106"/>
  <c r="B6308" i="106"/>
  <c r="D6308" i="106" s="1"/>
  <c r="B6309" i="106"/>
  <c r="D6309" i="106"/>
  <c r="B6310" i="106"/>
  <c r="D6310" i="106" s="1"/>
  <c r="B6311" i="106"/>
  <c r="D6311" i="106"/>
  <c r="B6312" i="106"/>
  <c r="D6312" i="106" s="1"/>
  <c r="B6313" i="106"/>
  <c r="D6313" i="106"/>
  <c r="B6314" i="106"/>
  <c r="D6314" i="106"/>
  <c r="B6315" i="106"/>
  <c r="D6315" i="106"/>
  <c r="B6316" i="106"/>
  <c r="D6316" i="106" s="1"/>
  <c r="B6317" i="106"/>
  <c r="D6317" i="106" s="1"/>
  <c r="B6319" i="106"/>
  <c r="D6319" i="106"/>
  <c r="B6320" i="106"/>
  <c r="D6320" i="106" s="1"/>
  <c r="B6321" i="106"/>
  <c r="D6321" i="106" s="1"/>
  <c r="B6322" i="106"/>
  <c r="D6322" i="106"/>
  <c r="B6323" i="106"/>
  <c r="D6323" i="106"/>
  <c r="B6324" i="106"/>
  <c r="D6324" i="106"/>
  <c r="B6325" i="106"/>
  <c r="D6325" i="106" s="1"/>
  <c r="B6326" i="106"/>
  <c r="D6326" i="106"/>
  <c r="B6327" i="106"/>
  <c r="D6327" i="106" s="1"/>
  <c r="B6328" i="106"/>
  <c r="D6328" i="106"/>
  <c r="B6329" i="106"/>
  <c r="D6329" i="106" s="1"/>
  <c r="B6330" i="106"/>
  <c r="D6330" i="106"/>
  <c r="B6331" i="106"/>
  <c r="D6331" i="106"/>
  <c r="B6332" i="106"/>
  <c r="D6332" i="106"/>
  <c r="B6333" i="106"/>
  <c r="D6333" i="106" s="1"/>
  <c r="B6334" i="106"/>
  <c r="D6334" i="106" s="1"/>
  <c r="B6335" i="106"/>
  <c r="D6335" i="106"/>
  <c r="B6336" i="106"/>
  <c r="D6336" i="106" s="1"/>
  <c r="B6337" i="106"/>
  <c r="D6337" i="106" s="1"/>
  <c r="B6338" i="106"/>
  <c r="D6338" i="106"/>
  <c r="B6339" i="106"/>
  <c r="D6339" i="106" s="1"/>
  <c r="B6340" i="106"/>
  <c r="D6340" i="106"/>
  <c r="B6341" i="106"/>
  <c r="D6341" i="106" s="1"/>
  <c r="B6342" i="106"/>
  <c r="D6342" i="106"/>
  <c r="B6343" i="106"/>
  <c r="D6343" i="106"/>
  <c r="B6344" i="106"/>
  <c r="D6344" i="106"/>
  <c r="B6345" i="106"/>
  <c r="D6345" i="106" s="1"/>
  <c r="B6346" i="106"/>
  <c r="D6346" i="106" s="1"/>
  <c r="B6347" i="106"/>
  <c r="D6347" i="106"/>
  <c r="B6348" i="106"/>
  <c r="D6348" i="106" s="1"/>
  <c r="B6349" i="106"/>
  <c r="D6349" i="106" s="1"/>
  <c r="B6350" i="106"/>
  <c r="D6350" i="106"/>
  <c r="B6353" i="106"/>
  <c r="D6353" i="106"/>
  <c r="B6354" i="106"/>
  <c r="D6354" i="106"/>
  <c r="B6355" i="106"/>
  <c r="D6355" i="106" s="1"/>
  <c r="B6356" i="106"/>
  <c r="D6356" i="106"/>
  <c r="B6358" i="106"/>
  <c r="D6358" i="106" s="1"/>
  <c r="B6359" i="106"/>
  <c r="D6359" i="106"/>
  <c r="B6360" i="106"/>
  <c r="D6360" i="106" s="1"/>
  <c r="B6361" i="106"/>
  <c r="D6361" i="106"/>
  <c r="B6362" i="106"/>
  <c r="D6362" i="106"/>
  <c r="B6363" i="106"/>
  <c r="D6363" i="106"/>
  <c r="B6364" i="106"/>
  <c r="D6364" i="106" s="1"/>
  <c r="B6365" i="106"/>
  <c r="D6365" i="106" s="1"/>
  <c r="B6366" i="106"/>
  <c r="D6366" i="106"/>
  <c r="B6367" i="106"/>
  <c r="D6367" i="106" s="1"/>
  <c r="B6368" i="106"/>
  <c r="D6368" i="106" s="1"/>
  <c r="B6369" i="106"/>
  <c r="D6369" i="106"/>
  <c r="B6370" i="106"/>
  <c r="D6370" i="106"/>
  <c r="B6371" i="106"/>
  <c r="D6371" i="106"/>
  <c r="B6372" i="106"/>
  <c r="D6372" i="106" s="1"/>
  <c r="B6373" i="106"/>
  <c r="D6373" i="106"/>
  <c r="B6374" i="106"/>
  <c r="D6374" i="106" s="1"/>
  <c r="B6375" i="106"/>
  <c r="D6375" i="106"/>
  <c r="B6376" i="106"/>
  <c r="D6376" i="106" s="1"/>
  <c r="B6377" i="106"/>
  <c r="D6377" i="106"/>
  <c r="B6378" i="106"/>
  <c r="D6378" i="106"/>
  <c r="B6379" i="106"/>
  <c r="D6379" i="106"/>
  <c r="B6380" i="106"/>
  <c r="D6380" i="106" s="1"/>
  <c r="B6381" i="106"/>
  <c r="D6381" i="106" s="1"/>
  <c r="B6382" i="106"/>
  <c r="D6382" i="106"/>
  <c r="B6383" i="106"/>
  <c r="D6383" i="106" s="1"/>
  <c r="B6384" i="106"/>
  <c r="D6384" i="106" s="1"/>
  <c r="B6385" i="106"/>
  <c r="D6385" i="106"/>
  <c r="B6386" i="106"/>
  <c r="D6386" i="106"/>
  <c r="B6387" i="106"/>
  <c r="D6387" i="106"/>
  <c r="B6388" i="106"/>
  <c r="D6388" i="106" s="1"/>
  <c r="B6389" i="106"/>
  <c r="D6389" i="106"/>
  <c r="B6390" i="106"/>
  <c r="D6390" i="106" s="1"/>
  <c r="B6391" i="106"/>
  <c r="D6391" i="106"/>
  <c r="B6392" i="106"/>
  <c r="D6392" i="106" s="1"/>
  <c r="B6393" i="106"/>
  <c r="D6393" i="106"/>
  <c r="B6394" i="106"/>
  <c r="D6394" i="106"/>
  <c r="B6395" i="106"/>
  <c r="D6395" i="106"/>
  <c r="B6398" i="106"/>
  <c r="D6398" i="106" s="1"/>
  <c r="B6399" i="106"/>
  <c r="D6399" i="106" s="1"/>
  <c r="B6401" i="106"/>
  <c r="D6401" i="106"/>
  <c r="B6402" i="106"/>
  <c r="D6402" i="106" s="1"/>
  <c r="B6403" i="106"/>
  <c r="D6403" i="106" s="1"/>
  <c r="B6404" i="106"/>
  <c r="D6404" i="106"/>
  <c r="B6405" i="106"/>
  <c r="D6405" i="106"/>
  <c r="B6406" i="106"/>
  <c r="D6406" i="106"/>
  <c r="B6407" i="106"/>
  <c r="D6407" i="106" s="1"/>
  <c r="B6408" i="106"/>
  <c r="D6408" i="106" s="1"/>
  <c r="B6410" i="106"/>
  <c r="D6410" i="106" s="1"/>
  <c r="B6411" i="106"/>
  <c r="D6411" i="106" s="1"/>
  <c r="B6412" i="106"/>
  <c r="D6412" i="106" s="1"/>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c r="B6621" i="106"/>
  <c r="D6621" i="106"/>
  <c r="B6622" i="106"/>
  <c r="D6622" i="106"/>
  <c r="B6623" i="106"/>
  <c r="D6623" i="106" s="1"/>
  <c r="B6624" i="106"/>
  <c r="D6624" i="106" s="1"/>
  <c r="B6625" i="106"/>
  <c r="D6625" i="106" s="1"/>
  <c r="B6626" i="106"/>
  <c r="D6626" i="106" s="1"/>
  <c r="B6627" i="106"/>
  <c r="D6627" i="106" s="1"/>
  <c r="B6628" i="106"/>
  <c r="D6628" i="106"/>
  <c r="B6629" i="106"/>
  <c r="D6629" i="106"/>
  <c r="B6630" i="106"/>
  <c r="D6630" i="106"/>
  <c r="B6631" i="106"/>
  <c r="D6631" i="106" s="1"/>
  <c r="B6632" i="106"/>
  <c r="D6632" i="106" s="1"/>
  <c r="B6633" i="106"/>
  <c r="D6633" i="106" s="1"/>
  <c r="B6634" i="106"/>
  <c r="D6634" i="106" s="1"/>
  <c r="B6635" i="106"/>
  <c r="D6635" i="106" s="1"/>
  <c r="B6636" i="106"/>
  <c r="D6636" i="106"/>
  <c r="B6637" i="106"/>
  <c r="D6637" i="106"/>
  <c r="B6638" i="106"/>
  <c r="D6638" i="106"/>
  <c r="B6639" i="106"/>
  <c r="D6639" i="106" s="1"/>
  <c r="B6640" i="106"/>
  <c r="D6640" i="106" s="1"/>
  <c r="B6641" i="106"/>
  <c r="D6641" i="106" s="1"/>
  <c r="B6642" i="106"/>
  <c r="D6642" i="106" s="1"/>
  <c r="B6643" i="106"/>
  <c r="D6643" i="106" s="1"/>
  <c r="B6644" i="106"/>
  <c r="D6644" i="106"/>
  <c r="B6645" i="106"/>
  <c r="D6645" i="106"/>
  <c r="B6646" i="106"/>
  <c r="D6646" i="106"/>
  <c r="B6647" i="106"/>
  <c r="D6647" i="106" s="1"/>
  <c r="B6648" i="106"/>
  <c r="D6648" i="106" s="1"/>
  <c r="B6649" i="106"/>
  <c r="D6649" i="106" s="1"/>
  <c r="B6650" i="106"/>
  <c r="D6650" i="106" s="1"/>
  <c r="B6651" i="106"/>
  <c r="D6651" i="106" s="1"/>
  <c r="B6652" i="106"/>
  <c r="D6652" i="106"/>
  <c r="B6653" i="106"/>
  <c r="D6653" i="106"/>
  <c r="B6654" i="106"/>
  <c r="D6654" i="106"/>
  <c r="B6655" i="106"/>
  <c r="D6655" i="106" s="1"/>
  <c r="B6656" i="106"/>
  <c r="D6656" i="106" s="1"/>
  <c r="B6657" i="106"/>
  <c r="D6657" i="106" s="1"/>
  <c r="B6658" i="106"/>
  <c r="D6658" i="106" s="1"/>
  <c r="B6659" i="106"/>
  <c r="D6659" i="106" s="1"/>
  <c r="B6660" i="106"/>
  <c r="D6660" i="106"/>
  <c r="B6661" i="106"/>
  <c r="D6661" i="106"/>
  <c r="B6662" i="106"/>
  <c r="D6662" i="106"/>
  <c r="B6663" i="106"/>
  <c r="D6663" i="106" s="1"/>
  <c r="B6664" i="106"/>
  <c r="D6664" i="106" s="1"/>
  <c r="B6665" i="106"/>
  <c r="D6665" i="106" s="1"/>
  <c r="B6666" i="106"/>
  <c r="D6666" i="106" s="1"/>
  <c r="B6667" i="106"/>
  <c r="D6667" i="106" s="1"/>
  <c r="B6668" i="106"/>
  <c r="D6668" i="106"/>
  <c r="B6669" i="106"/>
  <c r="D6669" i="106"/>
  <c r="B6670" i="106"/>
  <c r="D6670" i="106"/>
  <c r="B6671" i="106"/>
  <c r="D6671" i="106" s="1"/>
  <c r="B6672" i="106"/>
  <c r="D6672" i="106" s="1"/>
  <c r="B6673" i="106"/>
  <c r="D6673" i="106" s="1"/>
  <c r="B6674" i="106"/>
  <c r="D6674" i="106" s="1"/>
  <c r="B6675" i="106"/>
  <c r="D6675" i="106" s="1"/>
  <c r="B6676" i="106"/>
  <c r="D6676" i="106"/>
  <c r="B6677" i="106"/>
  <c r="D6677" i="106"/>
  <c r="B6678" i="106"/>
  <c r="D6678" i="106"/>
  <c r="B6679" i="106"/>
  <c r="D6679" i="106" s="1"/>
  <c r="B6680" i="106"/>
  <c r="D6680" i="106" s="1"/>
  <c r="B6681" i="106"/>
  <c r="D6681" i="106" s="1"/>
  <c r="B6682" i="106"/>
  <c r="D6682" i="106" s="1"/>
  <c r="B6683" i="106"/>
  <c r="D6683" i="106" s="1"/>
  <c r="B6684" i="106"/>
  <c r="D6684" i="106"/>
  <c r="B6685" i="106"/>
  <c r="D6685" i="106"/>
  <c r="B6686" i="106"/>
  <c r="D6686" i="106"/>
  <c r="B6687" i="106"/>
  <c r="D6687" i="106" s="1"/>
  <c r="B6688" i="106"/>
  <c r="D6688" i="106" s="1"/>
  <c r="B6689" i="106"/>
  <c r="D6689" i="106" s="1"/>
  <c r="B6690" i="106"/>
  <c r="D6690" i="106" s="1"/>
  <c r="B6691" i="106"/>
  <c r="D6691" i="106" s="1"/>
  <c r="B6692" i="106"/>
  <c r="D6692" i="106"/>
  <c r="B6693" i="106"/>
  <c r="D6693" i="106"/>
  <c r="B6694" i="106"/>
  <c r="D6694" i="106"/>
  <c r="B6695" i="106"/>
  <c r="D6695" i="106" s="1"/>
  <c r="B6696" i="106"/>
  <c r="D6696" i="106" s="1"/>
  <c r="B6697" i="106"/>
  <c r="D6697" i="106" s="1"/>
  <c r="B6698" i="106"/>
  <c r="D6698" i="106" s="1"/>
  <c r="B6699" i="106"/>
  <c r="D6699" i="106" s="1"/>
  <c r="B6700" i="106"/>
  <c r="D6700" i="106"/>
  <c r="B6701" i="106"/>
  <c r="D6701" i="106"/>
  <c r="B6702" i="106"/>
  <c r="D6702" i="106"/>
  <c r="B6703" i="106"/>
  <c r="D6703" i="106" s="1"/>
  <c r="B6704" i="106"/>
  <c r="D6704" i="106" s="1"/>
  <c r="B6705" i="106"/>
  <c r="D6705" i="106" s="1"/>
  <c r="B6706" i="106"/>
  <c r="D6706" i="106" s="1"/>
  <c r="B6707" i="106"/>
  <c r="D6707" i="106" s="1"/>
  <c r="B6708" i="106"/>
  <c r="D6708" i="106"/>
  <c r="B6709" i="106"/>
  <c r="D6709" i="106"/>
  <c r="B6710" i="106"/>
  <c r="D6710" i="106"/>
  <c r="B6711" i="106"/>
  <c r="D6711" i="106" s="1"/>
  <c r="B6712" i="106"/>
  <c r="D6712" i="106" s="1"/>
  <c r="B6713" i="106"/>
  <c r="D6713" i="106" s="1"/>
  <c r="B6714" i="106"/>
  <c r="D6714" i="106" s="1"/>
  <c r="B6715" i="106"/>
  <c r="D6715" i="106" s="1"/>
  <c r="B6716" i="106"/>
  <c r="D6716" i="106"/>
  <c r="B6717" i="106"/>
  <c r="D6717" i="106"/>
  <c r="B6718" i="106"/>
  <c r="D6718" i="106"/>
  <c r="B6719" i="106"/>
  <c r="D6719" i="106" s="1"/>
  <c r="B6720" i="106"/>
  <c r="D6720" i="106" s="1"/>
  <c r="B6721" i="106"/>
  <c r="D6721" i="106" s="1"/>
  <c r="B6722" i="106"/>
  <c r="D6722" i="106" s="1"/>
  <c r="B6723" i="106"/>
  <c r="D6723" i="106" s="1"/>
  <c r="B6724" i="106"/>
  <c r="D6724" i="106"/>
  <c r="B6725" i="106"/>
  <c r="D6725" i="106"/>
  <c r="B6726" i="106"/>
  <c r="D6726" i="106"/>
  <c r="B6727" i="106"/>
  <c r="D6727" i="106" s="1"/>
  <c r="B6728" i="106"/>
  <c r="D6728" i="106" s="1"/>
  <c r="B6729" i="106"/>
  <c r="D6729" i="106" s="1"/>
  <c r="B6730" i="106"/>
  <c r="D6730" i="106" s="1"/>
  <c r="B6731" i="106"/>
  <c r="D6731" i="106" s="1"/>
  <c r="B6732" i="106"/>
  <c r="D6732" i="106"/>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c r="B6757" i="106"/>
  <c r="D6757" i="106" s="1"/>
  <c r="B6758" i="106"/>
  <c r="D6758" i="106" s="1"/>
  <c r="B6759" i="106"/>
  <c r="D6759" i="106" s="1"/>
  <c r="B6760" i="106"/>
  <c r="D6760" i="106" s="1"/>
  <c r="B6761" i="106"/>
  <c r="D6761" i="106" s="1"/>
  <c r="B6762" i="106"/>
  <c r="D6762" i="106" s="1"/>
  <c r="B6763" i="106"/>
  <c r="D6763" i="106" s="1"/>
  <c r="B6764" i="106"/>
  <c r="D6764" i="106"/>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c r="B6789" i="106"/>
  <c r="D6789" i="106" s="1"/>
  <c r="B6790" i="106"/>
  <c r="D6790" i="106" s="1"/>
  <c r="B6791" i="106"/>
  <c r="D6791" i="106" s="1"/>
  <c r="B6792" i="106"/>
  <c r="D6792" i="106" s="1"/>
  <c r="B6793" i="106"/>
  <c r="D6793" i="106" s="1"/>
  <c r="B6794" i="106"/>
  <c r="D6794" i="106" s="1"/>
  <c r="B6795" i="106"/>
  <c r="D6795" i="106" s="1"/>
  <c r="B6796" i="106"/>
  <c r="D6796" i="106"/>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s="1"/>
  <c r="B6811" i="106"/>
  <c r="D6811" i="106" s="1"/>
  <c r="B6812" i="106"/>
  <c r="D6812" i="106"/>
  <c r="B6813" i="106"/>
  <c r="D6813" i="106" s="1"/>
  <c r="B6814" i="106"/>
  <c r="D6814" i="106" s="1"/>
  <c r="B6815" i="106"/>
  <c r="D6815" i="106" s="1"/>
  <c r="B6816" i="106"/>
  <c r="D6816" i="106" s="1"/>
  <c r="B6817" i="106"/>
  <c r="D6817" i="106" s="1"/>
  <c r="B6818" i="106"/>
  <c r="D6818" i="106" s="1"/>
  <c r="B6819" i="106"/>
  <c r="D6819" i="106" s="1"/>
  <c r="B6820" i="106"/>
  <c r="D6820" i="106"/>
  <c r="B6821" i="106"/>
  <c r="D6821" i="106" s="1"/>
  <c r="B6822" i="106"/>
  <c r="D6822" i="106" s="1"/>
  <c r="B6823" i="106"/>
  <c r="D6823" i="106" s="1"/>
  <c r="B6824" i="106"/>
  <c r="D6824" i="106" s="1"/>
  <c r="B6825" i="106"/>
  <c r="D6825" i="106" s="1"/>
  <c r="B6826" i="106"/>
  <c r="D6826" i="106" s="1"/>
  <c r="B6827" i="106"/>
  <c r="D6827" i="106" s="1"/>
  <c r="B6828" i="106"/>
  <c r="D6828" i="106"/>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D26" i="108"/>
  <c r="E26" i="108"/>
  <c r="F26" i="108"/>
  <c r="G26" i="108"/>
  <c r="E27" i="108"/>
  <c r="G27" i="108"/>
  <c r="F31" i="108"/>
  <c r="F36" i="108"/>
  <c r="F37" i="108"/>
  <c r="G28" i="108"/>
  <c r="G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14" i="4"/>
  <c r="B2609" i="106" s="1"/>
  <c r="D2609" i="106" s="1"/>
  <c r="G15" i="4"/>
  <c r="B6032" i="106" s="1"/>
  <c r="D6032" i="106" s="1"/>
  <c r="C14" i="4"/>
  <c r="B2558" i="106" s="1"/>
  <c r="D2558" i="106" s="1"/>
  <c r="D14" i="4"/>
  <c r="B2570" i="106" s="1"/>
  <c r="D2570"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4" i="7"/>
  <c r="B1760" i="106" s="1"/>
  <c r="D1760" i="106" s="1"/>
  <c r="D13" i="7"/>
  <c r="B3726" i="106" s="1"/>
  <c r="D3726" i="106" s="1"/>
  <c r="D9" i="7"/>
  <c r="B1767" i="106" s="1"/>
  <c r="D1767" i="106" s="1"/>
  <c r="F131" i="34"/>
  <c r="B5752" i="106"/>
  <c r="D5752" i="106" s="1"/>
  <c r="B5599" i="106"/>
  <c r="D5599" i="106" s="1"/>
  <c r="C172" i="5"/>
  <c r="B5214" i="106" s="1"/>
  <c r="D5214" i="106" s="1"/>
  <c r="B1746" i="106"/>
  <c r="D1746" i="106" s="1"/>
  <c r="D17" i="7"/>
  <c r="B4104" i="106" s="1"/>
  <c r="D4104" i="106" s="1"/>
  <c r="D12" i="7"/>
  <c r="B1769" i="106" s="1"/>
  <c r="D1769" i="106" s="1"/>
  <c r="D11" i="7"/>
  <c r="B1768" i="106" s="1"/>
  <c r="D1768" i="106" s="1"/>
  <c r="K24" i="12" l="1"/>
  <c r="F111" i="34"/>
  <c r="D7245" i="106"/>
  <c r="F21" i="8"/>
  <c r="B1879" i="106" s="1"/>
  <c r="D1879" i="106" s="1"/>
  <c r="G15" i="145"/>
  <c r="I24" i="12"/>
  <c r="F106" i="34"/>
  <c r="G5" i="4"/>
  <c r="B3409" i="106" s="1"/>
  <c r="D3409" i="106" s="1"/>
  <c r="G172" i="5"/>
  <c r="J41" i="3"/>
  <c r="B4268" i="106"/>
  <c r="D4268" i="106" s="1"/>
  <c r="B3619" i="106"/>
  <c r="D3619" i="106" s="1"/>
  <c r="D11" i="37"/>
  <c r="H29" i="118"/>
  <c r="K350" i="29"/>
  <c r="B3670" i="106" s="1"/>
  <c r="D3670" i="106" s="1"/>
  <c r="E29" i="108"/>
  <c r="F28" i="108"/>
  <c r="E28" i="108"/>
  <c r="F27" i="108"/>
  <c r="F128" i="34"/>
  <c r="C173" i="5"/>
  <c r="B5223" i="106" s="1"/>
  <c r="D5223" i="106" s="1"/>
  <c r="B5096" i="106"/>
  <c r="D5096" i="106" s="1"/>
  <c r="C109" i="5"/>
  <c r="B5121" i="106" s="1"/>
  <c r="D5121" i="106" s="1"/>
  <c r="L13" i="11"/>
  <c r="B2060" i="106" s="1"/>
  <c r="D2060" i="106" s="1"/>
  <c r="G173" i="5"/>
  <c r="B5778" i="106" s="1"/>
  <c r="D5778" i="106" s="1"/>
  <c r="B5770" i="106"/>
  <c r="D5770" i="106" s="1"/>
  <c r="I26" i="12"/>
  <c r="B7741" i="106" s="1"/>
  <c r="D7741" i="106" s="1"/>
  <c r="B1996" i="106"/>
  <c r="D1996" i="106" s="1"/>
  <c r="B3621" i="106"/>
  <c r="D3621" i="106" s="1"/>
  <c r="C367" i="29"/>
  <c r="D109" i="5"/>
  <c r="H22" i="37"/>
  <c r="I274" i="5"/>
  <c r="B4396" i="106"/>
  <c r="D4396" i="106" s="1"/>
  <c r="G109" i="5"/>
  <c r="B5066" i="106"/>
  <c r="D5066" i="106" s="1"/>
  <c r="F62" i="34"/>
  <c r="B7235" i="106"/>
  <c r="D7235" i="106" s="1"/>
  <c r="B6995" i="106"/>
  <c r="D6995" i="106" s="1"/>
  <c r="B6289" i="106"/>
  <c r="D6289" i="106" s="1"/>
  <c r="L15" i="11"/>
  <c r="B3459" i="106" s="1"/>
  <c r="D3459" i="106" s="1"/>
  <c r="H365" i="29"/>
  <c r="K76" i="4"/>
  <c r="B3586" i="106" s="1"/>
  <c r="D3586" i="106" s="1"/>
  <c r="B2836" i="106"/>
  <c r="D2836" i="106" s="1"/>
  <c r="H109" i="5"/>
  <c r="F127" i="34"/>
  <c r="D5" i="7"/>
  <c r="B1761" i="106" s="1"/>
  <c r="D1761" i="106" s="1"/>
  <c r="K173" i="5"/>
  <c r="K6" i="4" s="1"/>
  <c r="B3570" i="106" s="1"/>
  <c r="D3570" i="106" s="1"/>
  <c r="F36" i="34"/>
  <c r="G39" i="108"/>
  <c r="B3649" i="106"/>
  <c r="D3649" i="106" s="1"/>
  <c r="G367" i="29"/>
  <c r="B1329" i="106"/>
  <c r="D1329" i="106" s="1"/>
  <c r="F61" i="34"/>
  <c r="B4357" i="106"/>
  <c r="D4357" i="106" s="1"/>
  <c r="H173" i="5"/>
  <c r="J274" i="5"/>
  <c r="B7054" i="106" s="1"/>
  <c r="D7054" i="106" s="1"/>
  <c r="F19" i="7"/>
  <c r="B1807" i="106" s="1"/>
  <c r="D1807" i="106" s="1"/>
  <c r="G38" i="108"/>
  <c r="D69" i="36"/>
  <c r="K184" i="29"/>
  <c r="F13" i="4" s="1"/>
  <c r="B2596" i="106" s="1"/>
  <c r="D2596" i="106" s="1"/>
  <c r="D15" i="7"/>
  <c r="B1772" i="106" s="1"/>
  <c r="D1772" i="106" s="1"/>
  <c r="K274" i="5"/>
  <c r="B6022" i="106" s="1"/>
  <c r="D6022" i="106" s="1"/>
  <c r="F130" i="34"/>
  <c r="K28" i="118"/>
  <c r="O27" i="118" s="1"/>
  <c r="O29" i="118" s="1"/>
  <c r="L342" i="29"/>
  <c r="E38" i="108"/>
  <c r="G30" i="108"/>
  <c r="K41" i="3"/>
  <c r="H76" i="4"/>
  <c r="B3298" i="106" s="1"/>
  <c r="D3298" i="106" s="1"/>
  <c r="G210" i="29"/>
  <c r="E109" i="5"/>
  <c r="E4" i="4" s="1"/>
  <c r="B2630" i="106" s="1"/>
  <c r="D2630" i="106" s="1"/>
  <c r="E30" i="108"/>
  <c r="H342" i="29"/>
  <c r="D7" i="7"/>
  <c r="B1763" i="106" s="1"/>
  <c r="D1763" i="106" s="1"/>
  <c r="F136" i="34"/>
  <c r="F172" i="5"/>
  <c r="B5644" i="106" s="1"/>
  <c r="D5644" i="106" s="1"/>
  <c r="L312" i="29"/>
  <c r="B3689" i="106"/>
  <c r="D368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D7250" i="106" l="1"/>
  <c r="B7733" i="106"/>
  <c r="D7733" i="106" s="1"/>
  <c r="K26" i="12"/>
  <c r="B7743" i="106" s="1"/>
  <c r="D7743" i="106" s="1"/>
  <c r="K352" i="29"/>
  <c r="K13" i="4" s="1"/>
  <c r="B3572" i="106" s="1"/>
  <c r="D3572" i="106" s="1"/>
  <c r="K342" i="29"/>
  <c r="F13" i="34" s="1"/>
  <c r="B1381" i="106"/>
  <c r="D1381" i="106" s="1"/>
  <c r="F173" i="5"/>
  <c r="F275" i="5" s="1"/>
  <c r="B5720" i="106" s="1"/>
  <c r="D5720" i="106" s="1"/>
  <c r="B1317" i="106"/>
  <c r="D1317" i="106" s="1"/>
  <c r="F41" i="108"/>
  <c r="G43" i="108" s="1"/>
  <c r="C6" i="4"/>
  <c r="B2553" i="106" s="1"/>
  <c r="D2553" i="106" s="1"/>
  <c r="C4" i="4"/>
  <c r="B2551" i="106" s="1"/>
  <c r="D2551" i="106" s="1"/>
  <c r="L16" i="11"/>
  <c r="B2061" i="106" s="1"/>
  <c r="D2061" i="106" s="1"/>
  <c r="B1365" i="106"/>
  <c r="D1365" i="106" s="1"/>
  <c r="F65" i="34"/>
  <c r="B5356" i="106"/>
  <c r="D5356" i="106" s="1"/>
  <c r="D4" i="4"/>
  <c r="B2564" i="106" s="1"/>
  <c r="D2564" i="106" s="1"/>
  <c r="D7252" i="106"/>
  <c r="B6014" i="106"/>
  <c r="D6014" i="106" s="1"/>
  <c r="K7" i="4"/>
  <c r="B3718" i="106" s="1"/>
  <c r="D3718" i="106" s="1"/>
  <c r="B3568" i="106"/>
  <c r="D3568" i="106" s="1"/>
  <c r="D52" i="36"/>
  <c r="B6025" i="106"/>
  <c r="D6025" i="106" s="1"/>
  <c r="H4" i="4"/>
  <c r="B5906" i="106"/>
  <c r="D5906" i="106" s="1"/>
  <c r="H6" i="4"/>
  <c r="B2656" i="106" s="1"/>
  <c r="D2656" i="106" s="1"/>
  <c r="B5914" i="106"/>
  <c r="D5914" i="106" s="1"/>
  <c r="H151" i="29"/>
  <c r="B1273" i="106" s="1"/>
  <c r="D1273" i="106" s="1"/>
  <c r="B5527" i="106"/>
  <c r="D5527" i="106" s="1"/>
  <c r="H275" i="5"/>
  <c r="B5915" i="106" s="1"/>
  <c r="D5915" i="106" s="1"/>
  <c r="D7254" i="106"/>
  <c r="B6024" i="106"/>
  <c r="D6024" i="106" s="1"/>
  <c r="G4" i="4"/>
  <c r="B2603" i="106" s="1"/>
  <c r="D2603" i="106" s="1"/>
  <c r="D19" i="7"/>
  <c r="B1775" i="106" s="1"/>
  <c r="D1775" i="106" s="1"/>
  <c r="J16" i="4"/>
  <c r="B6226" i="106" s="1"/>
  <c r="D6226" i="106" s="1"/>
  <c r="K365" i="29"/>
  <c r="D7255" i="106"/>
  <c r="B7215" i="106"/>
  <c r="D7215" i="106" s="1"/>
  <c r="H367" i="29"/>
  <c r="B3660" i="106" s="1"/>
  <c r="D3660" i="106" s="1"/>
  <c r="B7242" i="106"/>
  <c r="D7242" i="106" s="1"/>
  <c r="D274" i="5"/>
  <c r="D7256" i="106"/>
  <c r="D7251" i="106"/>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B5507" i="106"/>
  <c r="D5507" i="106" s="1"/>
  <c r="B7298" i="106"/>
  <c r="B7299" i="106"/>
  <c r="K367" i="29" l="1"/>
  <c r="B3678" i="106" s="1"/>
  <c r="D3678" i="106" s="1"/>
  <c r="B3672" i="106"/>
  <c r="D3672" i="106" s="1"/>
  <c r="F6" i="4"/>
  <c r="B2593" i="106" s="1"/>
  <c r="D2593" i="106" s="1"/>
  <c r="B5653" i="106"/>
  <c r="D5653" i="106" s="1"/>
  <c r="B1145" i="106"/>
  <c r="D1145" i="106" s="1"/>
  <c r="G41" i="108"/>
  <c r="G44" i="108" s="1"/>
  <c r="G45" i="108" s="1"/>
  <c r="B7243" i="106"/>
  <c r="D7243" i="106" s="1"/>
  <c r="J8" i="4"/>
  <c r="J20" i="4" s="1"/>
  <c r="E41" i="108"/>
  <c r="E44" i="108" s="1"/>
  <c r="E45" i="108" s="1"/>
  <c r="K16" i="4"/>
  <c r="B3574" i="106" s="1"/>
  <c r="D357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8" i="4" l="1"/>
  <c r="K368" i="29"/>
  <c r="B3681" i="106" s="1"/>
  <c r="D3681" i="106" s="1"/>
  <c r="B6223" i="106"/>
  <c r="D6223" i="106" s="1"/>
  <c r="J10" i="4"/>
  <c r="B6225" i="106" s="1"/>
  <c r="D6225" i="106" s="1"/>
  <c r="B2595" i="106"/>
  <c r="D2595" i="106" s="1"/>
  <c r="B2658" i="106"/>
  <c r="D2658" i="106" s="1"/>
  <c r="H10" i="4"/>
  <c r="B4127" i="106" s="1"/>
  <c r="D4127" i="106" s="1"/>
  <c r="K17" i="4"/>
  <c r="B3575" i="106" s="1"/>
  <c r="D357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D8" i="146"/>
  <c r="K20" i="4"/>
  <c r="B3576" i="106" s="1"/>
  <c r="D3576" i="106" s="1"/>
  <c r="K19" i="4"/>
  <c r="B4144" i="106" s="1"/>
  <c r="D414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179" i="34" l="1"/>
  <c r="F79" i="34"/>
  <c r="K78" i="4"/>
  <c r="B3588" i="106" s="1"/>
  <c r="D3588" i="106" s="1"/>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K81" i="4" l="1"/>
  <c r="B3591" i="106" s="1"/>
  <c r="D3591"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D65" i="36"/>
  <c r="J83" i="4"/>
  <c r="B6283" i="106" s="1"/>
  <c r="D6283" i="106" s="1"/>
  <c r="B6274" i="106"/>
  <c r="D6274" i="106" s="1"/>
  <c r="D82" i="4"/>
  <c r="B1644" i="106"/>
  <c r="D1644" i="106" s="1"/>
  <c r="D58" i="36"/>
  <c r="C11" i="146"/>
  <c r="K82" i="4" l="1"/>
  <c r="B6275" i="106" s="1"/>
  <c r="D6275" i="106" s="1"/>
  <c r="J16" i="37"/>
  <c r="B4269" i="106" s="1"/>
  <c r="D4269" i="106" s="1"/>
  <c r="H12" i="118"/>
  <c r="K12" i="118" s="1"/>
  <c r="O11" i="118" s="1"/>
  <c r="O13" i="118" s="1"/>
  <c r="O17" i="118"/>
  <c r="O20"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<sst xmlns="http://schemas.openxmlformats.org/spreadsheetml/2006/main" count="5165" uniqueCount="2216">
  <si>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</si>
  <si>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</si>
  <si>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</si>
  <si>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</si>
  <si>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</si>
  <si>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</si>
  <si>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</si>
  <si>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</si>
  <si>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</si>
  <si>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</si>
  <si>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</si>
  <si>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</si>
  <si>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</si>
  <si>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</si>
  <si>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</si>
  <si>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</si>
  <si>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</si>
  <si>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</si>
  <si>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</si>
  <si>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</si>
  <si>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</si>
  <si>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</si>
  <si>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</si>
  <si>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</si>
  <si>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</si>
  <si>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</si>
  <si>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</si>
  <si>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</si>
  <si>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</si>
  <si>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</si>
  <si>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</si>
  <si>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</si>
  <si>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</si>
  <si>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</si>
  <si>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</si>
  <si>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</si>
  <si>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</si>
  <si>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</si>
  <si>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</si>
  <si>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</si>
  <si>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</si>
  <si>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</si>
  <si>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</si>
  <si>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</si>
  <si>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</si>
  <si>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</si>
  <si>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</si>
  <si>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</si>
  <si>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</si>
  <si>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</si>
  <si>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</si>
  <si>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</si>
  <si>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</si>
  <si>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</si>
  <si>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</si>
  <si>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</si>
  <si>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</si>
  <si>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</si>
  <si>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</si>
  <si>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</si>
  <si>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</si>
  <si>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</si>
  <si>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</si>
  <si>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</si>
  <si>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</si>
  <si>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</si>
  <si>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</si>
  <si>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</si>
  <si>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</si>
  <si>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</si>
  <si>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</si>
  <si>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</si>
  <si>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</si>
  <si>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</si>
  <si>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</si>
  <si>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</si>
  <si>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</si>
  <si>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</si>
  <si>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</si>
  <si>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</si>
  <si>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</si>
  <si>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</si>
  <si>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</si>
  <si>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</si>
  <si>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</si>
  <si>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</si>
  <si>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</si>
  <si>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</si>
  <si>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</si>
  <si>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</si>
  <si>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</si>
  <si>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</si>
  <si>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</si>
  <si>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</si>
  <si>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</si>
  <si>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</si>
  <si>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</si>
  <si>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</si>
  <si>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</si>
  <si>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</si>
  <si>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</si>
  <si>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</si>
  <si>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</si>
  <si>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</si>
  <si>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</si>
  <si>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</si>
  <si>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</si>
  <si>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</si>
  <si>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</si>
  <si>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</si>
  <si>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</si>
  <si>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</si>
  <si>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</si>
  <si>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</si>
  <si>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</si>
  <si>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</si>
  <si>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</si>
  <si>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</si>
  <si>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</si>
  <si>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</si>
  <si>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</si>
  <si>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</si>
  <si>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</si>
  <si>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</si>
  <si>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</si>
  <si>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</si>
  <si>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</si>
  <si>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</si>
  <si>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</si>
  <si>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</si>
  <si>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</si>
  <si>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</si>
  <si>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</si>
  <si>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</si>
  <si>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</si>
  <si>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</si>
  <si>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</si>
  <si>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</si>
  <si>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</si>
  <si>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</si>
  <si>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</si>
  <si>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</si>
  <si>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</si>
  <si>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</si>
  <si>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</si>
  <si>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</si>
  <si>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</si>
  <si>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</si>
  <si>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</si>
  <si>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</si>
  <si>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</si>
  <si>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</si>
  <si>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</si>
  <si>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</si>
  <si>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</si>
  <si>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</si>
  <si>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</si>
  <si>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</si>
  <si>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</si>
  <si>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</si>
  <si>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</si>
  <si>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</si>
  <si>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</si>
  <si>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</si>
  <si>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</si>
  <si>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</si>
  <si>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</si>
  <si>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</si>
  <si>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</si>
  <si>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</si>
  <si>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</si>
  <si>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</si>
  <si>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</si>
  <si>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</si>
  <si>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</si>
  <si>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</si>
  <si>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</si>
  <si>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</si>
  <si>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</si>
  <si>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</si>
  <si>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</si>
  <si>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</si>
  <si>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</si>
  <si>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</si>
  <si>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</si>
  <si>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</si>
  <si>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</si>
  <si>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</si>
  <si>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</si>
  <si>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</si>
  <si>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</si>
  <si>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</si>
  <si>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</si>
  <si>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</si>
  <si>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</si>
  <si>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</si>
  <si>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</si>
  <si>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</si>
  <si>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</si>
  <si>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</si>
  <si>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</si>
  <si>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</si>
  <si>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</si>
  <si>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</si>
  <si>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</si>
  <si>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</si>
  <si>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</si>
  <si>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</si>
  <si>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</si>
  <si>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</si>
  <si>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</si>
  <si>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</si>
  <si>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</si>
  <si>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</si>
  <si>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</si>
  <si>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</si>
  <si>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</si>
  <si>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</si>
  <si>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</si>
  <si>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</si>
  <si>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</si>
  <si>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</si>
  <si>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</si>
  <si>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</si>
  <si>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</si>
  <si>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</si>
  <si>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</si>
  <si>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</si>
  <si>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</si>
  <si>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</si>
  <si>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</si>
  <si>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</si>
  <si>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</si>
  <si>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</si>
  <si>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</si>
  <si>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</si>
  <si>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</si>
  <si>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</si>
  <si>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</si>
  <si>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</si>
  <si>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</si>
  <si>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</si>
  <si>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</si>
  <si>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</si>
  <si>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</si>
  <si>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</si>
  <si>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</si>
  <si>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</si>
  <si>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</si>
  <si>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</si>
  <si>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</si>
  <si>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</si>
  <si>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</si>
  <si>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</si>
  <si>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</si>
  <si>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</si>
  <si>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</si>
  <si>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</si>
  <si>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</si>
  <si>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</si>
  <si>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</si>
  <si>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</si>
  <si>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</si>
  <si>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</si>
  <si>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</si>
  <si>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</si>
  <si>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</si>
  <si>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</si>
  <si>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</si>
  <si>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</si>
  <si>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</si>
  <si>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</si>
  <si>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</si>
  <si>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</si>
  <si>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</si>
  <si>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</si>
  <si>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</si>
  <si>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</si>
  <si>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</si>
  <si>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</si>
  <si>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</si>
  <si>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</si>
  <si>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</si>
  <si>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</si>
  <si>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</si>
  <si>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</si>
  <si>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</si>
  <si>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</si>
  <si>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</si>
  <si>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</si>
  <si>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</si>
  <si>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</si>
  <si>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</si>
  <si>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</si>
  <si>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</si>
  <si>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</si>
  <si>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</si>
  <si>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</si>
  <si>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</si>
  <si>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</si>
  <si>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</si>
  <si>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</si>
  <si>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</si>
  <si>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</si>
  <si>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</si>
  <si>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</si>
  <si>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</si>
  <si>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</si>
  <si>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</si>
  <si>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</si>
  <si>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</si>
  <si>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</si>
  <si>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</si>
  <si>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</si>
  <si>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</si>
  <si>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</si>
  <si>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</si>
  <si>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</si>
  <si>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</si>
  <si>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</si>
  <si>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</si>
  <si>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</si>
  <si>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</si>
  <si>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</si>
  <si>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</si>
  <si>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</si>
  <si>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</si>
  <si>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</si>
  <si>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</si>
  <si>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</si>
  <si>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</si>
  <si>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</si>
  <si>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</si>
  <si>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</si>
  <si>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</si>
  <si>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</si>
  <si>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</si>
  <si>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</si>
  <si>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</si>
  <si>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</si>
  <si>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</si>
  <si>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</si>
  <si>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</si>
  <si>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</si>
  <si>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</si>
  <si>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</si>
  <si>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</si>
  <si>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</si>
  <si>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</si>
  <si>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</si>
  <si>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</si>
  <si>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</si>
  <si>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</si>
  <si>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</si>
  <si>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</si>
  <si>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</si>
  <si>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</si>
  <si>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</si>
  <si>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</si>
  <si>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</si>
  <si>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</si>
  <si>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</si>
  <si>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</si>
  <si>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</si>
  <si>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</si>
  <si>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</si>
  <si>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</si>
  <si>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</si>
  <si>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</si>
  <si>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</si>
  <si>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</si>
  <si>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</si>
  <si>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</si>
  <si>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</si>
  <si>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</si>
  <si>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</si>
  <si>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</si>
  <si>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</si>
  <si>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</si>
  <si>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</si>
  <si>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</si>
  <si>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</si>
  <si>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</si>
  <si>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</si>
  <si>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</si>
  <si>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</si>
  <si>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</si>
  <si>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</si>
  <si>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</si>
  <si>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</si>
  <si>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</si>
  <si>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</si>
  <si>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</si>
  <si>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</si>
  <si>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</si>
  <si>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</si>
  <si>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</si>
  <si>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</si>
  <si>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</si>
  <si>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</si>
  <si>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</si>
  <si>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</si>
  <si>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</si>
  <si>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</si>
  <si>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</si>
  <si>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</si>
  <si>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</si>
  <si>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</si>
  <si>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</si>
  <si>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</si>
  <si>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</si>
  <si>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</si>
  <si>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</si>
  <si>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</si>
  <si>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</si>
  <si>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</si>
  <si>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</si>
  <si>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</si>
  <si>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</si>
  <si>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</si>
  <si>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</si>
  <si>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</si>
  <si>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</si>
  <si>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</si>
  <si>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</si>
  <si>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</si>
  <si>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</si>
  <si>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</si>
  <si>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</si>
  <si>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</si>
  <si>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</si>
  <si>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</si>
  <si>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</si>
  <si>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</si>
  <si>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</si>
  <si>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</si>
  <si>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</si>
  <si>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</si>
  <si>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</si>
  <si>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</si>
  <si>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</si>
  <si>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</si>
  <si>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</si>
  <si>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</si>
  <si>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</si>
  <si>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</si>
  <si>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</si>
  <si>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</si>
  <si>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</si>
  <si>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</si>
  <si>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</si>
  <si>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</si>
  <si>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</si>
  <si>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</si>
  <si>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</si>
  <si>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</si>
  <si>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</si>
  <si>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</si>
  <si>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</si>
  <si>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</si>
  <si>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</si>
  <si>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</si>
  <si>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</si>
  <si>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</si>
  <si>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</si>
  <si>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</si>
  <si>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</si>
  <si>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</si>
  <si>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</si>
  <si>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</si>
  <si>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</si>
  <si>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</si>
  <si>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</si>
  <si>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</si>
  <si>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</si>
  <si>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</si>
  <si>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</si>
  <si>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</si>
  <si>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</si>
  <si>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</si>
  <si>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</si>
  <si>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</si>
  <si>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</si>
  <si>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</si>
  <si>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</si>
  <si>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</si>
  <si>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</si>
  <si>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</si>
  <si>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</si>
  <si>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</si>
  <si>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</si>
  <si>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</si>
  <si>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</si>
  <si>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</si>
  <si>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</si>
  <si>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</si>
  <si>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</si>
  <si>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</si>
  <si>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</si>
  <si>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</si>
  <si>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</si>
  <si>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</si>
  <si>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</si>
  <si>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</si>
  <si>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</si>
  <si>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</si>
  <si>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</si>
  <si>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</si>
  <si>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</si>
  <si>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</si>
  <si>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</si>
  <si>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</si>
  <si>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</si>
  <si>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</si>
  <si>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</si>
  <si>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</si>
  <si>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</si>
  <si>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</si>
  <si>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</si>
  <si>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</si>
  <si>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</si>
  <si>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</si>
  <si>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</si>
  <si>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</si>
  <si>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</si>
  <si>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</si>
  <si>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</si>
  <si>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</si>
  <si>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</si>
  <si>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</si>
  <si>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</si>
  <si>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</si>
  <si>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</si>
  <si>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</si>
  <si>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</si>
  <si>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</si>
  <si>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</si>
  <si>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</si>
  <si>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</si>
  <si>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</si>
  <si>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</si>
  <si>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</si>
  <si>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</si>
  <si>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</si>
  <si>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</si>
  <si>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</si>
  <si>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</si>
  <si>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</si>
  <si>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</si>
  <si>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</si>
  <si>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</si>
  <si>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</si>
  <si>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</si>
  <si>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</si>
  <si>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</si>
  <si>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</si>
  <si>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</si>
  <si>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</si>
  <si>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</si>
  <si>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</si>
  <si>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</si>
  <si>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</si>
  <si>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</si>
  <si>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</si>
  <si>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</si>
  <si>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</si>
  <si>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</si>
  <si>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</si>
  <si>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</si>
  <si>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</si>
  <si>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</si>
  <si>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</si>
  <si>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</si>
  <si>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</si>
  <si>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</si>
  <si>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</si>
  <si>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</si>
  <si>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</si>
  <si>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</si>
  <si>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</si>
  <si>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</si>
  <si>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</si>
  <si>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</si>
  <si>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</si>
  <si>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</si>
  <si>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</si>
  <si>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</si>
  <si>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</si>
  <si>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</si>
  <si>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</si>
  <si>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</si>
  <si>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</si>
  <si>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</si>
  <si>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</si>
  <si>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</si>
  <si>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</si>
  <si>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</si>
  <si>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</si>
  <si>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</si>
  <si>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</si>
  <si>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</si>
  <si>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</si>
  <si>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</si>
  <si>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</si>
  <si>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</si>
  <si>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</si>
  <si>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</si>
  <si>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</si>
  <si>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</si>
  <si>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</si>
  <si>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</si>
  <si>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</si>
  <si>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</si>
  <si>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</si>
  <si>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</si>
  <si>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</si>
  <si>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</si>
  <si>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</si>
  <si>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</si>
  <si>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</si>
  <si>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</si>
  <si>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</si>
  <si>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</si>
  <si>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</si>
  <si>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</si>
  <si>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</si>
  <si>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</si>
  <si>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</si>
  <si>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</si>
  <si>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</si>
  <si>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</si>
  <si>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</si>
  <si>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</si>
  <si>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</si>
  <si>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</si>
  <si>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</si>
  <si>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</si>
  <si>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</si>
  <si>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</si>
  <si>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</si>
  <si>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</si>
  <si>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</si>
  <si>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</si>
  <si>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</si>
  <si>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</si>
  <si>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</si>
  <si>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</si>
  <si>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</si>
  <si>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</si>
  <si>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</si>
  <si>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</si>
  <si>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</si>
  <si>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</si>
  <si>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</si>
  <si>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</si>
  <si>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</si>
  <si>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</si>
  <si>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</si>
  <si>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</si>
  <si>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</si>
  <si>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</si>
  <si>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</si>
  <si>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</si>
  <si>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</si>
  <si>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</si>
  <si>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</si>
  <si>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</si>
  <si>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</si>
  <si>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</si>
  <si>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</si>
  <si>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</si>
  <si>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</si>
  <si>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</si>
  <si>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</si>
  <si>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</si>
  <si>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</si>
  <si>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</si>
  <si>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</si>
  <si>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</si>
  <si>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</si>
  <si>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</si>
  <si>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</si>
  <si>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</si>
  <si>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</si>
  <si>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</si>
  <si>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</si>
  <si>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</si>
  <si>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</si>
  <si>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</si>
  <si>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</si>
  <si>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</si>
  <si>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</si>
  <si>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</si>
  <si>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</si>
  <si>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</si>
  <si>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</si>
  <si>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</si>
  <si>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</si>
  <si>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</si>
  <si>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</si>
  <si>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</si>
  <si>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</si>
  <si>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</si>
  <si>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</si>
  <si>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</si>
  <si>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</si>
  <si>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</si>
  <si>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</si>
  <si>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</si>
  <si>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</si>
  <si>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</si>
  <si>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</si>
  <si>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</si>
  <si>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</si>
  <si>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</si>
  <si>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</si>
  <si>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</si>
  <si>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</si>
  <si>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</si>
  <si>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</si>
  <si>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</si>
  <si>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</si>
  <si>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</si>
  <si>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</si>
  <si>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</si>
  <si>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</si>
  <si>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</si>
  <si>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</si>
  <si>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</si>
  <si>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</si>
  <si>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</si>
  <si>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</si>
  <si>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</si>
  <si>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</si>
  <si>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</si>
  <si>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</si>
  <si>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</si>
  <si>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</si>
  <si>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</si>
  <si>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</si>
  <si>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</si>
  <si>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</si>
  <si>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</si>
  <si>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</si>
  <si>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</si>
  <si>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</si>
  <si>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</si>
  <si>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</si>
  <si>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</si>
  <si>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</si>
  <si>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</si>
  <si>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</si>
  <si>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</si>
  <si>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</si>
  <si>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</si>
  <si>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</si>
  <si>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</si>
  <si>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</si>
  <si>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</si>
  <si>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</si>
  <si>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</si>
  <si>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</si>
  <si>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</si>
  <si>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</si>
  <si>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</si>
  <si>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</si>
  <si>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</si>
  <si>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</si>
  <si>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</si>
  <si>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</si>
  <si>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</si>
  <si>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</si>
  <si>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</si>
  <si>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</si>
  <si>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</si>
  <si>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</si>
  <si>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</si>
  <si>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</si>
  <si>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</si>
  <si>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</si>
  <si>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</si>
  <si>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</si>
  <si>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</si>
  <si>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</si>
  <si>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</si>
  <si>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</si>
  <si>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</si>
  <si>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</si>
  <si>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</si>
  <si>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</si>
  <si>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</si>
  <si>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</si>
  <si>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</si>
  <si>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</si>
  <si>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</si>
  <si>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</si>
  <si>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</si>
  <si>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</si>
  <si>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</si>
  <si>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</si>
  <si>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</si>
  <si>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</si>
  <si>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</si>
  <si>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</si>
  <si>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</si>
  <si>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</si>
  <si>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</si>
  <si>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</si>
  <si>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</si>
  <si>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</si>
  <si>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</si>
  <si>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</si>
  <si>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</si>
  <si>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</si>
  <si>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</si>
  <si>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</si>
  <si>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</si>
  <si>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</si>
  <si>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</si>
  <si>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</si>
  <si>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</si>
  <si>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</si>
  <si>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</si>
  <si>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</si>
  <si>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</si>
  <si>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</si>
  <si>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</si>
  <si>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</si>
  <si>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</si>
  <si>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</si>
  <si>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</si>
  <si>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</si>
  <si>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</si>
  <si>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</si>
  <si>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</si>
  <si>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</si>
  <si>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</si>
  <si>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</si>
  <si>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</si>
  <si>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</si>
  <si>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</si>
  <si>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</si>
  <si>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</si>
  <si>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</si>
  <si>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</si>
  <si>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</si>
  <si>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</si>
  <si>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</si>
  <si>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</si>
  <si>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</si>
  <si>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</si>
  <si>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</si>
  <si>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</si>
  <si>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</si>
  <si>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</si>
  <si>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</si>
  <si>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</si>
  <si>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</si>
  <si>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</si>
  <si>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</si>
  <si>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</si>
  <si>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</si>
  <si>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</si>
  <si>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</si>
  <si>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</si>
  <si>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</si>
  <si>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</si>
  <si>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</si>
  <si>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</si>
  <si>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</si>
  <si>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</si>
  <si>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</si>
  <si>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</si>
  <si>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</si>
  <si>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</si>
  <si>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</si>
  <si>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</si>
  <si>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</si>
  <si>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</si>
  <si>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</si>
  <si>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</si>
  <si>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</si>
  <si>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</si>
  <si>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</si>
  <si>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</si>
  <si>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</si>
  <si>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</si>
  <si>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</si>
  <si>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</si>
  <si>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</si>
  <si>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</si>
  <si>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</si>
  <si>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</si>
  <si>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</si>
  <si>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</si>
  <si>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</si>
  <si>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</si>
  <si>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</si>
  <si>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</si>
  <si>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</si>
  <si>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</si>
  <si>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</si>
  <si>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</si>
  <si>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</si>
  <si>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</si>
  <si>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</si>
  <si>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</si>
  <si>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</si>
  <si>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</si>
  <si>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</si>
  <si>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</si>
  <si>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</si>
  <si>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</si>
  <si>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</si>
  <si>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</si>
  <si>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</si>
  <si>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</si>
  <si>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</si>
  <si>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</si>
  <si>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</si>
  <si>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</si>
  <si>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</si>
  <si>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</si>
  <si>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</si>
  <si>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</si>
  <si>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</si>
  <si>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</si>
  <si>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</si>
  <si>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</si>
  <si>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</si>
  <si>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</si>
  <si>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</si>
  <si>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</si>
  <si>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</si>
  <si>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</si>
  <si>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</si>
  <si>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</si>
  <si>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</si>
  <si>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</si>
  <si>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</si>
  <si>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</si>
  <si>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</si>
  <si>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</si>
  <si>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</si>
  <si>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</si>
  <si>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</si>
  <si>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</si>
  <si>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</si>
  <si>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</si>
  <si>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</si>
  <si>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</si>
  <si>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</si>
  <si>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</si>
  <si>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</si>
  <si>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</si>
  <si>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</si>
  <si>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</si>
  <si>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</si>
  <si>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</si>
  <si>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</si>
  <si>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</si>
  <si>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</si>
  <si>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</si>
  <si>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</si>
  <si>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</si>
  <si>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</si>
  <si>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</si>
  <si>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</si>
  <si>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</si>
  <si>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</si>
  <si>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</si>
  <si>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</si>
  <si>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</si>
  <si>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</si>
  <si>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</si>
  <si>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</si>
  <si>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</si>
  <si>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</si>
  <si>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</si>
  <si>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</si>
  <si>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</si>
  <si>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</si>
  <si>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</si>
  <si>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</si>
  <si>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</si>
  <si>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</si>
  <si>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</si>
  <si>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</si>
  <si>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</si>
  <si>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</si>
  <si>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</si>
  <si>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</si>
  <si>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</si>
  <si>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</si>
  <si>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</si>
  <si>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</si>
  <si>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</si>
  <si>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</si>
  <si>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</si>
  <si>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</si>
  <si>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</si>
  <si>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</si>
  <si>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</si>
  <si>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</si>
  <si>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</si>
  <si>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</si>
  <si>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</si>
  <si>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</si>
  <si>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</si>
  <si>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</si>
  <si>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</si>
  <si>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</si>
  <si>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</si>
  <si>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</si>
  <si>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</si>
  <si>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</si>
  <si>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</si>
  <si>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</si>
  <si>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</si>
  <si>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</si>
  <si>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</si>
  <si>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</si>
  <si>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</si>
  <si>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</si>
  <si>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</si>
  <si>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</si>
  <si>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</si>
  <si>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</si>
  <si>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</si>
  <si>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</si>
  <si>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</si>
  <si>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</si>
  <si>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</si>
  <si>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</si>
  <si>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</si>
  <si>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</si>
  <si>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</si>
  <si>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</si>
  <si>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</si>
  <si>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</si>
  <si>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</si>
  <si>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</si>
  <si>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</si>
  <si>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</si>
  <si>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</si>
  <si>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</si>
  <si>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</si>
  <si>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</si>
  <si>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</si>
  <si>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</si>
  <si>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</si>
  <si>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</si>
  <si>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</si>
  <si>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</si>
  <si>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</si>
  <si>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</si>
  <si>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</si>
  <si>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</si>
  <si>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</si>
  <si>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</si>
  <si>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</si>
  <si>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</si>
  <si>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</si>
  <si>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</si>
  <si>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</si>
  <si>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</si>
  <si>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</si>
  <si>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</si>
  <si>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</si>
  <si>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</si>
  <si>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</si>
  <si>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</si>
  <si>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</si>
  <si>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</si>
  <si>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</si>
  <si>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</si>
  <si>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</si>
  <si>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</si>
  <si>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</si>
  <si>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</si>
  <si>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</si>
  <si>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</si>
  <si>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</si>
  <si>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</si>
  <si>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</si>
  <si>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</si>
  <si>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</si>
  <si>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</si>
  <si>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</si>
  <si>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</si>
  <si>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</si>
  <si>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</si>
  <si>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</si>
  <si>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</si>
  <si>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</si>
  <si>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</si>
  <si>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</si>
  <si>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</si>
  <si>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</si>
  <si>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</si>
  <si>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</si>
  <si>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</si>
  <si>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</si>
  <si>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</si>
  <si>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</si>
  <si>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</si>
  <si>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</si>
  <si>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</si>
  <si>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</si>
  <si>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</si>
  <si>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</si>
  <si>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</si>
  <si>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</si>
  <si>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</si>
  <si>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</si>
  <si>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</si>
  <si>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</si>
  <si>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</si>
  <si>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</si>
  <si>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</si>
  <si>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</si>
  <si>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</si>
  <si>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</si>
  <si>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</si>
  <si>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</si>
  <si>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</si>
  <si>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</si>
  <si>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</si>
  <si>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</si>
  <si>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</si>
  <si>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</si>
  <si>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</si>
  <si>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</si>
  <si>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</si>
  <si>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</si>
  <si>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</si>
  <si>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</si>
  <si>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</si>
  <si>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</si>
  <si>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</si>
  <si>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</si>
  <si>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</si>
  <si>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</si>
  <si>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</si>
  <si>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</si>
  <si>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</si>
  <si>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</si>
  <si>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</si>
  <si>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</si>
  <si>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</si>
  <si>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</si>
  <si>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</si>
  <si>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</si>
  <si>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</si>
  <si>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</si>
  <si>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</si>
  <si>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</si>
  <si>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</si>
  <si>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</si>
  <si>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</si>
  <si>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</si>
  <si>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</si>
  <si>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</si>
  <si>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</si>
  <si>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</si>
  <si>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</si>
  <si>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</si>
  <si>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</si>
  <si>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</si>
  <si>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</si>
  <si>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</si>
  <si>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</si>
  <si>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</si>
  <si>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</si>
  <si>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</si>
  <si>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</si>
  <si>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</si>
  <si>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</si>
  <si>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</si>
  <si>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</si>
  <si>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</si>
  <si>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</si>
  <si>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</si>
  <si>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</si>
  <si>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</si>
  <si>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</si>
  <si>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</si>
  <si>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</si>
  <si>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</si>
  <si>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</si>
  <si>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</si>
  <si>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</si>
  <si>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</si>
  <si>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</si>
  <si>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</si>
  <si>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</si>
  <si>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</si>
  <si>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</si>
  <si>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</si>
  <si>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</si>
  <si>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</si>
  <si>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</si>
  <si>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</si>
  <si>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</si>
  <si>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</si>
  <si>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</si>
  <si>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</si>
  <si>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</si>
  <si>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</si>
  <si>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</si>
  <si>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</si>
  <si>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</si>
  <si>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</si>
  <si>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</si>
  <si>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</si>
  <si>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</si>
  <si>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</si>
  <si>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</si>
  <si>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</si>
  <si>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</si>
  <si>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</si>
  <si>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</si>
  <si>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</si>
  <si>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</si>
  <si>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</si>
  <si>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</si>
  <si>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</si>
  <si>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</si>
  <si>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</si>
  <si>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</si>
  <si>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</si>
  <si>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</si>
  <si>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</si>
  <si>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</si>
  <si>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</si>
  <si>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</si>
  <si>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</si>
  <si>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</si>
  <si>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</si>
  <si>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</si>
  <si>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</si>
  <si>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</si>
  <si>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</si>
  <si>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</si>
  <si>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</si>
  <si>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</si>
  <si>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</si>
  <si>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</si>
  <si>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</si>
  <si>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</si>
  <si>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</si>
  <si>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</si>
  <si>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</si>
  <si>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</si>
  <si>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</si>
  <si>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</si>
  <si>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</si>
  <si>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</si>
  <si>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</si>
  <si>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</si>
  <si>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</si>
  <si>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</si>
  <si>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</si>
  <si>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</si>
  <si>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</si>
  <si>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</si>
  <si>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</si>
  <si>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</si>
  <si>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</si>
  <si>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</si>
  <si>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</si>
  <si>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</si>
  <si>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</si>
  <si>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</si>
  <si>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</si>
  <si>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</si>
  <si>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</si>
  <si>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</si>
  <si>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</si>
  <si>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</si>
  <si>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</si>
  <si>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</si>
  <si>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</si>
  <si>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</si>
  <si>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</si>
  <si>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</si>
  <si>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</si>
  <si>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</si>
  <si>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</si>
  <si>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</si>
  <si>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</si>
  <si>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</si>
  <si>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</si>
  <si>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</si>
  <si>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</si>
  <si>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</si>
  <si>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</si>
  <si>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</si>
  <si>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</si>
  <si>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</si>
  <si>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</si>
  <si>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</si>
  <si>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</si>
  <si>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</si>
  <si>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</si>
  <si>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</si>
  <si>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</si>
  <si>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</si>
  <si>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</si>
  <si>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</si>
  <si>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</si>
  <si>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</si>
  <si>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</si>
  <si>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</si>
  <si>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</si>
  <si>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</si>
  <si>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</si>
  <si>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</si>
  <si>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</si>
  <si>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</si>
  <si>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</si>
  <si>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</si>
  <si>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</si>
  <si>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</si>
  <si>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</si>
  <si>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</si>
  <si>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</si>
  <si>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</si>
  <si>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</si>
  <si>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</si>
  <si>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</si>
  <si>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</si>
  <si>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</si>
  <si>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</si>
  <si>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</si>
  <si>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</si>
  <si>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</si>
  <si>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</si>
  <si>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</si>
  <si>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</si>
  <si>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</si>
  <si>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</si>
  <si>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</si>
  <si>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</si>
  <si>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</si>
  <si>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</si>
  <si>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</si>
  <si>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</si>
  <si>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</si>
  <si>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</si>
  <si>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</si>
  <si>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</si>
  <si>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</si>
  <si>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</si>
  <si>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</si>
  <si>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</si>
  <si>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</si>
  <si>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</si>
  <si>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</si>
  <si>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</si>
  <si>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</si>
  <si>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</si>
  <si>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</si>
  <si>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</si>
  <si>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</si>
  <si>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</si>
  <si>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</si>
  <si>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</si>
  <si>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</si>
  <si>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</si>
  <si>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</si>
  <si>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</si>
  <si>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</si>
  <si>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</si>
  <si>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</si>
  <si>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</si>
  <si>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</si>
  <si>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</si>
  <si>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</si>
  <si>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</si>
  <si>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</si>
  <si>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</si>
  <si>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</si>
  <si>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</si>
  <si>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</si>
  <si>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</si>
  <si>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</si>
  <si>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</si>
  <si>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</si>
  <si>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</si>
  <si>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</si>
  <si>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</si>
  <si>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</si>
  <si>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</si>
  <si>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</si>
  <si>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</si>
  <si>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</si>
  <si>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</si>
  <si>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</si>
  <si>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</si>
  <si>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</si>
  <si>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</si>
  <si>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</si>
  <si>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</si>
  <si>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</si>
  <si>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</si>
  <si>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</si>
  <si>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</si>
  <si>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</si>
  <si>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</si>
  <si>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</si>
  <si>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</si>
  <si>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</si>
  <si>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</si>
  <si>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</si>
  <si>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</si>
  <si>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</si>
  <si>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</si>
  <si>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</si>
  <si>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</si>
  <si>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</si>
  <si>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</si>
  <si>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</si>
  <si>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</si>
  <si>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</si>
  <si>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</si>
  <si>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</si>
  <si>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</si>
  <si>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</si>
  <si>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</si>
  <si>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</si>
  <si>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</si>
  <si>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</si>
  <si>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</si>
  <si>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</si>
  <si>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</si>
  <si>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</si>
  <si>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</si>
  <si>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</si>
  <si>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</si>
  <si>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</si>
  <si>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</si>
  <si>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</si>
  <si>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</si>
  <si>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</si>
  <si>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</si>
  <si>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</si>
  <si>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</si>
  <si>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</si>
  <si>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</si>
  <si>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</si>
  <si>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</si>
  <si>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</si>
  <si>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</si>
  <si>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</si>
  <si>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</si>
  <si>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</si>
  <si>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</si>
  <si>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</si>
  <si>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</si>
  <si>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</si>
  <si>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</si>
  <si>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</si>
  <si>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</si>
  <si>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</si>
  <si>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</si>
  <si>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</si>
  <si>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</si>
  <si>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</si>
  <si>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</si>
  <si>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</si>
  <si>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</si>
  <si>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</si>
  <si>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</si>
  <si>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</si>
  <si>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</si>
  <si>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</si>
  <si>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</si>
  <si>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</si>
  <si>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</si>
  <si>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</si>
  <si>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</si>
  <si>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</si>
  <si>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</si>
  <si>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</si>
  <si>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</si>
  <si>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</si>
  <si>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</si>
  <si>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</si>
  <si>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</si>
  <si>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</si>
  <si>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</si>
  <si>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</si>
  <si>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</si>
  <si>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</si>
  <si>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</si>
  <si>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</si>
  <si>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</si>
  <si>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</si>
  <si>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</si>
  <si>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</si>
  <si>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</si>
  <si>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</si>
  <si>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</si>
  <si>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</si>
  <si>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</si>
  <si>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</si>
  <si>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</si>
  <si>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</si>
  <si>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</si>
  <si>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</si>
  <si>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</si>
  <si>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</si>
  <si>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</si>
  <si>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</si>
  <si>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</si>
  <si>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</si>
  <si>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</si>
  <si>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</si>
  <si>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</si>
  <si>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</si>
  <si>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</si>
  <si>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</si>
  <si>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</si>
  <si>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</si>
  <si>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</si>
  <si>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</si>
  <si>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</si>
  <si>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</si>
  <si>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</si>
  <si>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</si>
  <si>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</si>
  <si>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</si>
  <si>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</si>
  <si>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</si>
  <si>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</si>
  <si>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</si>
  <si>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</si>
  <si>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</si>
  <si>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</si>
  <si>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</si>
  <si>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</si>
  <si>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</si>
  <si>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</si>
  <si>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</si>
  <si>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</si>
  <si>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</si>
  <si>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</si>
  <si>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</si>
  <si>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</si>
  <si>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</si>
  <si>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</si>
  <si>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</si>
  <si>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</si>
  <si>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</si>
  <si>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</si>
  <si>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</si>
  <si>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</si>
  <si>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</si>
  <si>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</si>
  <si>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</si>
  <si>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</si>
  <si>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</si>
  <si>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</si>
  <si>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</si>
  <si>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</si>
  <si>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</si>
  <si>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</si>
  <si>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</si>
  <si>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</si>
  <si>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</si>
  <si>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</si>
  <si>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</si>
  <si>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</si>
  <si>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</si>
  <si>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</si>
  <si>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</si>
  <si>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</si>
  <si>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</si>
  <si>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</si>
  <si>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</si>
  <si>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</si>
  <si>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</si>
  <si>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</si>
  <si>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</si>
  <si>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</si>
  <si>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</si>
  <si>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</si>
  <si>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</si>
  <si>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</si>
  <si>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</si>
  <si>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</si>
  <si>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</si>
  <si>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</si>
  <si>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</si>
  <si>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</si>
  <si>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</si>
  <si>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</si>
  <si>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</si>
  <si>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</si>
  <si>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</si>
  <si>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</si>
  <si>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</si>
  <si>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</si>
  <si>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</si>
  <si>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</si>
  <si>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</si>
  <si>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</si>
  <si>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</si>
  <si>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</si>
  <si>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</si>
  <si>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</si>
  <si>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</si>
  <si>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</si>
  <si>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</si>
  <si>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</si>
  <si>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</si>
  <si>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</si>
  <si>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</si>
  <si>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</si>
  <si>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</si>
  <si>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</si>
  <si>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</si>
  <si>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</si>
  <si>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</si>
  <si>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</si>
  <si>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</si>
  <si>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</si>
  <si>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</si>
  <si>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</si>
  <si>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</si>
  <si>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</si>
  <si>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</si>
  <si>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</si>
  <si>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</si>
  <si>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</si>
  <si>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</si>
  <si>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</si>
  <si>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</si>
  <si>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</si>
  <si>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</si>
  <si>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</si>
  <si>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</si>
  <si>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</si>
  <si>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</si>
  <si>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</si>
  <si>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</si>
  <si>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</si>
  <si>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</si>
  <si>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</si>
  <si>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</si>
  <si>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</si>
  <si>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</si>
  <si>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</si>
  <si>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</si>
  <si>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</si>
  <si>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</si>
  <si>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</si>
  <si>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</si>
  <si>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</si>
  <si>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</si>
  <si>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</si>
  <si>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</si>
  <si>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</si>
  <si>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</si>
  <si>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</si>
  <si>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</si>
  <si>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</si>
  <si>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</si>
  <si>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</si>
  <si>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</si>
  <si>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</si>
  <si>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</si>
  <si>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</si>
  <si>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</si>
  <si>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</si>
  <si>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</si>
  <si>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</si>
  <si>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</si>
  <si>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</si>
  <si>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</si>
  <si>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</si>
  <si>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</si>
  <si>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</si>
  <si>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</si>
  <si>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</si>
  <si>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</si>
  <si>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</si>
  <si>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</si>
  <si>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</si>
  <si>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</si>
  <si>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</si>
  <si>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</si>
  <si>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</si>
  <si>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</si>
  <si>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</si>
  <si>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</si>
  <si>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</si>
  <si>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</si>
  <si>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</si>
  <si>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</si>
  <si>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</si>
  <si>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</si>
  <si>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</si>
  <si>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</si>
  <si>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</si>
  <si>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</si>
  <si>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</si>
  <si>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</si>
  <si>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</si>
  <si>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</si>
  <si>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</si>
  <si>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</si>
  <si>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</si>
  <si>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</si>
  <si>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</si>
  <si>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</si>
  <si>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</si>
  <si>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</si>
  <si>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</si>
  <si>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</si>
  <si>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</si>
  <si>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</si>
  <si>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</si>
  <si>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</si>
  <si>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</si>
  <si>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</si>
  <si>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</si>
  <si>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</si>
  <si>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</si>
  <si>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</si>
  <si>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</si>
  <si>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</si>
  <si>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</si>
  <si>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</si>
  <si>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</si>
  <si>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</si>
  <si>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</si>
  <si>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</si>
  <si>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</si>
  <si>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</si>
  <si>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</si>
  <si>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</si>
  <si>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</si>
  <si>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</si>
  <si>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</si>
  <si>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</si>
  <si>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</si>
  <si>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</si>
  <si>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</si>
  <si>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</si>
  <si>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</si>
  <si>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</si>
  <si>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</si>
  <si>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</si>
  <si>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</si>
  <si>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</si>
  <si>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</si>
  <si>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</si>
  <si>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</si>
  <si>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</si>
  <si>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</si>
  <si>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</si>
  <si>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</si>
  <si>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</si>
  <si>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</si>
  <si>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</si>
  <si>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</si>
  <si>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</si>
  <si>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</si>
  <si>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</si>
  <si>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</si>
  <si>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</si>
  <si>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</si>
  <si>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</si>
  <si>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</si>
  <si>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</si>
  <si>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</si>
  <si>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</si>
  <si>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</si>
  <si>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</si>
  <si>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</si>
  <si>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</si>
  <si>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</si>
  <si>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</si>
  <si>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</si>
  <si>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</si>
  <si>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</si>
  <si>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</si>
  <si>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</si>
  <si>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</si>
  <si>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</si>
  <si>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</si>
  <si>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</si>
  <si>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</si>
  <si>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</si>
  <si>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</si>
  <si>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</si>
  <si>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</si>
  <si>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</si>
  <si>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</si>
  <si>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</si>
  <si>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</si>
  <si>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</si>
  <si>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</si>
  <si>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</si>
  <si>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</si>
  <si>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</si>
  <si>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</si>
  <si>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</si>
  <si>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</si>
  <si>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</si>
  <si>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</si>
  <si>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</si>
  <si>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</si>
  <si>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</si>
  <si>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</si>
  <si>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</si>
  <si>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</si>
  <si>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</si>
  <si>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</si>
  <si>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</si>
  <si>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</si>
  <si>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</si>
  <si>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</si>
  <si>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</si>
  <si>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</si>
  <si>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</si>
  <si>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</si>
  <si>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</si>
  <si>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</si>
  <si>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</si>
  <si>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</si>
  <si>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</si>
  <si>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</si>
  <si>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</si>
  <si>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</si>
  <si>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</si>
  <si>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</si>
  <si>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</si>
  <si>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</si>
  <si>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</si>
  <si>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</si>
  <si>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</si>
  <si>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</si>
  <si>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</si>
  <si>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</si>
  <si>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</si>
  <si>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</si>
  <si>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</si>
  <si>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</si>
  <si>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</si>
  <si>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</si>
  <si>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</si>
  <si>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</si>
  <si>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</si>
  <si>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</si>
  <si>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</si>
  <si>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</si>
  <si>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</si>
  <si>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</si>
  <si>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</si>
  <si>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</si>
  <si>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</si>
  <si>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</si>
  <si>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</si>
  <si>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</si>
  <si>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</si>
  <si>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</si>
  <si>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</si>
  <si>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</si>
  <si>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</si>
  <si>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</si>
  <si>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</si>
  <si>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</si>
  <si>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</si>
  <si>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</si>
  <si>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</si>
  <si>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</si>
  <si>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</si>
  <si>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</si>
  <si>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</si>
  <si>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</si>
  <si>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</si>
  <si>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</si>
  <si>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</si>
  <si>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</si>
  <si>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</si>
  <si>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</si>
  <si>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</si>
  <si>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</si>
  <si>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</si>
  <si>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</si>
  <si>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</si>
  <si>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</si>
  <si>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</si>
  <si>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</si>
  <si>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</si>
  <si>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</si>
  <si>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</si>
  <si>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</si>
  <si>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</si>
  <si>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</si>
  <si>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</si>
  <si>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</si>
  <si>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</si>
  <si>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</si>
  <si>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</si>
  <si>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</si>
  <si>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</si>
  <si>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</si>
  <si>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</si>
  <si>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</si>
  <si>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</si>
  <si>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</si>
  <si>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</si>
  <si>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</si>
  <si>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</si>
  <si>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</si>
  <si>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</si>
  <si>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</si>
  <si>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</si>
  <si>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</si>
  <si>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</si>
  <si>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</si>
  <si>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</si>
  <si>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</si>
  <si>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</si>
  <si>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</si>
  <si>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</si>
  <si>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</si>
  <si>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</si>
  <si>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</si>
  <si>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</si>
  <si>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</si>
  <si>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</si>
  <si>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</si>
  <si>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</si>
  <si>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</si>
  <si>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</si>
  <si>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</si>
  <si>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</si>
  <si>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</si>
  <si>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</si>
  <si>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</si>
  <si>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</si>
  <si>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</si>
  <si>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</si>
  <si>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</si>
  <si>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</si>
  <si>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</si>
  <si>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</si>
  <si>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</si>
  <si>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</si>
  <si>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</si>
  <si>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</si>
  <si>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</si>
  <si>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</si>
  <si>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</si>
  <si>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</si>
  <si>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</si>
  <si>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</si>
  <si>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</si>
  <si>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</si>
  <si>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</si>
  <si>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</si>
  <si>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</si>
  <si>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</si>
  <si>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</si>
  <si>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</si>
  <si>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</si>
  <si>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</si>
  <si>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</si>
  <si>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</si>
  <si>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</si>
  <si>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</si>
  <si>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</si>
  <si>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</si>
  <si>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</si>
  <si>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</si>
  <si>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</si>
  <si>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</si>
  <si>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</si>
  <si>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</si>
  <si>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</si>
  <si>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</si>
  <si>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</si>
  <si>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</si>
  <si>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</si>
  <si>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</si>
  <si>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</si>
  <si>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</si>
  <si>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</si>
  <si>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</si>
  <si>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</si>
  <si>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</si>
  <si>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</si>
  <si>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</si>
  <si>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</si>
  <si>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</si>
  <si>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</si>
  <si>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</si>
  <si>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</si>
  <si>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</si>
  <si>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</si>
  <si>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</si>
  <si>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</si>
  <si>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</si>
  <si>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</si>
  <si>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</si>
  <si>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</si>
  <si>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</si>
  <si>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</si>
  <si>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</si>
  <si>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</si>
  <si>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</si>
  <si>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</si>
  <si>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</si>
  <si>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</si>
  <si>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</si>
  <si>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</si>
  <si>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</si>
  <si>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</si>
  <si>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</si>
  <si>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</si>
  <si>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</si>
  <si>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</si>
  <si>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</si>
  <si>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</si>
  <si>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</si>
  <si>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</si>
  <si>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</si>
  <si>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</si>
  <si>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</si>
  <si>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</si>
  <si>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</si>
  <si>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</si>
  <si>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</si>
  <si>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</si>
  <si>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</si>
  <si>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</si>
  <si>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</si>
  <si>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</si>
  <si>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</si>
  <si>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</si>
  <si>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</si>
  <si>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</si>
  <si>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</si>
  <si>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</si>
  <si>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</si>
  <si>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</si>
  <si>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</si>
  <si>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</si>
  <si>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</si>
  <si>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</si>
  <si>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</si>
  <si>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</si>
  <si>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</si>
  <si>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</si>
  <si>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</si>
  <si>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</si>
  <si>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</si>
  <si>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</si>
  <si>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</si>
  <si>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</si>
  <si>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</si>
  <si>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</si>
  <si>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</si>
  <si>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</si>
  <si>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</si>
  <si>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</si>
  <si>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</si>
  <si>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</si>
  <si>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</si>
  <si>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</si>
  <si>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</si>
  <si>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</si>
  <si>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SOUTH FORK COMMUNITY UNIT SCHOOL DISTRICT NO. 14</t>
  </si>
  <si>
    <t>SCHEDULE OF CASH RECEIPTS AND DISBURSEMENTS</t>
  </si>
  <si>
    <t>ACTIVITY FUNDS</t>
  </si>
  <si>
    <t>Balance</t>
  </si>
  <si>
    <t>Receipts</t>
  </si>
  <si>
    <t>Disbursements</t>
  </si>
  <si>
    <t>ASSETS</t>
  </si>
  <si>
    <t>Cash</t>
  </si>
  <si>
    <t>LIABILITIES</t>
  </si>
  <si>
    <t>Amounts Due to Organizations:</t>
  </si>
  <si>
    <t xml:space="preserve">   Class of 2020</t>
  </si>
  <si>
    <t xml:space="preserve">   Class of 2019</t>
  </si>
  <si>
    <t xml:space="preserve">   Class of 2018</t>
  </si>
  <si>
    <t xml:space="preserve">   8th Grade</t>
  </si>
  <si>
    <t xml:space="preserve">   After Prom</t>
  </si>
  <si>
    <t xml:space="preserve">   Yearbook</t>
  </si>
  <si>
    <t xml:space="preserve">   Cheerleaders</t>
  </si>
  <si>
    <t xml:space="preserve">   Student Council</t>
  </si>
  <si>
    <t xml:space="preserve">   Boys Basketball</t>
  </si>
  <si>
    <t xml:space="preserve">   Angel Tree</t>
  </si>
  <si>
    <t xml:space="preserve">   Principals Fund</t>
  </si>
  <si>
    <t xml:space="preserve">   Football</t>
  </si>
  <si>
    <t xml:space="preserve">   Library Club</t>
  </si>
  <si>
    <t xml:space="preserve">   National Honor Society</t>
  </si>
  <si>
    <t xml:space="preserve">   JH Student Council</t>
  </si>
  <si>
    <t xml:space="preserve">   JH Cheerleaders</t>
  </si>
  <si>
    <t xml:space="preserve">   Technology</t>
  </si>
  <si>
    <t xml:space="preserve">   Scholarship</t>
  </si>
  <si>
    <t xml:space="preserve">   Girls Basketball</t>
  </si>
  <si>
    <t xml:space="preserve">   JH Girls Basketball</t>
  </si>
  <si>
    <t xml:space="preserve">   HS PBIS</t>
  </si>
  <si>
    <t xml:space="preserve">   Blackout Student Club</t>
  </si>
  <si>
    <t xml:space="preserve">   Red Cross</t>
  </si>
  <si>
    <t xml:space="preserve">   Parent Teacher Community</t>
  </si>
  <si>
    <t xml:space="preserve">   Art</t>
  </si>
  <si>
    <t>TOTAL SENIOR/JUNIOR HIGH SCHOOL</t>
  </si>
  <si>
    <t xml:space="preserve">   ES PBIS</t>
  </si>
  <si>
    <t xml:space="preserve">   Elementary Account</t>
  </si>
  <si>
    <t>TOTAL ELEMENTARY SCHOOL</t>
  </si>
  <si>
    <t>TOTAL LIABILITIES</t>
  </si>
  <si>
    <t>FOR THE FISCAL YEAR ENDED JUNE 30, 2018</t>
  </si>
  <si>
    <t>July 1, 2017</t>
  </si>
  <si>
    <t>June 30, 2018</t>
  </si>
  <si>
    <t xml:space="preserve">   Class of 2021</t>
  </si>
  <si>
    <t xml:space="preserve">   JH Boys Basketball</t>
  </si>
  <si>
    <t xml:space="preserve">   Music</t>
  </si>
  <si>
    <t>x</t>
  </si>
  <si>
    <t>Christian</t>
  </si>
  <si>
    <t>South Fork Community Unit School District No. 14</t>
  </si>
  <si>
    <t>Kincaid</t>
  </si>
  <si>
    <t>rgraham@southforkschools.com</t>
  </si>
  <si>
    <t>Ron Graham</t>
  </si>
  <si>
    <t>217-237-4333 x222</t>
  </si>
  <si>
    <t>612 Dial Street - P.O. Box 20</t>
  </si>
  <si>
    <t>217-237-4370</t>
  </si>
  <si>
    <t>LMHN, Ltd.</t>
  </si>
  <si>
    <t>M. Adam Mathias, CPA, PFS, CVA</t>
  </si>
  <si>
    <t>900 N. Webster Street</t>
  </si>
  <si>
    <t>Taylorville</t>
  </si>
  <si>
    <t>IL</t>
  </si>
  <si>
    <t>217-824-9661</t>
  </si>
  <si>
    <t>217-824-2415</t>
  </si>
  <si>
    <t>066-003847</t>
  </si>
  <si>
    <t>lmhncpas@yahoo.com</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</si>
  <si>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</si>
  <si>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</si>
  <si>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</si>
  <si>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</si>
  <si>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</si>
  <si>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</si>
  <si>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</si>
  <si>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</si>
  <si>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</si>
  <si>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</si>
  <si>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</si>
  <si>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</si>
  <si>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</si>
  <si>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</si>
  <si>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</si>
  <si>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</si>
  <si>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</si>
  <si>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</si>
  <si>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</si>
  <si>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49</t>
  </si>
  <si>
    <t>50</t>
  </si>
  <si>
    <t>Supplementary Schedules:</t>
  </si>
  <si>
    <t>Schedule of Ad Valorem Tax Receipts</t>
  </si>
  <si>
    <t>Schedule of Short Term Debt and Long Term Debt</t>
  </si>
  <si>
    <t>Schedule of Restricted Local Tax Levies and Tort Immunity Expenditures</t>
  </si>
  <si>
    <t>Estimated Indirect Cost Data</t>
  </si>
  <si>
    <t>55</t>
  </si>
  <si>
    <t>TABLE OF CONTENTS (CONTINUED)</t>
  </si>
  <si>
    <t>Statistical Section:</t>
  </si>
  <si>
    <t>Schedule of Capital Outlay and Depreciation</t>
  </si>
  <si>
    <t>Estimated Operating Expenditures Per Pupil and Per Capita Tuition Charge</t>
  </si>
  <si>
    <t>Other Schedules and Itemizations:</t>
  </si>
  <si>
    <t>Itemization Schedule</t>
  </si>
  <si>
    <t>Reference Page</t>
  </si>
  <si>
    <t>Auditor's Questionnaire</t>
  </si>
  <si>
    <t>Financial Profile Information</t>
  </si>
  <si>
    <t>Schedule of Cash Receipts and Disbursements - Activity Funds</t>
  </si>
  <si>
    <t>Limitation of Administrative Costs Worksheet</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</si>
  <si>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</si>
  <si>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</si>
  <si>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</si>
  <si>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</si>
  <si>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</si>
  <si>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</si>
  <si>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2018</t>
  </si>
  <si>
    <t xml:space="preserve">   Computation 2017-2018</t>
  </si>
  <si>
    <t>42</t>
  </si>
  <si>
    <t>43</t>
  </si>
  <si>
    <t>44</t>
  </si>
  <si>
    <t>45</t>
  </si>
  <si>
    <t>46</t>
  </si>
  <si>
    <t>47-48</t>
  </si>
  <si>
    <t>51-52</t>
  </si>
  <si>
    <t>53-54</t>
  </si>
  <si>
    <t>56</t>
  </si>
  <si>
    <t>58</t>
  </si>
  <si>
    <t>Current Year Payment on Contracts for Indirect Cost Rate Computation</t>
  </si>
  <si>
    <t>57</t>
  </si>
  <si>
    <t>G.O. Lmited School Bonds</t>
  </si>
  <si>
    <t>G.O. Limited Working Cash and Refunding Bonds</t>
  </si>
  <si>
    <t>G.O. Unlimited Refunding Bonds</t>
  </si>
  <si>
    <t>81% Working Cash; 19% Refunding</t>
  </si>
  <si>
    <t>n/a</t>
  </si>
  <si>
    <t>Pre-Calc (prior), Chemisty (current) and Ag (current and next) with Edinburg CUSD</t>
  </si>
  <si>
    <t>Mid-State Special Education</t>
  </si>
  <si>
    <t>Sports with Edinburg CUSD and Morrisonville CUSD</t>
  </si>
  <si>
    <t>24-41</t>
  </si>
  <si>
    <t>Page 18, Account 5400, Other Objects - $1,100 represents bond agent fees.</t>
  </si>
  <si>
    <t>Note… The page numbers referred to above correlate to the page numbering system that ISBE utilizes on their AFR, located on the top</t>
  </si>
  <si>
    <t xml:space="preserve">   left or top right hand corner of each AFR page.</t>
  </si>
  <si>
    <t>Page 11, Account 1999, Educational Fund - $20,317 represents miscellaneous revenues, refunds and reimbursements.</t>
  </si>
  <si>
    <t>Page 11, Account 1999, Operations and Maintenance Fund - $1,900 represents miscellaneous revenues, refunds and reimbursements.</t>
  </si>
  <si>
    <t>Page 15, Account 2190, Salaries - $113 represents playground supervisor salaries.</t>
  </si>
  <si>
    <t>Page 19, Account 2190, Employee Benefits - $9 represents playground supervisor benefits.</t>
  </si>
  <si>
    <t>Page 23, Other - $279 represents prior year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</si>
</sst>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8" fillId="0" borderId="0" applyFont="0" applyFill="0" applyBorder="0" applyAlignment="0" applyProtection="0"/>
  </cellStyleXfs>
  <cellXfs count="254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43" fillId="0" borderId="0" xfId="0" applyFont="1"/>
    <xf numFmtId="0" fontId="43" fillId="0" borderId="0" xfId="0" applyFont="1" applyAlignment="1">
      <alignment horizontal="center"/>
    </xf>
    <xf numFmtId="15" fontId="43" fillId="0" borderId="78" xfId="0" quotePrefix="1" applyNumberFormat="1" applyFont="1" applyBorder="1" applyAlignment="1">
      <alignment horizontal="center"/>
    </xf>
    <xf numFmtId="0" fontId="43" fillId="0" borderId="78" xfId="0" applyFont="1" applyBorder="1" applyAlignment="1">
      <alignment horizontal="center"/>
    </xf>
    <xf numFmtId="181" fontId="43" fillId="0" borderId="166" xfId="19" applyNumberFormat="1" applyFont="1" applyBorder="1" applyAlignment="1">
      <alignment horizontal="right"/>
    </xf>
    <xf numFmtId="0" fontId="43" fillId="0" borderId="0" xfId="0" applyFont="1" applyAlignment="1">
      <alignment horizontal="right"/>
    </xf>
    <xf numFmtId="181" fontId="43" fillId="0" borderId="0" xfId="19" applyNumberFormat="1" applyFont="1" applyAlignment="1">
      <alignment horizontal="right"/>
    </xf>
    <xf numFmtId="181" fontId="43" fillId="0" borderId="0" xfId="19" applyNumberFormat="1" applyFont="1" applyBorder="1" applyAlignment="1">
      <alignment horizontal="right"/>
    </xf>
    <xf numFmtId="182" fontId="43" fillId="0" borderId="0" xfId="1" applyNumberFormat="1" applyFont="1" applyAlignment="1">
      <alignment horizontal="right"/>
    </xf>
    <xf numFmtId="182" fontId="43" fillId="0" borderId="0" xfId="1" applyNumberFormat="1" applyFont="1" applyBorder="1" applyAlignment="1">
      <alignment horizontal="right"/>
    </xf>
    <xf numFmtId="182" fontId="43" fillId="0" borderId="78" xfId="1" applyNumberFormat="1" applyFont="1" applyBorder="1" applyAlignment="1">
      <alignment horizontal="right"/>
    </xf>
    <xf numFmtId="181" fontId="43" fillId="0" borderId="78" xfId="19" applyNumberFormat="1" applyFont="1" applyBorder="1" applyAlignment="1">
      <alignment horizontal="right"/>
    </xf>
    <xf numFmtId="43" fontId="43" fillId="0" borderId="0" xfId="0" applyNumberFormat="1" applyFont="1"/>
    <xf numFmtId="0" fontId="43" fillId="0" borderId="0" xfId="3" applyFont="1"/>
    <xf numFmtId="0" fontId="137" fillId="0" borderId="0" xfId="3" applyFont="1" applyAlignment="1">
      <alignment horizontal="center"/>
    </xf>
    <xf numFmtId="0" fontId="136" fillId="0" borderId="0" xfId="3" applyFont="1" applyAlignment="1">
      <alignment horizontal="center"/>
    </xf>
    <xf numFmtId="0" fontId="138" fillId="0" borderId="0" xfId="3" applyFont="1" applyAlignment="1">
      <alignment horizontal="center"/>
    </xf>
    <xf numFmtId="16" fontId="139" fillId="0" borderId="0" xfId="3" applyNumberFormat="1" applyFont="1" applyAlignment="1">
      <alignment horizontal="center"/>
    </xf>
    <xf numFmtId="0" fontId="140" fillId="0" borderId="0" xfId="3" applyFont="1" applyBorder="1" applyAlignment="1">
      <alignment horizontal="left"/>
    </xf>
    <xf numFmtId="0" fontId="138" fillId="0" borderId="0" xfId="3" applyFont="1" applyBorder="1" applyAlignment="1">
      <alignment horizontal="center"/>
    </xf>
    <xf numFmtId="16" fontId="140" fillId="0" borderId="0" xfId="3" quotePrefix="1" applyNumberFormat="1" applyFont="1" applyAlignment="1">
      <alignment horizontal="center"/>
    </xf>
    <xf numFmtId="0" fontId="140" fillId="0" borderId="0" xfId="3" applyFont="1" applyBorder="1"/>
    <xf numFmtId="0" fontId="139" fillId="0" borderId="0" xfId="3" applyFont="1" applyBorder="1" applyAlignment="1">
      <alignment horizontal="left"/>
    </xf>
    <xf numFmtId="0" fontId="140" fillId="0" borderId="0" xfId="3" applyFont="1"/>
    <xf numFmtId="0" fontId="140" fillId="0" borderId="0" xfId="3" quotePrefix="1" applyFont="1"/>
    <xf numFmtId="0" fontId="140" fillId="0" borderId="0" xfId="3" applyFont="1" applyAlignment="1">
      <alignment horizontal="center"/>
    </xf>
    <xf numFmtId="0" fontId="140" fillId="0" borderId="0" xfId="3" quotePrefix="1" applyFont="1" applyAlignment="1">
      <alignment horizontal="center"/>
    </xf>
    <xf numFmtId="0" fontId="141" fillId="0" borderId="0" xfId="3" applyFont="1"/>
    <xf numFmtId="0" fontId="141" fillId="0" borderId="0" xfId="3" applyFont="1" applyAlignment="1">
      <alignment horizontal="center"/>
    </xf>
    <xf numFmtId="0" fontId="142" fillId="0" borderId="0" xfId="3" applyFont="1"/>
    <xf numFmtId="0" fontId="142" fillId="0" borderId="0" xfId="3" applyFont="1" applyAlignment="1">
      <alignment horizontal="center"/>
    </xf>
    <xf numFmtId="0" fontId="143" fillId="0" borderId="0" xfId="3" applyFont="1"/>
    <xf numFmtId="0" fontId="43" fillId="0" borderId="0" xfId="3" applyFont="1" applyAlignment="1">
      <alignment horizontal="center"/>
    </xf>
    <xf numFmtId="0" fontId="1" fillId="0" borderId="158" xfId="17" applyFont="1" applyBorder="1" applyAlignment="1" applyProtection="1">
      <alignment horizontal="left" vertical="top" wrapText="1"/>
      <protection locked="0"/>
    </xf>
    <xf numFmtId="16" fontId="140" fillId="0" borderId="0" xfId="3" quotePrefix="1" applyNumberFormat="1" applyFont="1" applyFill="1" applyAlignment="1">
      <alignment horizontal="center"/>
    </xf>
    <xf numFmtId="0" fontId="11" fillId="0" borderId="0" xfId="0" applyFont="1"/>
    <xf numFmtId="164" fontId="9" fillId="0" borderId="0" xfId="0" applyNumberFormat="1" applyFont="1"/>
    <xf numFmtId="164" fontId="0" fillId="0" borderId="0" xfId="0" applyNumberFormat="1"/>
    <xf numFmtId="0" fontId="9" fillId="0" borderId="0" xfId="0" applyFont="1" applyAlignment="1">
      <alignment horizontal="left"/>
    </xf>
    <xf numFmtId="166" fontId="9" fillId="0" borderId="0" xfId="0" applyNumberFormat="1" applyFont="1" applyAlignment="1">
      <alignment horizontal="left"/>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quotePrefix="1"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137" fillId="0" borderId="0" xfId="3" applyFont="1" applyAlignment="1">
      <alignment horizontal="center"/>
    </xf>
    <xf numFmtId="0" fontId="136" fillId="0" borderId="0" xfId="3" applyFont="1" applyAlignment="1">
      <alignment horizontal="center"/>
    </xf>
    <xf numFmtId="0" fontId="81" fillId="0" borderId="0" xfId="0" applyFont="1" applyAlignment="1">
      <alignment vertical="top" wrapText="1"/>
    </xf>
    <xf numFmtId="0" fontId="43" fillId="0" borderId="0" xfId="0" applyFont="1" applyAlignment="1">
      <alignment horizontal="center"/>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FCF0581B-567F-4D95-94FC-7345C34356E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B4B7AB9F-56A3-4CB3-832F-A5EFC39287F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DCD17586-A518-4370-853D-A824E72D6F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am.LMH\Desktop\Off%20Site%20Work%20-%20Delete%20Later\SF%20CUSD%2014\AFR\03-011-0140-24_AFR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Table of Contents - Excel"/>
      <sheetName val="Opinion - PDF"/>
      <sheetName val="GAS Report - PDF"/>
      <sheetName val="Notes - PDF"/>
      <sheetName val="IMRF Schedule - OI 1 - Excel"/>
      <sheetName val="IMRF Schedule - OI 2 - Excel"/>
      <sheetName val="TRS Schedule - OI - Excel"/>
      <sheetName val="Activity Funds - Excel"/>
      <sheetName val="DeficitAFRSum Calc 36"/>
      <sheetName val="AUDITCHECK"/>
      <sheetName val="Single Audit Cover"/>
      <sheetName val="Single Audit Checklist"/>
      <sheetName val="SEFA Reconcile"/>
      <sheetName val="SEFA NOTES"/>
      <sheetName val=" SEFA"/>
      <sheetName val="SF&amp;QC Sec-1"/>
      <sheetName val="SF&amp;QC Sec-2"/>
      <sheetName val="SF&amp;QC Sec-3"/>
      <sheetName val="SSPAF"/>
      <sheetName val="CAP"/>
      <sheetName val="AFR17"/>
    </sheetNames>
    <sheetDataSet>
      <sheetData sheetId="0">
        <row r="13">
          <cell r="A13" t="str">
            <v>03-011-0140-24</v>
          </cell>
        </row>
        <row r="17">
          <cell r="A17" t="str">
            <v>South Fork Community Unit School District No. 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8" t="s">
        <v>425</v>
      </c>
      <c r="J1" s="2069"/>
      <c r="K1" s="2069"/>
      <c r="L1" s="2069"/>
      <c r="M1" s="2069"/>
      <c r="N1" s="2069"/>
      <c r="O1" s="2069"/>
      <c r="P1" s="2069"/>
      <c r="Q1" s="2069"/>
      <c r="R1" s="2069"/>
      <c r="S1" s="2069"/>
    </row>
    <row r="2" spans="1:28" ht="12" customHeight="1" x14ac:dyDescent="0.2">
      <c r="A2" s="47" t="s">
        <v>1684</v>
      </c>
      <c r="D2" s="48"/>
      <c r="I2" s="2070" t="s">
        <v>1036</v>
      </c>
      <c r="J2" s="2069"/>
      <c r="K2" s="2069"/>
      <c r="L2" s="2069"/>
      <c r="M2" s="2069"/>
      <c r="N2" s="2069"/>
      <c r="O2" s="2069"/>
      <c r="P2" s="2069"/>
      <c r="Q2" s="2069"/>
      <c r="R2" s="2069"/>
      <c r="S2" s="2069"/>
    </row>
    <row r="3" spans="1:28" ht="12" customHeight="1" x14ac:dyDescent="0.2">
      <c r="A3" s="155" t="s">
        <v>1685</v>
      </c>
      <c r="B3" s="156"/>
      <c r="C3" s="156"/>
      <c r="D3" s="157"/>
      <c r="I3" s="2070" t="s">
        <v>54</v>
      </c>
      <c r="J3" s="2069"/>
      <c r="K3" s="2069"/>
      <c r="L3" s="2069"/>
      <c r="M3" s="2069"/>
      <c r="N3" s="2069"/>
      <c r="O3" s="2069"/>
      <c r="P3" s="2069"/>
      <c r="Q3" s="2069"/>
      <c r="R3" s="2069"/>
      <c r="S3" s="2069"/>
    </row>
    <row r="4" spans="1:28" ht="12" customHeight="1" x14ac:dyDescent="0.2">
      <c r="A4" s="37"/>
      <c r="I4" s="2070" t="s">
        <v>545</v>
      </c>
      <c r="J4" s="2069"/>
      <c r="K4" s="2069"/>
      <c r="L4" s="2069"/>
      <c r="M4" s="2069"/>
      <c r="N4" s="2069"/>
      <c r="O4" s="2069"/>
      <c r="P4" s="2069"/>
      <c r="Q4" s="2069"/>
      <c r="R4" s="2069"/>
      <c r="S4" s="2069"/>
    </row>
    <row r="5" spans="1:28" ht="14.1" customHeight="1" x14ac:dyDescent="0.2">
      <c r="B5" s="104" t="s">
        <v>2123</v>
      </c>
      <c r="C5" s="26" t="s">
        <v>966</v>
      </c>
      <c r="D5" s="84"/>
      <c r="E5" s="84"/>
      <c r="H5" s="38"/>
      <c r="I5" s="2077" t="s">
        <v>701</v>
      </c>
      <c r="J5" s="2022"/>
      <c r="K5" s="2022"/>
      <c r="L5" s="2022"/>
      <c r="M5" s="2022"/>
      <c r="N5" s="2022"/>
      <c r="O5" s="2022"/>
      <c r="P5" s="2022"/>
      <c r="Q5" s="2022"/>
      <c r="R5" s="2022"/>
      <c r="S5" s="2022"/>
    </row>
    <row r="6" spans="1:28" ht="14.1" customHeight="1" x14ac:dyDescent="0.2">
      <c r="B6" s="104"/>
      <c r="C6" s="26" t="s">
        <v>967</v>
      </c>
      <c r="D6" s="84"/>
      <c r="E6" s="84"/>
      <c r="I6" s="2076" t="s">
        <v>938</v>
      </c>
      <c r="J6" s="2022"/>
      <c r="K6" s="2022"/>
      <c r="L6" s="2022"/>
      <c r="M6" s="2022"/>
      <c r="N6" s="2022"/>
      <c r="O6" s="2022"/>
      <c r="P6" s="2022"/>
      <c r="Q6" s="2022"/>
      <c r="R6" s="2022"/>
      <c r="S6" s="2022"/>
    </row>
    <row r="7" spans="1:28" ht="12.2" customHeight="1" x14ac:dyDescent="0.2">
      <c r="I7" s="2071">
        <v>43281</v>
      </c>
      <c r="J7" s="2072"/>
      <c r="K7" s="2072"/>
      <c r="L7" s="2072"/>
      <c r="M7" s="2072"/>
      <c r="N7" s="2072"/>
      <c r="O7" s="2072"/>
      <c r="P7" s="2072"/>
      <c r="Q7" s="2072"/>
      <c r="R7" s="2072"/>
      <c r="S7" s="207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3" t="s">
        <v>695</v>
      </c>
      <c r="J9" s="2074"/>
      <c r="K9" s="2074"/>
      <c r="L9" s="2074"/>
      <c r="M9" s="2074"/>
      <c r="N9" s="2074"/>
      <c r="O9" s="2074"/>
      <c r="P9" s="2074"/>
      <c r="Q9" s="2074"/>
      <c r="R9" s="2074"/>
      <c r="S9" s="2075"/>
      <c r="T9" s="2018" t="s">
        <v>554</v>
      </c>
      <c r="U9" s="2019"/>
      <c r="V9" s="2019"/>
      <c r="W9" s="2019"/>
      <c r="X9" s="2019"/>
      <c r="Y9" s="2019"/>
      <c r="Z9" s="2019"/>
      <c r="AA9" s="2020"/>
    </row>
    <row r="10" spans="1:28" ht="13.5" customHeight="1" x14ac:dyDescent="0.2">
      <c r="A10" s="2027" t="s">
        <v>696</v>
      </c>
      <c r="B10" s="2028"/>
      <c r="C10" s="2028"/>
      <c r="D10" s="2028"/>
      <c r="E10" s="2028"/>
      <c r="F10" s="2028"/>
      <c r="G10" s="2028"/>
      <c r="H10" s="2029"/>
      <c r="I10" s="29"/>
      <c r="J10" s="30"/>
      <c r="K10" s="28"/>
      <c r="R10" s="30"/>
      <c r="S10" s="30"/>
      <c r="T10" s="2021"/>
      <c r="U10" s="2022"/>
      <c r="V10" s="2022"/>
      <c r="W10" s="2022"/>
      <c r="X10" s="2022"/>
      <c r="Y10" s="2022"/>
      <c r="Z10" s="2022"/>
      <c r="AA10" s="2023"/>
    </row>
    <row r="11" spans="1:28" ht="14.25" customHeight="1" x14ac:dyDescent="0.2">
      <c r="A11" s="2030" t="s">
        <v>1012</v>
      </c>
      <c r="B11" s="2031"/>
      <c r="C11" s="2031"/>
      <c r="D11" s="2031"/>
      <c r="E11" s="2031"/>
      <c r="F11" s="2031"/>
      <c r="G11" s="2031"/>
      <c r="H11" s="2032"/>
      <c r="I11" s="27"/>
      <c r="J11" s="74"/>
      <c r="K11" s="27"/>
      <c r="O11" s="148" t="s">
        <v>2123</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3011014024</v>
      </c>
      <c r="B13" s="2039"/>
      <c r="C13" s="2039"/>
      <c r="D13" s="2039"/>
      <c r="E13" s="2039"/>
      <c r="F13" s="2039"/>
      <c r="G13" s="2039"/>
      <c r="H13" s="2040"/>
      <c r="I13" s="31"/>
      <c r="J13" s="30"/>
      <c r="K13" s="28"/>
      <c r="L13" s="30"/>
      <c r="M13" s="30"/>
      <c r="N13" s="30"/>
      <c r="O13" s="30"/>
      <c r="P13" s="30"/>
      <c r="Q13" s="30"/>
      <c r="R13" s="30"/>
      <c r="S13" s="30"/>
      <c r="T13" s="2043" t="s">
        <v>2132</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2124</v>
      </c>
      <c r="B15" s="2041"/>
      <c r="C15" s="2041"/>
      <c r="D15" s="2041"/>
      <c r="E15" s="2041"/>
      <c r="F15" s="2041"/>
      <c r="G15" s="2041"/>
      <c r="H15" s="2042"/>
      <c r="T15" s="2004" t="s">
        <v>2133</v>
      </c>
      <c r="U15" s="2005"/>
      <c r="V15" s="2005"/>
      <c r="W15" s="2005"/>
      <c r="X15" s="2005"/>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2125</v>
      </c>
      <c r="B17" s="2066"/>
      <c r="C17" s="2066"/>
      <c r="D17" s="2066"/>
      <c r="E17" s="2066"/>
      <c r="F17" s="2066"/>
      <c r="G17" s="2066"/>
      <c r="H17" s="2067"/>
      <c r="T17" s="2053" t="s">
        <v>2134</v>
      </c>
      <c r="U17" s="2054"/>
      <c r="V17" s="2054"/>
      <c r="W17" s="2054"/>
      <c r="X17" s="2054"/>
      <c r="Y17" s="2054"/>
      <c r="Z17" s="2054"/>
      <c r="AA17" s="2055"/>
    </row>
    <row r="18" spans="1:27" ht="13.5" customHeight="1" x14ac:dyDescent="0.2">
      <c r="A18" s="85" t="s">
        <v>551</v>
      </c>
      <c r="B18" s="76"/>
      <c r="C18" s="72"/>
      <c r="D18" s="76"/>
      <c r="E18" s="76"/>
      <c r="F18" s="76"/>
      <c r="G18" s="76"/>
      <c r="H18" s="56"/>
      <c r="I18" s="2063" t="s">
        <v>697</v>
      </c>
      <c r="J18" s="2064"/>
      <c r="K18" s="2064"/>
      <c r="L18" s="2064"/>
      <c r="M18" s="2064"/>
      <c r="N18" s="2064"/>
      <c r="O18" s="2064"/>
      <c r="P18" s="2064"/>
      <c r="Q18" s="2064"/>
      <c r="R18" s="2064"/>
      <c r="S18" s="2065"/>
      <c r="T18" s="85" t="s">
        <v>735</v>
      </c>
      <c r="U18" s="51"/>
      <c r="V18" s="72"/>
      <c r="W18" s="50"/>
      <c r="X18" s="85" t="s">
        <v>284</v>
      </c>
      <c r="Y18" s="81"/>
      <c r="Z18" s="159" t="s">
        <v>698</v>
      </c>
      <c r="AA18" s="46"/>
    </row>
    <row r="19" spans="1:27" ht="13.5" customHeight="1" x14ac:dyDescent="0.2">
      <c r="A19" s="2036" t="s">
        <v>2130</v>
      </c>
      <c r="B19" s="2037"/>
      <c r="C19" s="2037"/>
      <c r="D19" s="2037"/>
      <c r="E19" s="2037"/>
      <c r="F19" s="2037"/>
      <c r="G19" s="2037"/>
      <c r="H19" s="2035"/>
      <c r="I19" s="30"/>
      <c r="J19" s="99"/>
      <c r="K19" s="40"/>
      <c r="L19" s="38"/>
      <c r="M19" s="112" t="s">
        <v>333</v>
      </c>
      <c r="P19" s="27"/>
      <c r="Q19" s="27"/>
      <c r="R19" s="27"/>
      <c r="S19" s="31"/>
      <c r="T19" s="2036" t="s">
        <v>2135</v>
      </c>
      <c r="U19" s="2034"/>
      <c r="V19" s="2034"/>
      <c r="W19" s="2035"/>
      <c r="X19" s="2051" t="s">
        <v>2136</v>
      </c>
      <c r="Y19" s="2052"/>
      <c r="Z19" s="2049">
        <v>62568</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3" t="s">
        <v>2126</v>
      </c>
      <c r="B21" s="2034"/>
      <c r="C21" s="2034"/>
      <c r="D21" s="2034"/>
      <c r="E21" s="2034"/>
      <c r="F21" s="2034"/>
      <c r="G21" s="2034"/>
      <c r="H21" s="2035"/>
      <c r="I21" s="2059" t="s">
        <v>699</v>
      </c>
      <c r="J21" s="2022"/>
      <c r="K21" s="2022"/>
      <c r="L21" s="2022"/>
      <c r="M21" s="2022"/>
      <c r="N21" s="2022"/>
      <c r="O21" s="2022"/>
      <c r="P21" s="2022"/>
      <c r="Q21" s="2022"/>
      <c r="R21" s="2022"/>
      <c r="S21" s="2023"/>
      <c r="T21" s="2001" t="s">
        <v>2137</v>
      </c>
      <c r="U21" s="2002"/>
      <c r="V21" s="2002"/>
      <c r="W21" s="2002"/>
      <c r="X21" s="2015" t="s">
        <v>2138</v>
      </c>
      <c r="Y21" s="2016"/>
      <c r="Z21" s="2016"/>
      <c r="AA21" s="2017"/>
    </row>
    <row r="22" spans="1:27" ht="13.5" customHeight="1" x14ac:dyDescent="0.2">
      <c r="A22" s="87" t="s">
        <v>552</v>
      </c>
      <c r="B22" s="59"/>
      <c r="C22" s="59"/>
      <c r="D22" s="59"/>
      <c r="E22" s="59"/>
      <c r="F22" s="59"/>
      <c r="G22" s="59"/>
      <c r="H22" s="60"/>
      <c r="I22" s="2060" t="s">
        <v>1504</v>
      </c>
      <c r="J22" s="2061"/>
      <c r="K22" s="2061"/>
      <c r="L22" s="2061"/>
      <c r="M22" s="2061"/>
      <c r="N22" s="2061"/>
      <c r="O22" s="2061"/>
      <c r="P22" s="2061"/>
      <c r="Q22" s="2061"/>
      <c r="R22" s="2061"/>
      <c r="S22" s="2062"/>
      <c r="T22" s="85" t="s">
        <v>1596</v>
      </c>
      <c r="U22" s="51"/>
      <c r="V22" s="72"/>
      <c r="W22" s="51"/>
      <c r="X22" s="160" t="s">
        <v>1385</v>
      </c>
      <c r="Z22" s="45"/>
      <c r="AA22" s="46"/>
    </row>
    <row r="23" spans="1:27" ht="13.5" customHeight="1" x14ac:dyDescent="0.2">
      <c r="A23" s="2056" t="s">
        <v>2127</v>
      </c>
      <c r="B23" s="2057"/>
      <c r="C23" s="2057"/>
      <c r="D23" s="2057"/>
      <c r="E23" s="2057"/>
      <c r="F23" s="2057"/>
      <c r="G23" s="2057"/>
      <c r="H23" s="2058"/>
      <c r="T23" s="1996" t="s">
        <v>2139</v>
      </c>
      <c r="U23" s="1997"/>
      <c r="V23" s="1997"/>
      <c r="W23" s="1997"/>
      <c r="X23" s="2012">
        <v>43434</v>
      </c>
      <c r="Y23" s="2013"/>
      <c r="Z23" s="2013"/>
      <c r="AA23" s="2014"/>
    </row>
    <row r="24" spans="1:27" ht="14.1" customHeight="1" x14ac:dyDescent="0.2">
      <c r="A24" s="88" t="s">
        <v>698</v>
      </c>
      <c r="B24" s="49"/>
      <c r="C24" s="49"/>
      <c r="D24" s="49"/>
      <c r="E24" s="49"/>
      <c r="F24" s="49"/>
      <c r="G24" s="49"/>
      <c r="H24" s="61"/>
      <c r="J24" s="2098">
        <f>IF(B5="x",IF(AUDITCHECK!D29="AFR form Incomplete.","",IF(AUDITCHECK!D29="Deficit reduction plan is required.","School District must complete a deficit reduction plan in the 2018-2019 Budget",)),"")</f>
        <v>0</v>
      </c>
      <c r="K24" s="2098"/>
      <c r="L24" s="2098"/>
      <c r="M24" s="2098"/>
      <c r="N24" s="2098"/>
      <c r="O24" s="2098"/>
      <c r="P24" s="2098"/>
      <c r="Q24" s="2098"/>
      <c r="R24" s="2098"/>
      <c r="S24" s="2099"/>
      <c r="T24" s="105" t="s">
        <v>552</v>
      </c>
      <c r="U24" s="106"/>
      <c r="V24" s="106"/>
      <c r="W24" s="106"/>
      <c r="X24" s="107"/>
      <c r="Y24" s="107"/>
      <c r="Z24" s="107"/>
      <c r="AA24" s="108"/>
    </row>
    <row r="25" spans="1:27" ht="14.1" customHeight="1" x14ac:dyDescent="0.2">
      <c r="A25" s="2033">
        <v>62540</v>
      </c>
      <c r="B25" s="2034"/>
      <c r="C25" s="2034"/>
      <c r="D25" s="2034"/>
      <c r="E25" s="2034"/>
      <c r="F25" s="2034"/>
      <c r="G25" s="2034"/>
      <c r="H25" s="2035"/>
      <c r="I25" s="113"/>
      <c r="J25" s="2100"/>
      <c r="K25" s="2100"/>
      <c r="L25" s="2100"/>
      <c r="M25" s="2100"/>
      <c r="N25" s="2100"/>
      <c r="O25" s="2100"/>
      <c r="P25" s="2100"/>
      <c r="Q25" s="2100"/>
      <c r="R25" s="2100"/>
      <c r="S25" s="2101"/>
      <c r="T25" s="1993" t="s">
        <v>2140</v>
      </c>
      <c r="U25" s="1994"/>
      <c r="V25" s="1994"/>
      <c r="W25" s="1994"/>
      <c r="X25" s="1994"/>
      <c r="Y25" s="1994"/>
      <c r="Z25" s="1994"/>
      <c r="AA25" s="199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1" t="s">
        <v>1591</v>
      </c>
      <c r="J27" s="2064"/>
      <c r="K27" s="2064"/>
      <c r="L27" s="2064"/>
      <c r="M27" s="2064"/>
      <c r="N27" s="2064"/>
      <c r="O27" s="2064"/>
      <c r="P27" s="2064"/>
      <c r="Q27" s="2064"/>
      <c r="R27" s="2064"/>
      <c r="S27" s="206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2123</v>
      </c>
      <c r="M29" s="40" t="s">
        <v>101</v>
      </c>
      <c r="N29" s="32" t="s">
        <v>1604</v>
      </c>
      <c r="O29" s="32"/>
      <c r="P29" s="32"/>
      <c r="Q29" s="32"/>
      <c r="R29" s="32"/>
      <c r="S29" s="123"/>
      <c r="T29" s="6"/>
      <c r="U29" s="6"/>
      <c r="V29" s="6"/>
      <c r="W29" s="6"/>
      <c r="X29" s="6"/>
      <c r="Y29" s="6"/>
      <c r="Z29" s="6"/>
      <c r="AA29" s="132"/>
    </row>
    <row r="30" spans="1:27" ht="13.5" customHeight="1" x14ac:dyDescent="0.2">
      <c r="A30" s="153"/>
      <c r="B30" s="136" t="s">
        <v>2123</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2123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2123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7"/>
      <c r="Q35" s="2034"/>
      <c r="R35" s="203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2128</v>
      </c>
      <c r="B38" s="2066"/>
      <c r="C38" s="2066"/>
      <c r="D38" s="2066"/>
      <c r="E38" s="2066"/>
      <c r="F38" s="2034"/>
      <c r="G38" s="2034"/>
      <c r="H38" s="2035"/>
      <c r="I38" s="2085"/>
      <c r="J38" s="2005"/>
      <c r="K38" s="2005"/>
      <c r="L38" s="2005"/>
      <c r="M38" s="2005"/>
      <c r="N38" s="2005"/>
      <c r="O38" s="2005"/>
      <c r="P38" s="2006"/>
      <c r="Q38" s="2006"/>
      <c r="R38" s="2006"/>
      <c r="S38" s="2007"/>
      <c r="T38" s="2004"/>
      <c r="U38" s="2005"/>
      <c r="V38" s="2005"/>
      <c r="W38" s="2005"/>
      <c r="X38" s="2006"/>
      <c r="Y38" s="2006"/>
      <c r="Z38" s="2006"/>
      <c r="AA38" s="2007"/>
    </row>
    <row r="39" spans="1:27" ht="12" customHeight="1" x14ac:dyDescent="0.2">
      <c r="A39" s="2089" t="s">
        <v>552</v>
      </c>
      <c r="B39" s="2090"/>
      <c r="C39" s="72"/>
      <c r="D39" s="69"/>
      <c r="E39" s="69"/>
      <c r="F39" s="79"/>
      <c r="G39" s="69"/>
      <c r="H39" s="56"/>
      <c r="I39" s="2089" t="s">
        <v>552</v>
      </c>
      <c r="J39" s="2090"/>
      <c r="K39" s="2090"/>
      <c r="L39" s="2090"/>
      <c r="M39" s="2090"/>
      <c r="N39" s="67"/>
      <c r="O39" s="72"/>
      <c r="P39" s="72"/>
      <c r="Q39" s="78"/>
      <c r="R39" s="72"/>
      <c r="S39" s="56"/>
      <c r="T39" s="72" t="s">
        <v>552</v>
      </c>
      <c r="U39" s="51"/>
      <c r="V39" s="72"/>
      <c r="W39" s="50"/>
      <c r="X39" s="78"/>
      <c r="Y39" s="45"/>
      <c r="Z39" s="45"/>
      <c r="AA39" s="46"/>
    </row>
    <row r="40" spans="1:27" ht="13.5" customHeight="1" x14ac:dyDescent="0.2">
      <c r="A40" s="2092" t="s">
        <v>2127</v>
      </c>
      <c r="B40" s="2093"/>
      <c r="C40" s="2094"/>
      <c r="D40" s="2094"/>
      <c r="E40" s="2094"/>
      <c r="F40" s="2095"/>
      <c r="G40" s="2095"/>
      <c r="H40" s="2096"/>
      <c r="I40" s="2008"/>
      <c r="J40" s="2010"/>
      <c r="K40" s="2010"/>
      <c r="L40" s="2010"/>
      <c r="M40" s="2010"/>
      <c r="N40" s="2010"/>
      <c r="O40" s="2010"/>
      <c r="P40" s="2010"/>
      <c r="Q40" s="2010"/>
      <c r="R40" s="2010"/>
      <c r="S40" s="2011"/>
      <c r="T40" s="2008"/>
      <c r="U40" s="2009"/>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2" t="s">
        <v>2129</v>
      </c>
      <c r="B42" s="2083"/>
      <c r="C42" s="2084"/>
      <c r="D42" s="2097" t="s">
        <v>2131</v>
      </c>
      <c r="E42" s="2083"/>
      <c r="F42" s="2083"/>
      <c r="G42" s="2083"/>
      <c r="H42" s="2084"/>
      <c r="I42" s="2003"/>
      <c r="J42" s="1999"/>
      <c r="K42" s="1999"/>
      <c r="L42" s="1999"/>
      <c r="M42" s="1999"/>
      <c r="N42" s="1999"/>
      <c r="O42" s="2000"/>
      <c r="P42" s="1998"/>
      <c r="Q42" s="1999"/>
      <c r="R42" s="1999"/>
      <c r="S42" s="2000"/>
      <c r="T42" s="2003"/>
      <c r="U42" s="1999"/>
      <c r="V42" s="1999"/>
      <c r="W42" s="2000"/>
      <c r="X42" s="1998"/>
      <c r="Y42" s="1999"/>
      <c r="Z42" s="1999"/>
      <c r="AA42" s="200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6"/>
      <c r="B44" s="2087"/>
      <c r="C44" s="2087"/>
      <c r="D44" s="2087"/>
      <c r="E44" s="2087"/>
      <c r="F44" s="2087"/>
      <c r="G44" s="2087"/>
      <c r="H44" s="2088"/>
      <c r="I44" s="2078"/>
      <c r="J44" s="2080"/>
      <c r="K44" s="2080"/>
      <c r="L44" s="2080"/>
      <c r="M44" s="2080"/>
      <c r="N44" s="2080"/>
      <c r="O44" s="2080"/>
      <c r="P44" s="2080"/>
      <c r="Q44" s="2080"/>
      <c r="R44" s="2080"/>
      <c r="S44" s="2081"/>
      <c r="T44" s="2078"/>
      <c r="U44" s="2079"/>
      <c r="V44" s="2079"/>
      <c r="W44" s="2079"/>
      <c r="X44" s="2079"/>
      <c r="Y44" s="2079"/>
      <c r="Z44" s="2080"/>
      <c r="AA44" s="208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rintOptions horizontalCentered="1"/>
  <pageMargins left="0.5" right="0.5" top="1.4"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35" t="s">
        <v>1905</v>
      </c>
      <c r="B2" s="1547" t="s">
        <v>2035</v>
      </c>
      <c r="C2" s="715" t="s">
        <v>1910</v>
      </c>
      <c r="D2" s="715" t="s">
        <v>1911</v>
      </c>
      <c r="E2" s="715" t="s">
        <v>1912</v>
      </c>
      <c r="F2" s="715" t="s">
        <v>1913</v>
      </c>
    </row>
    <row r="3" spans="1:6" ht="12" customHeight="1" x14ac:dyDescent="0.2">
      <c r="A3" s="2236"/>
      <c r="B3" s="1544"/>
      <c r="C3" s="1545"/>
      <c r="D3" s="1546" t="s">
        <v>274</v>
      </c>
      <c r="E3" s="1545"/>
      <c r="F3" s="1546" t="s">
        <v>275</v>
      </c>
    </row>
    <row r="4" spans="1:6" ht="13.7" customHeight="1" x14ac:dyDescent="0.2">
      <c r="A4" s="716" t="s">
        <v>1217</v>
      </c>
      <c r="B4" s="1768">
        <f>'Revenues 9-14'!C5</f>
        <v>479013</v>
      </c>
      <c r="C4" s="1543"/>
      <c r="D4" s="1771">
        <f>B4-C4</f>
        <v>479013</v>
      </c>
      <c r="E4" s="1543">
        <v>508484</v>
      </c>
      <c r="F4" s="1771">
        <f>E4-C4</f>
        <v>508484</v>
      </c>
    </row>
    <row r="5" spans="1:6" ht="13.7" customHeight="1" x14ac:dyDescent="0.2">
      <c r="A5" s="716" t="s">
        <v>925</v>
      </c>
      <c r="B5" s="1769">
        <f>'Revenues 9-14'!D5</f>
        <v>87133</v>
      </c>
      <c r="C5" s="585"/>
      <c r="D5" s="1772">
        <f t="shared" ref="D5:D18" si="0">B5-C5</f>
        <v>87133</v>
      </c>
      <c r="E5" s="585">
        <v>89484</v>
      </c>
      <c r="F5" s="1772">
        <f>E5-C5</f>
        <v>89484</v>
      </c>
    </row>
    <row r="6" spans="1:6" ht="13.7" customHeight="1" x14ac:dyDescent="0.2">
      <c r="A6" s="716" t="s">
        <v>431</v>
      </c>
      <c r="B6" s="1769">
        <f>'Revenues 9-14'!E5</f>
        <v>139786</v>
      </c>
      <c r="C6" s="585"/>
      <c r="D6" s="1772">
        <f t="shared" si="0"/>
        <v>139786</v>
      </c>
      <c r="E6" s="585">
        <v>142253</v>
      </c>
      <c r="F6" s="1772">
        <f t="shared" ref="F6:F18" si="1">E6-C6</f>
        <v>142253</v>
      </c>
    </row>
    <row r="7" spans="1:6" ht="13.7" customHeight="1" x14ac:dyDescent="0.2">
      <c r="A7" s="716" t="s">
        <v>157</v>
      </c>
      <c r="B7" s="1769">
        <f>'Revenues 9-14'!F5</f>
        <v>55035</v>
      </c>
      <c r="C7" s="585"/>
      <c r="D7" s="1772">
        <f t="shared" si="0"/>
        <v>55035</v>
      </c>
      <c r="E7" s="585">
        <v>56521</v>
      </c>
      <c r="F7" s="1772">
        <f t="shared" si="1"/>
        <v>56521</v>
      </c>
    </row>
    <row r="8" spans="1:6" ht="13.7" customHeight="1" x14ac:dyDescent="0.2">
      <c r="A8" s="716" t="s">
        <v>1241</v>
      </c>
      <c r="B8" s="1769">
        <f>'Revenues 9-14'!G5</f>
        <v>20999</v>
      </c>
      <c r="C8" s="585"/>
      <c r="D8" s="1772">
        <f t="shared" si="0"/>
        <v>20999</v>
      </c>
      <c r="E8" s="585">
        <v>21567</v>
      </c>
      <c r="F8" s="1772">
        <f t="shared" si="1"/>
        <v>21567</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4925</v>
      </c>
      <c r="C10" s="585"/>
      <c r="D10" s="1772">
        <f t="shared" si="0"/>
        <v>4925</v>
      </c>
      <c r="E10" s="585">
        <v>5060</v>
      </c>
      <c r="F10" s="1772">
        <f t="shared" si="1"/>
        <v>5060</v>
      </c>
    </row>
    <row r="11" spans="1:6" x14ac:dyDescent="0.2">
      <c r="A11" s="716" t="s">
        <v>429</v>
      </c>
      <c r="B11" s="1769">
        <f>'Revenues 9-14'!J5</f>
        <v>34694</v>
      </c>
      <c r="C11" s="585"/>
      <c r="D11" s="1772">
        <f t="shared" si="0"/>
        <v>34694</v>
      </c>
      <c r="E11" s="585">
        <v>35632</v>
      </c>
      <c r="F11" s="1772">
        <f t="shared" si="1"/>
        <v>35632</v>
      </c>
    </row>
    <row r="12" spans="1:6" ht="13.7" customHeight="1" x14ac:dyDescent="0.2">
      <c r="A12" s="716" t="s">
        <v>159</v>
      </c>
      <c r="B12" s="1769">
        <f>'Revenues 9-14'!K5</f>
        <v>9918</v>
      </c>
      <c r="C12" s="585"/>
      <c r="D12" s="1772">
        <f t="shared" si="0"/>
        <v>9918</v>
      </c>
      <c r="E12" s="585">
        <v>10189</v>
      </c>
      <c r="F12" s="1772">
        <f t="shared" si="1"/>
        <v>10189</v>
      </c>
    </row>
    <row r="13" spans="1:6" ht="13.7" customHeight="1" x14ac:dyDescent="0.2">
      <c r="A13" s="716" t="s">
        <v>993</v>
      </c>
      <c r="B13" s="1769">
        <f>SUM('Revenues 9-14'!C6:D6)</f>
        <v>3705</v>
      </c>
      <c r="C13" s="585"/>
      <c r="D13" s="1772">
        <f t="shared" si="0"/>
        <v>3705</v>
      </c>
      <c r="E13" s="585">
        <v>3808</v>
      </c>
      <c r="F13" s="1772">
        <f t="shared" si="1"/>
        <v>3808</v>
      </c>
    </row>
    <row r="14" spans="1:6" ht="13.7" customHeight="1" x14ac:dyDescent="0.2">
      <c r="A14" s="716" t="s">
        <v>430</v>
      </c>
      <c r="B14" s="1769">
        <f>SUM('Revenues 9-14'!C7:D7,'Revenues 9-14'!F7:H7)</f>
        <v>10828</v>
      </c>
      <c r="C14" s="585"/>
      <c r="D14" s="1772">
        <f t="shared" si="0"/>
        <v>10828</v>
      </c>
      <c r="E14" s="585">
        <v>11121</v>
      </c>
      <c r="F14" s="1772">
        <f t="shared" si="1"/>
        <v>11121</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19827</v>
      </c>
      <c r="C16" s="585"/>
      <c r="D16" s="1772">
        <f t="shared" si="0"/>
        <v>19827</v>
      </c>
      <c r="E16" s="585">
        <v>20363</v>
      </c>
      <c r="F16" s="1772">
        <f t="shared" si="1"/>
        <v>20363</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v>279</v>
      </c>
      <c r="F18" s="1772">
        <f t="shared" si="1"/>
        <v>279</v>
      </c>
    </row>
    <row r="19" spans="1:6" ht="13.7" customHeight="1" thickBot="1" x14ac:dyDescent="0.25">
      <c r="A19" s="1773" t="s">
        <v>1223</v>
      </c>
      <c r="B19" s="1770">
        <f>SUM(B4:B18)</f>
        <v>865863</v>
      </c>
      <c r="C19" s="1770">
        <f>SUM(C4:C18)</f>
        <v>0</v>
      </c>
      <c r="D19" s="1770">
        <f>SUM(D4:D18)</f>
        <v>865863</v>
      </c>
      <c r="E19" s="1770">
        <f>SUM(E4:E18)</f>
        <v>904761</v>
      </c>
      <c r="F19" s="1770">
        <f>SUM(F4:F18)</f>
        <v>904761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headings="1" gridLinesSet="0"/>
  <pageMargins left="0.5" right="0.5" top="1.4" bottom="0.75" header="1" footer="0.5"/>
  <pageSetup scale="97" firstPageNumber="23" orientation="landscape" useFirstPageNumber="1" r:id="rId1"/>
  <headerFooter alignWithMargins="0">
    <oddHeader>&amp;L&amp;8Page &amp;P&amp;R&amp;8Page &amp;P</oddHeader>
    <oddFooter>&amp;L&amp;8Print Date: &amp;D
&amp;F&amp;CReference should be made to the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J58" sqref="J5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650</v>
      </c>
      <c r="B1" s="2242"/>
      <c r="C1" s="722"/>
    </row>
    <row r="2" spans="1:7" ht="33.75" x14ac:dyDescent="0.2">
      <c r="A2" s="2250" t="s">
        <v>1905</v>
      </c>
      <c r="B2" s="2251"/>
      <c r="C2" s="1906" t="s">
        <v>2036</v>
      </c>
      <c r="D2" s="724" t="s">
        <v>2043</v>
      </c>
      <c r="E2" s="724" t="s">
        <v>2044</v>
      </c>
      <c r="F2" s="1906" t="s">
        <v>2037</v>
      </c>
    </row>
    <row r="3" spans="1:7" ht="15.75" customHeight="1" x14ac:dyDescent="0.2">
      <c r="A3" s="2254" t="s">
        <v>1176</v>
      </c>
      <c r="B3" s="2255"/>
      <c r="C3" s="2243"/>
      <c r="D3" s="2244"/>
      <c r="E3" s="2244"/>
      <c r="F3" s="2245"/>
    </row>
    <row r="4" spans="1:7" ht="12.75" customHeight="1" thickBot="1" x14ac:dyDescent="0.25">
      <c r="A4" s="2252" t="s">
        <v>651</v>
      </c>
      <c r="B4" s="2253"/>
      <c r="C4" s="581"/>
      <c r="D4" s="581"/>
      <c r="E4" s="581"/>
      <c r="F4" s="1774">
        <f>SUM(C4+D4)-E4</f>
        <v>0</v>
      </c>
    </row>
    <row r="5" spans="1:7" ht="15.75" customHeight="1" thickTop="1" x14ac:dyDescent="0.2">
      <c r="A5" s="2237" t="s">
        <v>1172</v>
      </c>
      <c r="B5" s="2238"/>
      <c r="C5" s="2246"/>
      <c r="D5" s="2247"/>
      <c r="E5" s="2247"/>
      <c r="F5" s="2248"/>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39" t="s">
        <v>652</v>
      </c>
      <c r="B15" s="2240"/>
      <c r="C15" s="1774">
        <f>SUM(C6:C14)</f>
        <v>0</v>
      </c>
      <c r="D15" s="1774">
        <f>SUM(D6:D14)</f>
        <v>0</v>
      </c>
      <c r="E15" s="1774">
        <f>SUM(E6:E14)</f>
        <v>0</v>
      </c>
      <c r="F15" s="1774">
        <f>SUM(F6:F14)</f>
        <v>0</v>
      </c>
      <c r="G15" s="552"/>
    </row>
    <row r="16" spans="1:7" s="202" customFormat="1" ht="15.75" customHeight="1" thickTop="1" x14ac:dyDescent="0.2">
      <c r="A16" s="2249" t="s">
        <v>1173</v>
      </c>
      <c r="B16" s="2238"/>
      <c r="C16" s="2246"/>
      <c r="D16" s="2247"/>
      <c r="E16" s="2247"/>
      <c r="F16" s="2248"/>
    </row>
    <row r="17" spans="1:11" ht="12.75" customHeight="1" thickBot="1" x14ac:dyDescent="0.25">
      <c r="A17" s="2262" t="s">
        <v>66</v>
      </c>
      <c r="B17" s="2263"/>
      <c r="C17" s="727"/>
      <c r="D17" s="585"/>
      <c r="E17" s="727"/>
      <c r="F17" s="1774">
        <f>SUM(C17+D17)-E17</f>
        <v>0</v>
      </c>
    </row>
    <row r="18" spans="1:11" ht="12.75" customHeight="1" thickTop="1" thickBot="1" x14ac:dyDescent="0.25">
      <c r="A18" s="2262" t="s">
        <v>6</v>
      </c>
      <c r="B18" s="2263"/>
      <c r="C18" s="727"/>
      <c r="D18" s="585"/>
      <c r="E18" s="727"/>
      <c r="F18" s="1774">
        <f>SUM(C18+D18)-E18</f>
        <v>0</v>
      </c>
    </row>
    <row r="19" spans="1:11" ht="12.75" customHeight="1" thickTop="1" thickBot="1" x14ac:dyDescent="0.25">
      <c r="A19" s="2262" t="s">
        <v>406</v>
      </c>
      <c r="B19" s="2263"/>
      <c r="C19" s="727"/>
      <c r="D19" s="585"/>
      <c r="E19" s="727"/>
      <c r="F19" s="1774">
        <f>SUM(C19+D19)-E19</f>
        <v>0</v>
      </c>
    </row>
    <row r="20" spans="1:11" ht="12.75" customHeight="1" thickTop="1" thickBot="1" x14ac:dyDescent="0.25">
      <c r="A20" s="2262" t="s">
        <v>468</v>
      </c>
      <c r="B20" s="2263"/>
      <c r="C20" s="727"/>
      <c r="D20" s="585"/>
      <c r="E20" s="727"/>
      <c r="F20" s="1774">
        <f>SUM(C20+D20)-E20</f>
        <v>0</v>
      </c>
    </row>
    <row r="21" spans="1:11" ht="14.25" thickTop="1" thickBot="1" x14ac:dyDescent="0.25">
      <c r="A21" s="2239" t="s">
        <v>653</v>
      </c>
      <c r="B21" s="2240"/>
      <c r="C21" s="1774">
        <f>SUM(C17:C20)</f>
        <v>0</v>
      </c>
      <c r="D21" s="1774">
        <f>SUM(D17:D20)</f>
        <v>0</v>
      </c>
      <c r="E21" s="1774">
        <f>SUM(E17:E20)</f>
        <v>0</v>
      </c>
      <c r="F21" s="1774">
        <f>SUM(F17:F20)</f>
        <v>0</v>
      </c>
      <c r="G21" s="552"/>
    </row>
    <row r="22" spans="1:11" ht="15.75" customHeight="1" thickTop="1" x14ac:dyDescent="0.2">
      <c r="A22" s="2264" t="s">
        <v>1174</v>
      </c>
      <c r="B22" s="2238"/>
      <c r="C22" s="2246"/>
      <c r="D22" s="2247"/>
      <c r="E22" s="2247"/>
      <c r="F22" s="2248"/>
    </row>
    <row r="23" spans="1:11" ht="13.5" thickBot="1" x14ac:dyDescent="0.25">
      <c r="A23" s="2252" t="s">
        <v>654</v>
      </c>
      <c r="B23" s="2253"/>
      <c r="C23" s="581"/>
      <c r="D23" s="581"/>
      <c r="E23" s="581"/>
      <c r="F23" s="1774">
        <f>SUM(C23+D23)-E23</f>
        <v>0</v>
      </c>
      <c r="G23" s="552"/>
    </row>
    <row r="24" spans="1:11" ht="15.75" customHeight="1" thickTop="1" x14ac:dyDescent="0.2">
      <c r="A24" s="2264" t="s">
        <v>1175</v>
      </c>
      <c r="B24" s="2238"/>
      <c r="C24" s="2246"/>
      <c r="D24" s="2247"/>
      <c r="E24" s="2247"/>
      <c r="F24" s="2248"/>
    </row>
    <row r="25" spans="1:11" ht="13.5" thickBot="1" x14ac:dyDescent="0.25">
      <c r="A25" s="2252" t="s">
        <v>655</v>
      </c>
      <c r="B25" s="2253"/>
      <c r="C25" s="581"/>
      <c r="D25" s="581"/>
      <c r="E25" s="581"/>
      <c r="F25" s="1774">
        <f>SUM(C25+D25)-E25</f>
        <v>0</v>
      </c>
      <c r="G25" s="552"/>
    </row>
    <row r="26" spans="1:11" ht="15.75" customHeight="1" thickTop="1" x14ac:dyDescent="0.2">
      <c r="A26" s="2237" t="s">
        <v>678</v>
      </c>
      <c r="B26" s="2238"/>
      <c r="C26" s="728"/>
      <c r="D26" s="728"/>
      <c r="E26" s="728"/>
      <c r="F26" s="729"/>
    </row>
    <row r="27" spans="1:11" ht="13.5" thickBot="1" x14ac:dyDescent="0.25">
      <c r="A27" s="2239" t="s">
        <v>1130</v>
      </c>
      <c r="B27" s="2240"/>
      <c r="C27" s="585"/>
      <c r="D27" s="585"/>
      <c r="E27" s="585"/>
      <c r="F27" s="1774">
        <f>SUM(C27+D27)-E27</f>
        <v>0</v>
      </c>
      <c r="G27" s="552"/>
    </row>
    <row r="28" spans="1:11" ht="7.5" customHeight="1" thickTop="1" x14ac:dyDescent="0.2">
      <c r="A28" s="594"/>
    </row>
    <row r="29" spans="1:11" ht="23.25" customHeight="1" x14ac:dyDescent="0.2">
      <c r="A29" s="2265" t="s">
        <v>603</v>
      </c>
      <c r="B29" s="2242"/>
      <c r="C29" s="730"/>
      <c r="D29" s="730"/>
      <c r="E29" s="730"/>
      <c r="F29" s="730"/>
      <c r="G29" s="730"/>
      <c r="H29" s="730"/>
      <c r="I29" s="730"/>
      <c r="J29" s="730"/>
    </row>
    <row r="30" spans="1:11" ht="33.75" x14ac:dyDescent="0.2">
      <c r="A30" s="1548" t="s">
        <v>1131</v>
      </c>
      <c r="B30" s="731" t="s">
        <v>1186</v>
      </c>
      <c r="C30" s="1907" t="s">
        <v>604</v>
      </c>
      <c r="D30" s="1907" t="s">
        <v>1772</v>
      </c>
      <c r="E30" s="1907" t="s">
        <v>2038</v>
      </c>
      <c r="F30" s="1907" t="s">
        <v>2039</v>
      </c>
      <c r="G30" s="1907" t="s">
        <v>2042</v>
      </c>
      <c r="H30" s="1907" t="s">
        <v>2040</v>
      </c>
      <c r="I30" s="1907" t="s">
        <v>2041</v>
      </c>
      <c r="J30" s="1908" t="s">
        <v>2</v>
      </c>
      <c r="K30" s="732"/>
    </row>
    <row r="31" spans="1:11" ht="12" customHeight="1" x14ac:dyDescent="0.2">
      <c r="A31" s="733" t="s">
        <v>2199</v>
      </c>
      <c r="B31" s="734">
        <v>39114</v>
      </c>
      <c r="C31" s="735">
        <v>1200000</v>
      </c>
      <c r="D31" s="736">
        <v>6</v>
      </c>
      <c r="E31" s="735">
        <v>290000</v>
      </c>
      <c r="F31" s="735"/>
      <c r="G31" s="735"/>
      <c r="H31" s="735">
        <v>45000</v>
      </c>
      <c r="I31" s="1775">
        <f>((E31+F31)-H31)+G31</f>
        <v>245000</v>
      </c>
      <c r="J31" s="735">
        <f>245000-42297</f>
        <v>202703</v>
      </c>
      <c r="K31" s="737"/>
    </row>
    <row r="32" spans="1:11" ht="12" customHeight="1" x14ac:dyDescent="0.2">
      <c r="A32" s="733" t="s">
        <v>2200</v>
      </c>
      <c r="B32" s="734">
        <v>40148</v>
      </c>
      <c r="C32" s="735">
        <v>430000</v>
      </c>
      <c r="D32" s="736">
        <v>7</v>
      </c>
      <c r="E32" s="735">
        <v>350000</v>
      </c>
      <c r="F32" s="735"/>
      <c r="G32" s="735"/>
      <c r="H32" s="735">
        <v>30000</v>
      </c>
      <c r="I32" s="1775">
        <f>((E32+F32)-H32)+G32</f>
        <v>320000</v>
      </c>
      <c r="J32" s="735">
        <v>320000</v>
      </c>
      <c r="K32" s="737"/>
    </row>
    <row r="33" spans="1:11" ht="12" customHeight="1" x14ac:dyDescent="0.2">
      <c r="A33" s="733" t="s">
        <v>2201</v>
      </c>
      <c r="B33" s="734">
        <v>40148</v>
      </c>
      <c r="C33" s="735">
        <v>695000</v>
      </c>
      <c r="D33" s="736">
        <v>3</v>
      </c>
      <c r="E33" s="735">
        <v>695000</v>
      </c>
      <c r="F33" s="735"/>
      <c r="G33" s="735"/>
      <c r="H33" s="735"/>
      <c r="I33" s="1775">
        <f t="shared" ref="I33:I48" si="1">((E33+F33)-H33)+G33</f>
        <v>695000</v>
      </c>
      <c r="J33" s="735">
        <v>695000</v>
      </c>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2325000</v>
      </c>
      <c r="D49" s="746"/>
      <c r="E49" s="1775">
        <f t="shared" ref="E49:J49" si="2">SUM(E31:E48)</f>
        <v>1335000</v>
      </c>
      <c r="F49" s="1775">
        <f t="shared" si="2"/>
        <v>0</v>
      </c>
      <c r="G49" s="1775">
        <f t="shared" si="2"/>
        <v>0</v>
      </c>
      <c r="H49" s="1775">
        <f t="shared" si="2"/>
        <v>75000</v>
      </c>
      <c r="I49" s="1775">
        <f t="shared" si="2"/>
        <v>1260000</v>
      </c>
      <c r="J49" s="1775">
        <f t="shared" si="2"/>
        <v>1217703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56" t="s">
        <v>605</v>
      </c>
      <c r="C52" s="2257"/>
      <c r="D52" s="2257"/>
      <c r="E52" s="750" t="s">
        <v>900</v>
      </c>
      <c r="F52" s="2258" t="s">
        <v>2202</v>
      </c>
      <c r="G52" s="2259"/>
      <c r="H52" s="737"/>
      <c r="I52" s="737"/>
      <c r="J52" s="747"/>
    </row>
    <row r="53" spans="1:11" ht="11.25" customHeight="1" x14ac:dyDescent="0.2">
      <c r="A53" s="751" t="s">
        <v>969</v>
      </c>
      <c r="B53" s="752" t="s">
        <v>1008</v>
      </c>
      <c r="C53" s="747"/>
      <c r="D53" s="738"/>
      <c r="E53" s="750" t="s">
        <v>518</v>
      </c>
      <c r="F53" s="2260"/>
      <c r="G53" s="2261"/>
      <c r="H53" s="737"/>
      <c r="I53" s="737"/>
      <c r="J53" s="747"/>
    </row>
    <row r="54" spans="1:11" ht="11.25" customHeight="1" x14ac:dyDescent="0.2">
      <c r="A54" s="753" t="s">
        <v>970</v>
      </c>
      <c r="B54" s="748" t="s">
        <v>1009</v>
      </c>
      <c r="C54" s="747"/>
      <c r="D54" s="738"/>
      <c r="E54" s="750" t="s">
        <v>519</v>
      </c>
      <c r="F54" s="2260"/>
      <c r="G54" s="226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5" right="0.5" top="1.1499999999999999" bottom="0.75" header="1" footer="0.5"/>
  <pageSetup scale="66" firstPageNumber="24" orientation="landscape" useFirstPageNumber="1" r:id="rId1"/>
  <headerFooter alignWithMargins="0">
    <oddHeader>&amp;L&amp;8Page &amp;P&amp;R&amp;8Page &amp;P</oddHeader>
    <oddFooter>&amp;L&amp;8Print Date: &amp;D 
&amp;F&amp;CReference should be made to the accountant's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7" colorId="8" zoomScale="110" zoomScaleNormal="110" workbookViewId="0">
      <selection activeCell="N32" sqref="N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0" t="s">
        <v>911</v>
      </c>
      <c r="B1" s="2291"/>
      <c r="C1" s="2291"/>
      <c r="D1" s="2291"/>
      <c r="E1" s="2291"/>
      <c r="F1" s="2291"/>
      <c r="G1" s="2292"/>
      <c r="H1" s="1549"/>
      <c r="I1" s="761"/>
      <c r="J1" s="433"/>
    </row>
    <row r="2" spans="1:11" ht="26.25" x14ac:dyDescent="0.2">
      <c r="A2" s="2269" t="s">
        <v>1776</v>
      </c>
      <c r="B2" s="2270"/>
      <c r="C2" s="2270"/>
      <c r="D2" s="2270"/>
      <c r="E2" s="2271"/>
      <c r="F2" s="762" t="s">
        <v>960</v>
      </c>
      <c r="G2" s="763" t="s">
        <v>1773</v>
      </c>
      <c r="H2" s="763" t="s">
        <v>430</v>
      </c>
      <c r="I2" s="763" t="s">
        <v>1220</v>
      </c>
      <c r="J2" s="763" t="s">
        <v>1919</v>
      </c>
      <c r="K2" s="763" t="s">
        <v>140</v>
      </c>
    </row>
    <row r="3" spans="1:11" x14ac:dyDescent="0.2">
      <c r="A3" s="2272" t="s">
        <v>1698</v>
      </c>
      <c r="B3" s="2273"/>
      <c r="C3" s="2273"/>
      <c r="D3" s="2273"/>
      <c r="E3" s="2274"/>
      <c r="F3" s="764"/>
      <c r="G3" s="765"/>
      <c r="H3" s="765"/>
      <c r="I3" s="765"/>
      <c r="J3" s="766">
        <v>122331</v>
      </c>
      <c r="K3" s="766"/>
    </row>
    <row r="4" spans="1:11" x14ac:dyDescent="0.2">
      <c r="A4" s="2275" t="s">
        <v>387</v>
      </c>
      <c r="B4" s="2276"/>
      <c r="C4" s="2276"/>
      <c r="D4" s="2276"/>
      <c r="E4" s="2257"/>
      <c r="F4" s="767"/>
      <c r="G4" s="768"/>
      <c r="H4" s="769"/>
      <c r="I4" s="768"/>
      <c r="J4" s="770"/>
      <c r="K4" s="770"/>
    </row>
    <row r="5" spans="1:11" x14ac:dyDescent="0.2">
      <c r="A5" s="2293" t="s">
        <v>1129</v>
      </c>
      <c r="B5" s="2266"/>
      <c r="C5" s="2266"/>
      <c r="D5" s="2266"/>
      <c r="E5" s="2294"/>
      <c r="F5" s="771" t="s">
        <v>903</v>
      </c>
      <c r="G5" s="772"/>
      <c r="H5" s="765">
        <v>10828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680</v>
      </c>
    </row>
    <row r="8" spans="1:11" x14ac:dyDescent="0.2">
      <c r="A8" s="779" t="s">
        <v>363</v>
      </c>
      <c r="B8" s="780"/>
      <c r="C8" s="780"/>
      <c r="D8" s="780"/>
      <c r="E8" s="781"/>
      <c r="F8" s="771" t="s">
        <v>906</v>
      </c>
      <c r="G8" s="783"/>
      <c r="H8" s="783"/>
      <c r="I8" s="783"/>
      <c r="J8" s="766">
        <v>137199</v>
      </c>
      <c r="K8" s="770"/>
    </row>
    <row r="9" spans="1:11" x14ac:dyDescent="0.2">
      <c r="A9" s="779" t="s">
        <v>140</v>
      </c>
      <c r="B9" s="780"/>
      <c r="C9" s="780"/>
      <c r="D9" s="780"/>
      <c r="E9" s="781"/>
      <c r="F9" s="778" t="s">
        <v>908</v>
      </c>
      <c r="G9" s="783"/>
      <c r="H9" s="772"/>
      <c r="I9" s="772"/>
      <c r="J9" s="782"/>
      <c r="K9" s="766">
        <v>1732</v>
      </c>
    </row>
    <row r="10" spans="1:11" x14ac:dyDescent="0.2">
      <c r="A10" s="2293" t="s">
        <v>1920</v>
      </c>
      <c r="B10" s="2266"/>
      <c r="C10" s="2266"/>
      <c r="D10" s="2266"/>
      <c r="E10" s="2295"/>
      <c r="F10" s="784" t="s">
        <v>917</v>
      </c>
      <c r="G10" s="783"/>
      <c r="H10" s="785"/>
      <c r="I10" s="765"/>
      <c r="J10" s="766"/>
      <c r="K10" s="766"/>
    </row>
    <row r="11" spans="1:11" x14ac:dyDescent="0.2">
      <c r="A11" s="2293" t="s">
        <v>162</v>
      </c>
      <c r="B11" s="2266"/>
      <c r="C11" s="2266"/>
      <c r="D11" s="2266"/>
      <c r="E11" s="2294"/>
      <c r="F11" s="771" t="s">
        <v>907</v>
      </c>
      <c r="G11" s="772"/>
      <c r="H11" s="765"/>
      <c r="I11" s="765"/>
      <c r="J11" s="766"/>
      <c r="K11" s="774"/>
    </row>
    <row r="12" spans="1:11" ht="13.5" thickBot="1" x14ac:dyDescent="0.25">
      <c r="A12" s="2283" t="s">
        <v>961</v>
      </c>
      <c r="B12" s="2284"/>
      <c r="C12" s="2284"/>
      <c r="D12" s="2284"/>
      <c r="E12" s="2285"/>
      <c r="F12" s="1776"/>
      <c r="G12" s="1777">
        <f>SUM(G5:G11)</f>
        <v>0</v>
      </c>
      <c r="H12" s="1777">
        <f>SUM(H5:H11)</f>
        <v>10828</v>
      </c>
      <c r="I12" s="1777">
        <f>SUM(I5:I11)</f>
        <v>0</v>
      </c>
      <c r="J12" s="1777">
        <f>SUM(J5:J11)</f>
        <v>137199</v>
      </c>
      <c r="K12" s="1777">
        <f>SUM(K5:K11)</f>
        <v>2412</v>
      </c>
    </row>
    <row r="13" spans="1:11" ht="13.5" thickTop="1" x14ac:dyDescent="0.2">
      <c r="A13" s="2277" t="s">
        <v>388</v>
      </c>
      <c r="B13" s="2278"/>
      <c r="C13" s="2278"/>
      <c r="D13" s="2278"/>
      <c r="E13" s="2279"/>
      <c r="F13" s="786"/>
      <c r="G13" s="787"/>
      <c r="H13" s="788"/>
      <c r="I13" s="789"/>
      <c r="J13" s="789"/>
      <c r="K13" s="789"/>
    </row>
    <row r="14" spans="1:11" x14ac:dyDescent="0.2">
      <c r="A14" s="2299" t="s">
        <v>476</v>
      </c>
      <c r="B14" s="2299"/>
      <c r="C14" s="2299"/>
      <c r="D14" s="2299"/>
      <c r="E14" s="2300"/>
      <c r="F14" s="790" t="s">
        <v>909</v>
      </c>
      <c r="G14" s="783"/>
      <c r="H14" s="765">
        <v>10828</v>
      </c>
      <c r="I14" s="772"/>
      <c r="J14" s="774"/>
      <c r="K14" s="766">
        <v>2412</v>
      </c>
    </row>
    <row r="15" spans="1:11" x14ac:dyDescent="0.2">
      <c r="A15" s="2266" t="s">
        <v>4</v>
      </c>
      <c r="B15" s="2266"/>
      <c r="C15" s="2266"/>
      <c r="D15" s="2266"/>
      <c r="E15" s="2294"/>
      <c r="F15" s="790" t="s">
        <v>910</v>
      </c>
      <c r="G15" s="772"/>
      <c r="H15" s="765"/>
      <c r="I15" s="765"/>
      <c r="J15" s="766">
        <f>8944+14642+173390</f>
        <v>196976</v>
      </c>
      <c r="K15" s="766"/>
    </row>
    <row r="16" spans="1:11" x14ac:dyDescent="0.2">
      <c r="A16" s="2266" t="s">
        <v>316</v>
      </c>
      <c r="B16" s="2266"/>
      <c r="C16" s="2266"/>
      <c r="D16" s="2266"/>
      <c r="E16" s="2294"/>
      <c r="F16" s="790" t="s">
        <v>980</v>
      </c>
      <c r="G16" s="773"/>
      <c r="H16" s="768"/>
      <c r="I16" s="768"/>
      <c r="J16" s="770"/>
      <c r="K16" s="770"/>
    </row>
    <row r="17" spans="1:11" x14ac:dyDescent="0.2">
      <c r="A17" s="2288" t="s">
        <v>992</v>
      </c>
      <c r="B17" s="2288"/>
      <c r="C17" s="2288"/>
      <c r="D17" s="2288"/>
      <c r="E17" s="2289"/>
      <c r="F17" s="791"/>
      <c r="G17" s="792"/>
      <c r="H17" s="793"/>
      <c r="I17" s="793"/>
      <c r="J17" s="794"/>
      <c r="K17" s="795"/>
    </row>
    <row r="18" spans="1:11" x14ac:dyDescent="0.2">
      <c r="A18" s="2280" t="s">
        <v>386</v>
      </c>
      <c r="B18" s="2281"/>
      <c r="C18" s="2281"/>
      <c r="D18" s="2281"/>
      <c r="E18" s="2282"/>
      <c r="F18" s="790" t="s">
        <v>989</v>
      </c>
      <c r="G18" s="783"/>
      <c r="H18" s="783"/>
      <c r="I18" s="783"/>
      <c r="J18" s="766"/>
      <c r="K18" s="796"/>
    </row>
    <row r="19" spans="1:11" ht="21.75" customHeight="1" x14ac:dyDescent="0.2">
      <c r="A19" s="2301" t="s">
        <v>1916</v>
      </c>
      <c r="B19" s="2301"/>
      <c r="C19" s="2301"/>
      <c r="D19" s="2301"/>
      <c r="E19" s="2302"/>
      <c r="F19" s="790" t="s">
        <v>990</v>
      </c>
      <c r="G19" s="783"/>
      <c r="H19" s="783"/>
      <c r="I19" s="783"/>
      <c r="J19" s="766"/>
      <c r="K19" s="796"/>
    </row>
    <row r="20" spans="1:11" x14ac:dyDescent="0.2">
      <c r="A20" s="2280" t="s">
        <v>1921</v>
      </c>
      <c r="B20" s="2281"/>
      <c r="C20" s="2281"/>
      <c r="D20" s="2281"/>
      <c r="E20" s="2282"/>
      <c r="F20" s="790" t="s">
        <v>991</v>
      </c>
      <c r="G20" s="783"/>
      <c r="H20" s="783"/>
      <c r="I20" s="783"/>
      <c r="J20" s="766"/>
      <c r="K20" s="796"/>
    </row>
    <row r="21" spans="1:11" ht="13.5" thickBot="1" x14ac:dyDescent="0.25">
      <c r="A21" s="2286" t="s">
        <v>659</v>
      </c>
      <c r="B21" s="2286"/>
      <c r="C21" s="2286"/>
      <c r="D21" s="2286"/>
      <c r="E21" s="2286"/>
      <c r="F21" s="1778"/>
      <c r="G21" s="793"/>
      <c r="H21" s="797"/>
      <c r="I21" s="797"/>
      <c r="J21" s="1779">
        <f>SUM(J18:J20)</f>
        <v>0</v>
      </c>
      <c r="K21" s="794"/>
    </row>
    <row r="22" spans="1:11" ht="13.5" thickTop="1" x14ac:dyDescent="0.2">
      <c r="A22" s="2266" t="s">
        <v>1922</v>
      </c>
      <c r="B22" s="2266"/>
      <c r="C22" s="2266"/>
      <c r="D22" s="2266"/>
      <c r="E22" s="2294"/>
      <c r="F22" s="790" t="s">
        <v>917</v>
      </c>
      <c r="G22" s="783"/>
      <c r="H22" s="765"/>
      <c r="I22" s="765"/>
      <c r="J22" s="798"/>
      <c r="K22" s="766"/>
    </row>
    <row r="23" spans="1:11" ht="13.5" thickBot="1" x14ac:dyDescent="0.25">
      <c r="A23" s="2287" t="s">
        <v>962</v>
      </c>
      <c r="B23" s="2286"/>
      <c r="C23" s="2286"/>
      <c r="D23" s="2286"/>
      <c r="E23" s="2286"/>
      <c r="F23" s="1780"/>
      <c r="G23" s="1777">
        <f>SUM(G14:G16,G21,G22)</f>
        <v>0</v>
      </c>
      <c r="H23" s="1777">
        <f>SUM(H14:H16,H21,H22)</f>
        <v>10828</v>
      </c>
      <c r="I23" s="1777">
        <f>SUM(I14:I16,I21,I22)</f>
        <v>0</v>
      </c>
      <c r="J23" s="1777">
        <f>SUM(J14:J16,J21,J22)</f>
        <v>196976</v>
      </c>
      <c r="K23" s="1777">
        <f>SUM(K14:K16,K21,K22)</f>
        <v>2412</v>
      </c>
    </row>
    <row r="24" spans="1:11" ht="14.25" thickTop="1" thickBot="1" x14ac:dyDescent="0.25">
      <c r="A24" s="2287" t="s">
        <v>2024</v>
      </c>
      <c r="B24" s="2286"/>
      <c r="C24" s="2286"/>
      <c r="D24" s="2286"/>
      <c r="E24" s="2286"/>
      <c r="F24" s="1781"/>
      <c r="G24" s="1782">
        <f>SUM(G3,G12)-G23</f>
        <v>0</v>
      </c>
      <c r="H24" s="1782">
        <f>SUM(H3,H12)-H23</f>
        <v>0</v>
      </c>
      <c r="I24" s="1782">
        <f>SUM(I3,I12)-I23</f>
        <v>0</v>
      </c>
      <c r="J24" s="1782">
        <f>SUM(J3,J12)-J23</f>
        <v>62554</v>
      </c>
      <c r="K24" s="1782">
        <f>SUM(K3,K12)-K23</f>
        <v>0</v>
      </c>
    </row>
    <row r="25" spans="1:11" ht="13.5" thickTop="1" x14ac:dyDescent="0.2">
      <c r="A25" s="799" t="s">
        <v>440</v>
      </c>
      <c r="B25" s="800"/>
      <c r="C25" s="800"/>
      <c r="D25" s="800"/>
      <c r="E25" s="801"/>
      <c r="F25" s="802">
        <v>714</v>
      </c>
      <c r="G25" s="803"/>
      <c r="H25" s="803"/>
      <c r="I25" s="803"/>
      <c r="J25" s="798">
        <v>62554</v>
      </c>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2034</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6"/>
      <c r="I31" s="2297"/>
      <c r="J31" s="2297"/>
      <c r="K31" s="2297"/>
    </row>
    <row r="32" spans="1:11" x14ac:dyDescent="0.2">
      <c r="A32" s="810"/>
      <c r="B32" s="237"/>
      <c r="C32" s="237"/>
      <c r="D32" s="237"/>
      <c r="E32" s="806"/>
      <c r="F32" s="812" t="s">
        <v>561</v>
      </c>
      <c r="G32" s="765"/>
      <c r="H32" s="2298"/>
      <c r="I32" s="2297"/>
      <c r="J32" s="2297"/>
      <c r="K32" s="2297"/>
    </row>
    <row r="33" spans="1:11" ht="1.5" customHeight="1" x14ac:dyDescent="0.2">
      <c r="A33" s="813" t="s">
        <v>1231</v>
      </c>
      <c r="B33" s="364"/>
      <c r="C33" s="364"/>
      <c r="D33" s="364"/>
      <c r="E33" s="364"/>
      <c r="F33" s="364"/>
      <c r="G33" s="814"/>
      <c r="H33" s="2298"/>
      <c r="I33" s="2297"/>
      <c r="J33" s="2297"/>
      <c r="K33" s="229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6" t="s">
        <v>562</v>
      </c>
      <c r="B41" s="2267"/>
      <c r="C41" s="2267"/>
      <c r="D41" s="2267"/>
      <c r="E41" s="2267"/>
      <c r="F41" s="226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1917</v>
      </c>
      <c r="B46" s="408" t="s">
        <v>1774</v>
      </c>
    </row>
    <row r="47" spans="1:11" s="824" customFormat="1" ht="12.75" customHeight="1" x14ac:dyDescent="0.2">
      <c r="A47" s="822"/>
      <c r="B47" s="823" t="s">
        <v>1775</v>
      </c>
      <c r="E47" s="823"/>
      <c r="K47" s="825"/>
    </row>
    <row r="48" spans="1:11" ht="12.75" customHeight="1" x14ac:dyDescent="0.2">
      <c r="A48" s="1551"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headings="1"/>
  <pageMargins left="0.5" right="0.5" top="1.4" bottom="0.75" header="1" footer="0.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accountant's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K14" sqref="K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5" t="s">
        <v>2033</v>
      </c>
      <c r="B1" s="2306"/>
      <c r="C1" s="2307"/>
      <c r="D1" s="827"/>
      <c r="E1" s="828"/>
      <c r="F1" s="828"/>
      <c r="G1" s="829"/>
      <c r="H1" s="830"/>
      <c r="I1" s="831"/>
      <c r="J1" s="2303"/>
      <c r="K1" s="2304"/>
      <c r="L1" s="2304"/>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28500</v>
      </c>
      <c r="D5" s="842"/>
      <c r="E5" s="842"/>
      <c r="F5" s="1779">
        <f>(C5+D5)-E5</f>
        <v>28500</v>
      </c>
      <c r="G5" s="838"/>
      <c r="H5" s="843"/>
      <c r="I5" s="843"/>
      <c r="J5" s="843"/>
      <c r="K5" s="794"/>
      <c r="L5" s="1788">
        <f>F5-K5</f>
        <v>28500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3986005</v>
      </c>
      <c r="D8" s="845">
        <v>173390</v>
      </c>
      <c r="E8" s="845"/>
      <c r="F8" s="1779">
        <f>(C8+D8)-E8</f>
        <v>4159395</v>
      </c>
      <c r="G8" s="844">
        <v>50</v>
      </c>
      <c r="H8" s="766">
        <v>2198566</v>
      </c>
      <c r="I8" s="766">
        <f>76052+7071</f>
        <v>83123</v>
      </c>
      <c r="J8" s="766"/>
      <c r="K8" s="1788">
        <f>(H8+I8)-J8</f>
        <v>2281689</v>
      </c>
      <c r="L8" s="1788">
        <f>F8-K8</f>
        <v>1877706</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24084</v>
      </c>
      <c r="D10" s="847"/>
      <c r="E10" s="847"/>
      <c r="F10" s="1783">
        <f>(C10+D10)-E10</f>
        <v>24084</v>
      </c>
      <c r="G10" s="844">
        <v>20</v>
      </c>
      <c r="H10" s="848">
        <v>24084</v>
      </c>
      <c r="I10" s="848"/>
      <c r="J10" s="848"/>
      <c r="K10" s="1788">
        <f>(H10+I10)-J10</f>
        <v>24084</v>
      </c>
      <c r="L10" s="1788">
        <f>F10-K10</f>
        <v>0</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227260</v>
      </c>
      <c r="D12" s="845"/>
      <c r="E12" s="845"/>
      <c r="F12" s="1779">
        <f>(C12+D12)-E12</f>
        <v>227260</v>
      </c>
      <c r="G12" s="844">
        <v>10</v>
      </c>
      <c r="H12" s="766">
        <v>192940</v>
      </c>
      <c r="I12" s="766">
        <f>7807+112</f>
        <v>7919</v>
      </c>
      <c r="J12" s="766"/>
      <c r="K12" s="1788">
        <f>(H12+I12)-J12</f>
        <v>200859</v>
      </c>
      <c r="L12" s="1788">
        <f>F12-K12</f>
        <v>26401</v>
      </c>
    </row>
    <row r="13" spans="1:14" ht="14.25" thickTop="1" thickBot="1" x14ac:dyDescent="0.25">
      <c r="A13" s="849" t="s">
        <v>1184</v>
      </c>
      <c r="B13" s="841">
        <v>252</v>
      </c>
      <c r="C13" s="845">
        <v>453199</v>
      </c>
      <c r="D13" s="845">
        <v>800</v>
      </c>
      <c r="E13" s="845"/>
      <c r="F13" s="1779">
        <f>(C13+D13)-E13</f>
        <v>453999</v>
      </c>
      <c r="G13" s="844">
        <v>5</v>
      </c>
      <c r="H13" s="766">
        <v>315361</v>
      </c>
      <c r="I13" s="766">
        <f>7041+5715+47907</f>
        <v>60663</v>
      </c>
      <c r="J13" s="766"/>
      <c r="K13" s="1788">
        <f>(H13+I13)-J13</f>
        <v>376024</v>
      </c>
      <c r="L13" s="1788">
        <f>F13-K13</f>
        <v>77975</v>
      </c>
    </row>
    <row r="14" spans="1:14" ht="14.25" thickTop="1" thickBot="1" x14ac:dyDescent="0.25">
      <c r="A14" s="849" t="s">
        <v>1185</v>
      </c>
      <c r="B14" s="841">
        <v>253</v>
      </c>
      <c r="C14" s="766">
        <v>5981</v>
      </c>
      <c r="D14" s="766"/>
      <c r="E14" s="766"/>
      <c r="F14" s="1779">
        <f>(C14+D14)-E14</f>
        <v>5981</v>
      </c>
      <c r="G14" s="844">
        <v>3</v>
      </c>
      <c r="H14" s="766">
        <v>5673</v>
      </c>
      <c r="I14" s="766">
        <v>309</v>
      </c>
      <c r="J14" s="766"/>
      <c r="K14" s="1788">
        <f>(H14+I14)-J14</f>
        <v>5982</v>
      </c>
      <c r="L14" s="1788">
        <f>F14-K14</f>
        <v>-1</v>
      </c>
    </row>
    <row r="15" spans="1:14" ht="15" customHeight="1" thickTop="1" thickBot="1" x14ac:dyDescent="0.25">
      <c r="A15" s="1650" t="s">
        <v>549</v>
      </c>
      <c r="B15" s="1649">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4725029</v>
      </c>
      <c r="D16" s="1779">
        <f>SUM(D3,D5:D6,D8:D10,D12:D15)</f>
        <v>174190</v>
      </c>
      <c r="E16" s="1779">
        <f>SUM(E3,E5:E6,E8:E10,E12:E15)</f>
        <v>0</v>
      </c>
      <c r="F16" s="1779">
        <f>SUM(F3,F5:F6,F8:F10,F12:F15)</f>
        <v>4899219</v>
      </c>
      <c r="G16" s="844"/>
      <c r="H16" s="1779">
        <f>SUM(H3,H6,H8:H10,H12:H14,)</f>
        <v>2736624</v>
      </c>
      <c r="I16" s="1779">
        <f>SUM(I3,I6,I8:I10,I12:I14,)</f>
        <v>152014</v>
      </c>
      <c r="J16" s="1779">
        <f>SUM(J3,J6,J8:J10,J12:J14,)</f>
        <v>0</v>
      </c>
      <c r="K16" s="1779">
        <f>(H16+I16)-J16</f>
        <v>2888638</v>
      </c>
      <c r="L16" s="1779">
        <f>F16-K16</f>
        <v>2010581</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152014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headings="1"/>
  <pageMargins left="0.5" right="0.5" top="1.4" bottom="0.75" header="1" footer="0.5"/>
  <pageSetup scale="76" firstPageNumber="26" orientation="landscape" useFirstPageNumber="1" r:id="rId1"/>
  <headerFooter alignWithMargins="0">
    <oddHeader>&amp;L&amp;8Page &amp;P&amp;C &amp;R&amp;8Page &amp;P</oddHeader>
    <oddFooter>&amp;L&amp;8Print Date: &amp;D
&amp;F&amp;CReference should be made to the accountant's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BreakPreview" colorId="8" zoomScale="60" zoomScaleNormal="110" workbookViewId="0">
      <pane ySplit="5" topLeftCell="A45" activePane="bottomLeft" state="frozen"/>
      <selection activeCell="A47" sqref="A47"/>
      <selection pane="bottomLeft" activeCell="B88" sqref="B8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1" t="s">
        <v>1699</v>
      </c>
      <c r="B1" s="2312"/>
      <c r="C1" s="2312"/>
      <c r="D1" s="2312"/>
      <c r="E1" s="2312"/>
      <c r="F1" s="2313"/>
      <c r="G1" s="856"/>
    </row>
    <row r="2" spans="1:7" ht="15" customHeight="1" thickBot="1" x14ac:dyDescent="0.25">
      <c r="A2" s="2314" t="s">
        <v>498</v>
      </c>
      <c r="B2" s="2315"/>
      <c r="C2" s="2315"/>
      <c r="D2" s="2315"/>
      <c r="E2" s="2315"/>
      <c r="F2" s="231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7"/>
      <c r="B5" s="2318"/>
      <c r="C5" s="2318"/>
      <c r="D5" s="2318"/>
      <c r="E5" s="2318"/>
      <c r="F5" s="2318"/>
    </row>
    <row r="6" spans="1:7" ht="13.5" customHeight="1" thickBot="1" x14ac:dyDescent="0.25">
      <c r="A6" s="2308" t="s">
        <v>1166</v>
      </c>
      <c r="B6" s="2309"/>
      <c r="C6" s="2309"/>
      <c r="D6" s="2309"/>
      <c r="E6" s="2309"/>
      <c r="F6" s="231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2475025</v>
      </c>
      <c r="G8" s="866"/>
    </row>
    <row r="9" spans="1:7" x14ac:dyDescent="0.2">
      <c r="A9" s="870" t="s">
        <v>480</v>
      </c>
      <c r="B9" s="871" t="s">
        <v>1988</v>
      </c>
      <c r="C9" s="872"/>
      <c r="D9" s="870" t="s">
        <v>522</v>
      </c>
      <c r="E9" s="869"/>
      <c r="F9" s="1932">
        <f>'Expenditures 15-22'!K151</f>
        <v>106727</v>
      </c>
      <c r="G9" s="873"/>
    </row>
    <row r="10" spans="1:7" x14ac:dyDescent="0.2">
      <c r="A10" s="870" t="s">
        <v>520</v>
      </c>
      <c r="B10" s="871" t="s">
        <v>1989</v>
      </c>
      <c r="C10" s="872"/>
      <c r="D10" s="870" t="s">
        <v>522</v>
      </c>
      <c r="E10" s="869"/>
      <c r="F10" s="1932">
        <f>'Expenditures 15-22'!K174</f>
        <v>142097</v>
      </c>
      <c r="G10" s="873"/>
    </row>
    <row r="11" spans="1:7" x14ac:dyDescent="0.2">
      <c r="A11" s="870" t="s">
        <v>481</v>
      </c>
      <c r="B11" s="871" t="s">
        <v>1990</v>
      </c>
      <c r="C11" s="872"/>
      <c r="D11" s="870" t="s">
        <v>522</v>
      </c>
      <c r="E11" s="869"/>
      <c r="F11" s="1932">
        <f>'Expenditures 15-22'!K210</f>
        <v>110046</v>
      </c>
      <c r="G11" s="873"/>
    </row>
    <row r="12" spans="1:7" x14ac:dyDescent="0.2">
      <c r="A12" s="870" t="s">
        <v>482</v>
      </c>
      <c r="B12" s="871" t="s">
        <v>1991</v>
      </c>
      <c r="C12" s="872"/>
      <c r="D12" s="870" t="s">
        <v>522</v>
      </c>
      <c r="E12" s="869"/>
      <c r="F12" s="1932">
        <f>'Expenditures 15-22'!K295</f>
        <v>92855</v>
      </c>
      <c r="G12" s="873"/>
    </row>
    <row r="13" spans="1:7" x14ac:dyDescent="0.2">
      <c r="A13" s="870" t="s">
        <v>108</v>
      </c>
      <c r="B13" s="871" t="s">
        <v>1992</v>
      </c>
      <c r="C13" s="872"/>
      <c r="D13" s="870" t="s">
        <v>522</v>
      </c>
      <c r="E13" s="869"/>
      <c r="F13" s="1932">
        <f>'Expenditures 15-22'!K342</f>
        <v>64699</v>
      </c>
      <c r="G13" s="874"/>
    </row>
    <row r="14" spans="1:7" ht="12" customHeight="1" thickBot="1" x14ac:dyDescent="0.25">
      <c r="A14" s="1789"/>
      <c r="B14" s="1790"/>
      <c r="C14" s="1791"/>
      <c r="D14" s="1792" t="s">
        <v>522</v>
      </c>
      <c r="E14" s="1793" t="s">
        <v>1015</v>
      </c>
      <c r="F14" s="1794">
        <f>SUM(F8:F13)</f>
        <v>2991449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92158</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69696</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6">
        <f>'Expenditures 15-22'!K102</f>
        <v>335831</v>
      </c>
      <c r="G53" s="866"/>
    </row>
    <row r="54" spans="1:7" x14ac:dyDescent="0.2">
      <c r="A54" s="870" t="s">
        <v>479</v>
      </c>
      <c r="B54" s="870" t="s">
        <v>1552</v>
      </c>
      <c r="C54" s="890" t="s">
        <v>1039</v>
      </c>
      <c r="D54" s="886" t="s">
        <v>1157</v>
      </c>
      <c r="E54" s="869"/>
      <c r="F54" s="1936">
        <f>'Expenditures 15-22'!G114</f>
        <v>800</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6">
        <f>'Expenditures 15-22'!K139</f>
        <v>0</v>
      </c>
      <c r="G57" s="866"/>
    </row>
    <row r="58" spans="1:7" x14ac:dyDescent="0.2">
      <c r="A58" s="870" t="s">
        <v>480</v>
      </c>
      <c r="B58" s="870" t="s">
        <v>1994</v>
      </c>
      <c r="C58" s="887" t="s">
        <v>1039</v>
      </c>
      <c r="D58" s="886" t="s">
        <v>1157</v>
      </c>
      <c r="E58" s="869"/>
      <c r="F58" s="1938">
        <f>'Expenditures 15-22'!G151</f>
        <v>0</v>
      </c>
      <c r="G58" s="866"/>
    </row>
    <row r="59" spans="1:7" x14ac:dyDescent="0.2">
      <c r="A59" s="894" t="s">
        <v>480</v>
      </c>
      <c r="B59" s="857" t="s">
        <v>1995</v>
      </c>
      <c r="C59" s="895" t="s">
        <v>1039</v>
      </c>
      <c r="D59" s="857" t="s">
        <v>309</v>
      </c>
      <c r="F59" s="1939">
        <f>'Expenditures 15-22'!I151</f>
        <v>0</v>
      </c>
      <c r="G59" s="866"/>
    </row>
    <row r="60" spans="1:7" x14ac:dyDescent="0.2">
      <c r="A60" s="894" t="s">
        <v>520</v>
      </c>
      <c r="B60" s="857" t="s">
        <v>1996</v>
      </c>
      <c r="C60" s="895">
        <v>4000</v>
      </c>
      <c r="D60" s="857" t="s">
        <v>330</v>
      </c>
      <c r="F60" s="1937">
        <f>'Expenditures 15-22'!K160</f>
        <v>0</v>
      </c>
      <c r="G60" s="866"/>
    </row>
    <row r="61" spans="1:7" x14ac:dyDescent="0.2">
      <c r="A61" s="896" t="s">
        <v>520</v>
      </c>
      <c r="B61" s="896" t="s">
        <v>1997</v>
      </c>
      <c r="C61" s="897" t="str">
        <f>'Expenditures 15-22'!B170</f>
        <v>5300</v>
      </c>
      <c r="D61" s="898" t="s">
        <v>329</v>
      </c>
      <c r="E61" s="880"/>
      <c r="F61" s="1936">
        <f>'Expenditures 15-22'!K170</f>
        <v>75000</v>
      </c>
      <c r="G61" s="866"/>
    </row>
    <row r="62" spans="1:7" x14ac:dyDescent="0.2">
      <c r="A62" s="870" t="s">
        <v>481</v>
      </c>
      <c r="B62" s="870" t="s">
        <v>1998</v>
      </c>
      <c r="C62" s="887">
        <f>'Expenditures 15-22'!B185</f>
        <v>3000</v>
      </c>
      <c r="D62" s="877" t="s">
        <v>469</v>
      </c>
      <c r="E62" s="869"/>
      <c r="F62" s="1936">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2000</v>
      </c>
      <c r="C64" s="897" t="str">
        <f>'Expenditures 15-22'!B206</f>
        <v>5300</v>
      </c>
      <c r="D64" s="893" t="s">
        <v>329</v>
      </c>
      <c r="E64" s="869"/>
      <c r="F64" s="1936">
        <f>'Expenditures 15-22'!K206</f>
        <v>0</v>
      </c>
      <c r="G64" s="866"/>
    </row>
    <row r="65" spans="1:8" x14ac:dyDescent="0.2">
      <c r="A65" s="870" t="s">
        <v>481</v>
      </c>
      <c r="B65" s="870" t="s">
        <v>2001</v>
      </c>
      <c r="C65" s="887" t="s">
        <v>1039</v>
      </c>
      <c r="D65" s="886" t="s">
        <v>1157</v>
      </c>
      <c r="E65" s="869"/>
      <c r="F65" s="1936">
        <f>'Expenditures 15-22'!G210</f>
        <v>0</v>
      </c>
      <c r="G65" s="866"/>
    </row>
    <row r="66" spans="1:8" x14ac:dyDescent="0.2">
      <c r="A66" s="870" t="s">
        <v>481</v>
      </c>
      <c r="B66" s="870" t="s">
        <v>2002</v>
      </c>
      <c r="C66" s="887" t="s">
        <v>1039</v>
      </c>
      <c r="D66" s="886" t="s">
        <v>309</v>
      </c>
      <c r="E66" s="869"/>
      <c r="F66" s="1936">
        <f>'Expenditures 15-22'!I210</f>
        <v>0</v>
      </c>
      <c r="G66" s="866"/>
    </row>
    <row r="67" spans="1:8" x14ac:dyDescent="0.2">
      <c r="A67" s="870" t="s">
        <v>482</v>
      </c>
      <c r="B67" s="870" t="s">
        <v>2003</v>
      </c>
      <c r="C67" s="887" t="str">
        <f>'Expenditures 15-22'!B216</f>
        <v>1125</v>
      </c>
      <c r="D67" s="893" t="str">
        <f>'Expenditures 15-22'!A216</f>
        <v>Pre-K Programs</v>
      </c>
      <c r="E67" s="869"/>
      <c r="F67" s="1936">
        <f>'Expenditures 15-22'!K216</f>
        <v>5744</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2005</v>
      </c>
      <c r="C70" s="887">
        <f>'Expenditures 15-22'!B221</f>
        <v>1300</v>
      </c>
      <c r="D70" s="888" t="str">
        <f>'Expenditures 15-22'!A221</f>
        <v>Adult/Continuing Education Programs</v>
      </c>
      <c r="E70" s="869"/>
      <c r="F70" s="1936">
        <f>'Expenditures 15-22'!K221</f>
        <v>0</v>
      </c>
      <c r="G70" s="866"/>
    </row>
    <row r="71" spans="1:8" x14ac:dyDescent="0.2">
      <c r="A71" s="870" t="s">
        <v>482</v>
      </c>
      <c r="B71" s="870" t="s">
        <v>2006</v>
      </c>
      <c r="C71" s="887">
        <f>'Expenditures 15-22'!B224</f>
        <v>1600</v>
      </c>
      <c r="D71" s="888" t="str">
        <f>'Expenditures 15-22'!A224</f>
        <v>Summer School Programs</v>
      </c>
      <c r="E71" s="869"/>
      <c r="F71" s="1936">
        <f>'Expenditures 15-22'!K224</f>
        <v>0</v>
      </c>
      <c r="G71" s="866"/>
    </row>
    <row r="72" spans="1:8" x14ac:dyDescent="0.2">
      <c r="A72" s="870" t="s">
        <v>482</v>
      </c>
      <c r="B72" s="870" t="s">
        <v>2007</v>
      </c>
      <c r="C72" s="887">
        <f>'Expenditures 15-22'!B280</f>
        <v>3000</v>
      </c>
      <c r="D72" s="877" t="s">
        <v>469</v>
      </c>
      <c r="E72" s="869"/>
      <c r="F72" s="1936">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2009</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579229</v>
      </c>
      <c r="G76" s="866"/>
    </row>
    <row r="77" spans="1:8" s="894" customFormat="1" ht="12" customHeight="1" thickTop="1" thickBot="1" x14ac:dyDescent="0.25">
      <c r="A77" s="1798"/>
      <c r="B77" s="1795"/>
      <c r="C77" s="1791"/>
      <c r="D77" s="1796" t="s">
        <v>2011</v>
      </c>
      <c r="E77" s="1793"/>
      <c r="F77" s="1799">
        <f>(F14-F76)</f>
        <v>2412220</v>
      </c>
      <c r="G77" s="870"/>
    </row>
    <row r="78" spans="1:8" s="894" customFormat="1" ht="12" customHeight="1" thickTop="1" x14ac:dyDescent="0.2">
      <c r="A78" s="1800"/>
      <c r="B78" s="1795"/>
      <c r="C78" s="1791"/>
      <c r="D78" s="1796" t="s">
        <v>2057</v>
      </c>
      <c r="E78" s="1793"/>
      <c r="F78" s="899">
        <v>283.61</v>
      </c>
      <c r="G78" s="900"/>
      <c r="H78" s="870"/>
    </row>
    <row r="79" spans="1:8" s="894" customFormat="1" ht="12" customHeight="1" thickBot="1" x14ac:dyDescent="0.25">
      <c r="A79" s="1801"/>
      <c r="B79" s="1795"/>
      <c r="C79" s="1791"/>
      <c r="D79" s="1796" t="s">
        <v>2012</v>
      </c>
      <c r="E79" s="1793" t="s">
        <v>1015</v>
      </c>
      <c r="F79" s="1802">
        <f>IF(F78&gt;0,F77/F78," Complete Line 78")</f>
        <v>8505.4123620464725</v>
      </c>
      <c r="G79" s="870"/>
    </row>
    <row r="80" spans="1:8" s="894" customFormat="1" ht="8.25" customHeight="1" thickTop="1" x14ac:dyDescent="0.2">
      <c r="A80" s="901"/>
      <c r="B80" s="870"/>
      <c r="C80" s="872"/>
      <c r="D80" s="902"/>
      <c r="E80" s="869"/>
      <c r="F80" s="903"/>
      <c r="G80" s="870"/>
    </row>
    <row r="81" spans="1:7" s="894" customFormat="1" ht="12" thickBot="1" x14ac:dyDescent="0.25">
      <c r="A81" s="2308" t="s">
        <v>1167</v>
      </c>
      <c r="B81" s="2309"/>
      <c r="C81" s="2309"/>
      <c r="D81" s="2309"/>
      <c r="E81" s="2309"/>
      <c r="F81" s="231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2177</v>
      </c>
      <c r="G94" s="913"/>
    </row>
    <row r="95" spans="1:7" x14ac:dyDescent="0.2">
      <c r="A95" s="909" t="s">
        <v>142</v>
      </c>
      <c r="B95" s="909" t="s">
        <v>177</v>
      </c>
      <c r="C95" s="911">
        <v>1700</v>
      </c>
      <c r="D95" s="919" t="str">
        <f>'Revenues 9-14'!A82</f>
        <v>Total District/School Activity Income</v>
      </c>
      <c r="E95" s="907"/>
      <c r="F95" s="1808">
        <f>SUM('Revenues 9-14'!C82,'Revenues 9-14'!D82)</f>
        <v>11543</v>
      </c>
      <c r="G95" s="913"/>
    </row>
    <row r="96" spans="1:7" x14ac:dyDescent="0.2">
      <c r="A96" s="909" t="s">
        <v>479</v>
      </c>
      <c r="B96" s="909" t="s">
        <v>178</v>
      </c>
      <c r="C96" s="911">
        <f>'Revenues 9-14'!B84</f>
        <v>1811</v>
      </c>
      <c r="D96" s="912" t="str">
        <f>'Revenues 9-14'!A84</f>
        <v>Rentals - Regular Textbooks</v>
      </c>
      <c r="E96" s="907"/>
      <c r="F96" s="1808">
        <f>'Revenues 9-14'!C84</f>
        <v>7315</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128356</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7409</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2330</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1732</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89572</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23169</v>
      </c>
      <c r="G128" s="931"/>
    </row>
    <row r="129" spans="1:7" x14ac:dyDescent="0.2">
      <c r="A129" s="928" t="s">
        <v>685</v>
      </c>
      <c r="B129" s="928" t="s">
        <v>803</v>
      </c>
      <c r="C129" s="933">
        <v>4200</v>
      </c>
      <c r="D129" s="930" t="str">
        <f>'Revenues 9-14'!A201</f>
        <v>Total Food Service</v>
      </c>
      <c r="E129" s="907"/>
      <c r="F129" s="1808">
        <f>SUM('Revenues 9-14'!C201,'Revenues 9-14'!G201)</f>
        <v>151823</v>
      </c>
      <c r="G129" s="931"/>
    </row>
    <row r="130" spans="1:7" x14ac:dyDescent="0.2">
      <c r="A130" s="928" t="s">
        <v>689</v>
      </c>
      <c r="B130" s="928" t="s">
        <v>804</v>
      </c>
      <c r="C130" s="933">
        <v>4300</v>
      </c>
      <c r="D130" s="934" t="str">
        <f>'Revenues 9-14'!A211</f>
        <v>Total Title I</v>
      </c>
      <c r="E130" s="907"/>
      <c r="F130" s="1808">
        <f>SUM('Revenues 9-14'!C211,'Revenues 9-14'!D211,'Revenues 9-14'!F211,'Revenues 9-14'!G211)</f>
        <v>129403</v>
      </c>
      <c r="G130" s="931"/>
    </row>
    <row r="131" spans="1:7" x14ac:dyDescent="0.2">
      <c r="A131" s="928" t="s">
        <v>689</v>
      </c>
      <c r="B131" s="928" t="s">
        <v>805</v>
      </c>
      <c r="C131" s="933">
        <v>4400</v>
      </c>
      <c r="D131" s="934" t="str">
        <f>'Revenues 9-14'!A216</f>
        <v>Total Title IV</v>
      </c>
      <c r="E131" s="907"/>
      <c r="F131" s="1808">
        <f>SUM('Revenues 9-14'!C216,'Revenues 9-14'!D216,'Revenues 9-14'!F216,'Revenues 9-14'!G216)</f>
        <v>75</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18337</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2035</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41" t="s">
        <v>5</v>
      </c>
      <c r="B175" s="1942" t="s">
        <v>2056</v>
      </c>
      <c r="C175" s="1943">
        <v>3100</v>
      </c>
      <c r="D175" s="1944" t="s">
        <v>2059</v>
      </c>
      <c r="E175" s="907"/>
      <c r="F175" s="1928"/>
      <c r="G175" s="928"/>
    </row>
    <row r="176" spans="1:7" x14ac:dyDescent="0.2">
      <c r="A176" s="1941" t="s">
        <v>685</v>
      </c>
      <c r="B176" s="1942" t="s">
        <v>2056</v>
      </c>
      <c r="C176" s="1943">
        <v>3300</v>
      </c>
      <c r="D176" s="1944" t="s">
        <v>2060</v>
      </c>
      <c r="E176" s="907"/>
      <c r="F176" s="1928"/>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575276</v>
      </c>
    </row>
    <row r="179" spans="1:7" ht="12" customHeight="1" x14ac:dyDescent="0.2">
      <c r="A179" s="1789"/>
      <c r="B179" s="1803"/>
      <c r="C179" s="1804"/>
      <c r="D179" s="1805" t="s">
        <v>2014</v>
      </c>
      <c r="E179" s="1806"/>
      <c r="F179" s="1808">
        <f>'PCTC-OEPP 27-28'!F77-F178</f>
        <v>1836944</v>
      </c>
    </row>
    <row r="180" spans="1:7" ht="12" customHeight="1" x14ac:dyDescent="0.2">
      <c r="A180" s="1789"/>
      <c r="B180" s="1803"/>
      <c r="C180" s="1804"/>
      <c r="D180" s="1805" t="s">
        <v>1924</v>
      </c>
      <c r="E180" s="1806"/>
      <c r="F180" s="1808">
        <f>'Cap Outlay Deprec 26'!I18</f>
        <v>152014</v>
      </c>
    </row>
    <row r="181" spans="1:7" ht="12" customHeight="1" x14ac:dyDescent="0.2">
      <c r="A181" s="1789"/>
      <c r="B181" s="1803"/>
      <c r="C181" s="1804"/>
      <c r="D181" s="1805" t="s">
        <v>2015</v>
      </c>
      <c r="E181" s="1806"/>
      <c r="F181" s="1808">
        <f>F179+F180</f>
        <v>1988958</v>
      </c>
    </row>
    <row r="182" spans="1:7" ht="12" customHeight="1" x14ac:dyDescent="0.2">
      <c r="A182" s="1789"/>
      <c r="B182" s="1809"/>
      <c r="C182" s="1804"/>
      <c r="D182" s="1805" t="str">
        <f>D78</f>
        <v>9 Month ADA from District Average Daily Attendance/Prior General State Aid Inquiry 2017-2018</v>
      </c>
      <c r="E182" s="1806"/>
      <c r="F182" s="1810">
        <f>'PCTC-OEPP 27-28'!F78</f>
        <v>283.61</v>
      </c>
      <c r="G182" s="931"/>
    </row>
    <row r="183" spans="1:7" ht="12" customHeight="1" thickBot="1" x14ac:dyDescent="0.25">
      <c r="A183" s="1789"/>
      <c r="B183" s="1809"/>
      <c r="C183" s="1804"/>
      <c r="D183" s="1805" t="s">
        <v>2016</v>
      </c>
      <c r="E183" s="1806" t="s">
        <v>1626</v>
      </c>
      <c r="F183" s="1811">
        <f>F181/F182</f>
        <v>7013.0037727865729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5" customFormat="1" ht="12.2" customHeight="1" x14ac:dyDescent="0.2">
      <c r="A186" s="1945" t="s">
        <v>2063</v>
      </c>
      <c r="B186" s="1946"/>
      <c r="C186" s="1947"/>
      <c r="D186" s="1946"/>
      <c r="E186" s="1947"/>
      <c r="F186" s="1946"/>
      <c r="G186" s="1946"/>
    </row>
    <row r="187" spans="1:7" s="1945" customFormat="1" ht="12.2" customHeight="1" x14ac:dyDescent="0.2">
      <c r="A187" s="1948" t="s">
        <v>2064</v>
      </c>
      <c r="C187" s="1947"/>
      <c r="D187" s="1946"/>
      <c r="E187" s="1947"/>
      <c r="F187" s="1946"/>
      <c r="G187" s="1946"/>
    </row>
    <row r="188" spans="1:7" ht="12" customHeight="1" x14ac:dyDescent="0.2">
      <c r="C188" s="950"/>
      <c r="D188" s="931"/>
      <c r="E188" s="950"/>
      <c r="F188" s="931"/>
      <c r="G188" s="931"/>
    </row>
    <row r="189" spans="1:7" x14ac:dyDescent="0.2">
      <c r="A189" s="1949" t="s">
        <v>2062</v>
      </c>
      <c r="B189" s="1950"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1" right="0.75" top="1.25" bottom="0.75" header="1" footer="0.25"/>
  <pageSetup scale="60" firstPageNumber="27" fitToHeight="2" orientation="portrait" useFirstPageNumber="1" r:id="rId2"/>
  <headerFooter differentOddEven="1" alignWithMargins="0">
    <oddHeader>&amp;L&amp;8Page &amp;P&amp;C &amp;R&amp;8Page &amp;P</oddHeader>
    <oddFooter>&amp;L&amp;8Print Date: &amp;D
&amp;F&amp;CReference should be made to the accountant's report regarding this information.
47</oddFooter>
    <evenFooter>&amp;CReference should be made to the accountant's report regarding this information.
48</even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22" t="s">
        <v>1925</v>
      </c>
      <c r="B4" s="2323"/>
      <c r="C4" s="2323"/>
      <c r="D4" s="2323"/>
      <c r="E4" s="2323"/>
      <c r="F4" s="2323"/>
      <c r="G4" s="2324"/>
    </row>
    <row r="5" spans="1:7" x14ac:dyDescent="0.25">
      <c r="A5" s="2325"/>
      <c r="B5" s="2326"/>
      <c r="C5" s="2326"/>
      <c r="D5" s="2326"/>
      <c r="E5" s="2326"/>
      <c r="F5" s="2326"/>
      <c r="G5" s="2327"/>
    </row>
    <row r="6" spans="1:7" ht="18.75" x14ac:dyDescent="0.25">
      <c r="A6" s="1553" t="s">
        <v>1926</v>
      </c>
      <c r="B6" s="1554"/>
      <c r="C6" s="1554"/>
      <c r="D6" s="1554"/>
      <c r="E6" s="1554"/>
      <c r="F6" s="1554"/>
      <c r="G6" s="1555"/>
    </row>
    <row r="7" spans="1:7" ht="30.75" customHeight="1" x14ac:dyDescent="0.25">
      <c r="A7" s="2328" t="s">
        <v>2073</v>
      </c>
      <c r="B7" s="2329"/>
      <c r="C7" s="2329"/>
      <c r="D7" s="2329"/>
      <c r="E7" s="2329"/>
      <c r="F7" s="2329"/>
      <c r="G7" s="2330"/>
    </row>
    <row r="8" spans="1:7" ht="15.75" customHeight="1" x14ac:dyDescent="0.25">
      <c r="A8" s="2331" t="s">
        <v>2022</v>
      </c>
      <c r="B8" s="2332"/>
      <c r="C8" s="2332"/>
      <c r="D8" s="2332"/>
      <c r="E8" s="2332"/>
      <c r="F8" s="2332"/>
      <c r="G8" s="2333"/>
    </row>
    <row r="9" spans="1:7" ht="35.25" customHeight="1" x14ac:dyDescent="0.25">
      <c r="A9" s="2328" t="s">
        <v>2076</v>
      </c>
      <c r="B9" s="2329"/>
      <c r="C9" s="2329"/>
      <c r="D9" s="2329"/>
      <c r="E9" s="2329"/>
      <c r="F9" s="2329"/>
      <c r="G9" s="2330"/>
    </row>
    <row r="10" spans="1:7" ht="15" customHeight="1" x14ac:dyDescent="0.25">
      <c r="A10" s="1556" t="s">
        <v>1927</v>
      </c>
      <c r="B10" s="1557"/>
      <c r="C10" s="1557"/>
      <c r="D10" s="1557"/>
      <c r="E10" s="1557"/>
      <c r="F10" s="1557"/>
      <c r="G10" s="1558"/>
    </row>
    <row r="11" spans="1:7" ht="17.25" customHeight="1" x14ac:dyDescent="0.25">
      <c r="A11" s="2328" t="s">
        <v>2075</v>
      </c>
      <c r="B11" s="2329"/>
      <c r="C11" s="2329"/>
      <c r="D11" s="2329"/>
      <c r="E11" s="2329"/>
      <c r="F11" s="2329"/>
      <c r="G11" s="2330"/>
    </row>
    <row r="12" spans="1:7" ht="15" customHeight="1" x14ac:dyDescent="0.25">
      <c r="A12" s="1556" t="s">
        <v>1932</v>
      </c>
      <c r="B12" s="1557"/>
      <c r="C12" s="1557"/>
      <c r="D12" s="1557"/>
      <c r="E12" s="1557"/>
      <c r="F12" s="1557"/>
      <c r="G12" s="1558"/>
    </row>
    <row r="13" spans="1:7" ht="32.25" customHeight="1" x14ac:dyDescent="0.25">
      <c r="A13" s="2319" t="s">
        <v>1933</v>
      </c>
      <c r="B13" s="2320"/>
      <c r="C13" s="2320"/>
      <c r="D13" s="2320"/>
      <c r="E13" s="2320"/>
      <c r="F13" s="2320"/>
      <c r="G13" s="2321"/>
    </row>
    <row r="14" spans="1:7" x14ac:dyDescent="0.25">
      <c r="A14" s="1680" t="s">
        <v>1941</v>
      </c>
      <c r="B14" s="1681"/>
      <c r="C14" s="1681"/>
      <c r="D14" s="1681"/>
      <c r="E14" s="1681"/>
      <c r="F14" s="1681"/>
      <c r="G14" s="1682"/>
    </row>
    <row r="15" spans="1:7" ht="61.5" customHeight="1" x14ac:dyDescent="0.25">
      <c r="A15" s="1565" t="s">
        <v>1934</v>
      </c>
      <c r="B15" s="1565" t="s">
        <v>1935</v>
      </c>
      <c r="C15" s="1565" t="s">
        <v>1936</v>
      </c>
      <c r="D15" s="1566" t="s">
        <v>1937</v>
      </c>
      <c r="E15" s="1566" t="s">
        <v>1928</v>
      </c>
      <c r="F15" s="1566" t="s">
        <v>1938</v>
      </c>
      <c r="G15" s="1566" t="s">
        <v>1939</v>
      </c>
    </row>
    <row r="16" spans="1:7" x14ac:dyDescent="0.25">
      <c r="A16" s="1667" t="s">
        <v>1942</v>
      </c>
      <c r="B16" s="1668" t="s">
        <v>1931</v>
      </c>
      <c r="C16" s="1669" t="s">
        <v>1929</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86" t="s">
        <v>2203</v>
      </c>
      <c r="B17" s="1865"/>
      <c r="C17" s="1675"/>
      <c r="D17" s="1864"/>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 bottom="0.75" header="1" footer="0.5"/>
  <pageSetup scale="78" firstPageNumber="30" fitToHeight="4" orientation="landscape" r:id="rId1"/>
  <headerFooter>
    <oddFooter>&amp;CReference should be made to the accountant's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25" colorId="8" zoomScale="110" zoomScaleNormal="110" workbookViewId="0">
      <selection activeCell="F54" sqref="F5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4" t="s">
        <v>1778</v>
      </c>
      <c r="B5" s="2335"/>
      <c r="C5" s="2335"/>
      <c r="D5" s="2335"/>
      <c r="E5" s="2335"/>
      <c r="F5" s="2335"/>
      <c r="G5" s="2336"/>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126809</v>
      </c>
      <c r="F10" s="975"/>
      <c r="G10" s="976"/>
      <c r="H10" s="162"/>
      <c r="I10" s="162"/>
    </row>
    <row r="11" spans="1:9" s="669" customFormat="1" ht="22.5" customHeight="1" x14ac:dyDescent="0.2">
      <c r="A11" s="2339" t="s">
        <v>1944</v>
      </c>
      <c r="B11" s="2340"/>
      <c r="C11" s="2340"/>
      <c r="D11" s="2341"/>
      <c r="E11" s="978">
        <v>14804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1479455</v>
      </c>
      <c r="F19" s="1819"/>
      <c r="G19" s="1821">
        <f>'Expenditures 15-22'!K33-SUM('Expenditures 15-22'!G33,'Expenditures 15-22'!I33)+'Expenditures 15-22'!D229</f>
        <v>1479455</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51445</v>
      </c>
      <c r="F21" s="1822"/>
      <c r="G21" s="1825">
        <f>'Expenditures 15-22'!K42-SUM('Expenditures 15-22'!G42,'Expenditures 15-22'!I42)+'Expenditures 15-22'!K120-SUM('Expenditures 15-22'!G120,'Expenditures 15-22'!I120)+'Expenditures 15-22'!K180-SUM('Expenditures 15-22'!G180,'Expenditures 15-22'!I180)+'Expenditures 15-22'!D238</f>
        <v>51445</v>
      </c>
      <c r="H21" s="988"/>
      <c r="I21" s="162"/>
    </row>
    <row r="22" spans="1:9" s="669" customFormat="1" ht="12" customHeight="1" x14ac:dyDescent="0.2">
      <c r="A22" s="995" t="s">
        <v>585</v>
      </c>
      <c r="B22" s="996"/>
      <c r="C22" s="994">
        <v>2200</v>
      </c>
      <c r="D22" s="1822"/>
      <c r="E22" s="1824">
        <f>'Expenditures 15-22'!K47-SUM('Expenditures 15-22'!G47,'Expenditures 15-22'!I47)+'Expenditures 15-22'!D243</f>
        <v>9141</v>
      </c>
      <c r="F22" s="1822"/>
      <c r="G22" s="1825">
        <f>'Expenditures 15-22'!K47-SUM('Expenditures 15-22'!G47,'Expenditures 15-22'!I47)+'Expenditures 15-22'!D243</f>
        <v>9141</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190026</v>
      </c>
      <c r="F23" s="1822"/>
      <c r="G23" s="1824">
        <f>'Expenditures 15-22'!K53-SUM('Expenditures 15-22'!G53,'Expenditures 15-22'!I53)+'Expenditures 15-22'!D257+'Expenditures 15-22'!K330-SUM('Expenditures 15-22'!G330,'Expenditures 15-22'!I330)</f>
        <v>190026</v>
      </c>
      <c r="H23" s="988"/>
      <c r="I23" s="162"/>
    </row>
    <row r="24" spans="1:9" s="669" customFormat="1" ht="12" customHeight="1" x14ac:dyDescent="0.2">
      <c r="A24" s="995" t="s">
        <v>587</v>
      </c>
      <c r="B24" s="996"/>
      <c r="C24" s="994">
        <v>2400</v>
      </c>
      <c r="D24" s="1822"/>
      <c r="E24" s="1824">
        <f>'Expenditures 15-22'!K57-SUM('Expenditures 15-22'!G57,'Expenditures 15-22'!I57)+'Expenditures 15-22'!D261</f>
        <v>228576</v>
      </c>
      <c r="F24" s="1822"/>
      <c r="G24" s="1825">
        <f>'Expenditures 15-22'!K57-SUM('Expenditures 15-22'!G57,'Expenditures 15-22'!I57)+'Expenditures 15-22'!D261</f>
        <v>228576</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56697</v>
      </c>
      <c r="E27" s="1824">
        <f>E8</f>
        <v>0</v>
      </c>
      <c r="F27" s="1824">
        <f>'Expenditures 15-22'!K60-SUM('Expenditures 15-22'!G60,'Expenditures 15-22'!I60)+'Expenditures 15-22'!D264-E8</f>
        <v>56697</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230601</v>
      </c>
      <c r="F28" s="1826">
        <f>'Expenditures 15-22'!K61-SUM('Expenditures 15-22'!G61,'Expenditures 15-22'!I61)+'Expenditures 15-22'!K124-SUM('Expenditures 15-22'!G124,'Expenditures 15-22'!I124)+'Expenditures 15-22'!D266-E9</f>
        <v>230601</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123347</v>
      </c>
      <c r="F29" s="1822"/>
      <c r="G29" s="1825">
        <f>'Expenditures 15-22'!K62-SUM('Expenditures 15-22'!G62,'Expenditures 15-22'!I62)+'Expenditures 15-22'!K125-SUM('Expenditures 15-22'!G125,'Expenditures 15-22'!I125)+'Expenditures 15-22'!K182-SUM('Expenditures 15-22'!G182,'Expenditures 15-22'!I182)+'Expenditures 15-22'!D267</f>
        <v>123347</v>
      </c>
      <c r="H29" s="986"/>
    </row>
    <row r="30" spans="1:9" ht="12" customHeight="1" x14ac:dyDescent="0.2">
      <c r="A30" s="995" t="s">
        <v>102</v>
      </c>
      <c r="B30" s="998"/>
      <c r="C30" s="994">
        <v>2560</v>
      </c>
      <c r="D30" s="1822"/>
      <c r="E30" s="1824">
        <f>'Expenditures 15-22'!K63-SUM('Expenditures 15-22'!G63,'Expenditures 15-22'!I63)+'Expenditures 15-22'!D268-E10</f>
        <v>14090</v>
      </c>
      <c r="F30" s="1822"/>
      <c r="G30" s="1824">
        <f>'Expenditures 15-22'!K63-SUM('Expenditures 15-22'!G63,'Expenditures 15-22'!I63)+'Expenditures 15-22'!D268-E10</f>
        <v>14090</v>
      </c>
    </row>
    <row r="31" spans="1:9" ht="12" customHeight="1" x14ac:dyDescent="0.2">
      <c r="A31" s="995" t="s">
        <v>103</v>
      </c>
      <c r="B31" s="998"/>
      <c r="C31" s="994">
        <v>2570</v>
      </c>
      <c r="D31" s="1824">
        <f>'Expenditures 15-22'!K64-SUM('Expenditures 15-22'!G64,'Expenditures 15-22'!I64)+'Expenditures 15-22'!D269-E12</f>
        <v>2534</v>
      </c>
      <c r="E31" s="1824">
        <f>E12</f>
        <v>0</v>
      </c>
      <c r="F31" s="1824">
        <f>'Expenditures 15-22'!K64-SUM('Expenditures 15-22'!G64,'Expenditures 15-22'!I64)+'Expenditures 15-22'!D269-E12</f>
        <v>2534</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2"/>
      <c r="E40" s="1826">
        <f>-'Contracts Paid in CY 29'!G141</f>
        <v>0</v>
      </c>
      <c r="F40" s="1822"/>
      <c r="G40" s="1826">
        <f>-'Contracts Paid in CY 29'!G141</f>
        <v>0</v>
      </c>
    </row>
    <row r="41" spans="1:7" ht="12" customHeight="1" x14ac:dyDescent="0.2">
      <c r="A41" s="999" t="s">
        <v>158</v>
      </c>
      <c r="B41" s="1000"/>
      <c r="C41" s="1001"/>
      <c r="D41" s="1826">
        <f>SUM(D19:D39)</f>
        <v>59231</v>
      </c>
      <c r="E41" s="1826">
        <f>SUM(E19:E40)</f>
        <v>2326681</v>
      </c>
      <c r="F41" s="1826">
        <f>SUM(F19:F39)</f>
        <v>289832</v>
      </c>
      <c r="G41" s="1826">
        <f>SUM(G19:G40)</f>
        <v>2096080</v>
      </c>
    </row>
    <row r="42" spans="1:7" x14ac:dyDescent="0.2">
      <c r="A42" s="988"/>
      <c r="B42" s="162"/>
      <c r="C42" s="1002"/>
      <c r="D42" s="2337" t="s">
        <v>543</v>
      </c>
      <c r="E42" s="2338"/>
      <c r="F42" s="1003" t="s">
        <v>544</v>
      </c>
      <c r="G42" s="1004"/>
    </row>
    <row r="43" spans="1:7" ht="12" customHeight="1" x14ac:dyDescent="0.2">
      <c r="A43" s="988"/>
      <c r="B43" s="162"/>
      <c r="C43" s="1002"/>
      <c r="D43" s="1827" t="s">
        <v>493</v>
      </c>
      <c r="E43" s="1828">
        <f>D41</f>
        <v>59231</v>
      </c>
      <c r="F43" s="1827" t="s">
        <v>495</v>
      </c>
      <c r="G43" s="1828">
        <f>F41</f>
        <v>289832</v>
      </c>
    </row>
    <row r="44" spans="1:7" ht="12" customHeight="1" x14ac:dyDescent="0.2">
      <c r="A44" s="988"/>
      <c r="B44" s="162"/>
      <c r="C44" s="1002"/>
      <c r="D44" s="1827" t="s">
        <v>494</v>
      </c>
      <c r="E44" s="1828">
        <f>E41</f>
        <v>2326681</v>
      </c>
      <c r="F44" s="1827" t="s">
        <v>494</v>
      </c>
      <c r="G44" s="1828">
        <f>G41</f>
        <v>2096080</v>
      </c>
    </row>
    <row r="45" spans="1:7" ht="12" customHeight="1" x14ac:dyDescent="0.2">
      <c r="A45" s="988"/>
      <c r="B45" s="162"/>
      <c r="C45" s="162"/>
      <c r="D45" s="1829" t="s">
        <v>1063</v>
      </c>
      <c r="E45" s="1830">
        <f>(E43/E44)</f>
        <v>2.5457293028137505E-2</v>
      </c>
      <c r="F45" s="1829" t="s">
        <v>1063</v>
      </c>
      <c r="G45" s="1830">
        <f>(G43/G44)</f>
        <v>0.13827334834548299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0.5" right="0.5" top="1.4" bottom="0.75" header="1" footer="0.5"/>
  <pageSetup scale="75" firstPageNumber="30" orientation="landscape" useFirstPageNumber="1" r:id="rId1"/>
  <headerFooter alignWithMargins="0">
    <oddHeader>&amp;L&amp;8Page &amp;P&amp;C&amp;"Arial,Bold"
ESTIMATED INDIRECT COST DATA&amp;R&amp;8Page &amp;P</oddHeader>
    <oddFooter>&amp;L&amp;8Print Date:  &amp;D
&amp;F&amp;CReference should be made to the accountant's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1" activePane="bottomLeft" state="frozen"/>
      <selection activeCell="A47" sqref="A47"/>
      <selection pane="bottomLeft" activeCell="A25" sqref="A2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45" t="s">
        <v>1446</v>
      </c>
      <c r="B1" s="2345"/>
      <c r="C1" s="2345"/>
      <c r="D1" s="2345"/>
      <c r="E1" s="2345"/>
      <c r="F1" s="2345"/>
    </row>
    <row r="2" spans="1:10" x14ac:dyDescent="0.2">
      <c r="A2" s="1909" t="s">
        <v>2046</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46" t="s">
        <v>1627</v>
      </c>
      <c r="B5" s="2347"/>
      <c r="C5" s="2348"/>
      <c r="D5" s="2348"/>
      <c r="E5" s="2348"/>
      <c r="F5" s="2348"/>
    </row>
    <row r="6" spans="1:10" ht="12" customHeight="1" x14ac:dyDescent="0.25">
      <c r="A6" s="1872"/>
      <c r="B6" s="1873"/>
      <c r="C6" s="2349" t="str">
        <f>COVER!A17</f>
        <v>South Fork Community Unit School District No. 14</v>
      </c>
      <c r="D6" s="2349"/>
      <c r="E6" s="2349"/>
      <c r="F6" s="1874"/>
    </row>
    <row r="7" spans="1:10" ht="11.25" customHeight="1" thickBot="1" x14ac:dyDescent="0.3">
      <c r="A7" s="1872"/>
      <c r="B7" s="1873"/>
      <c r="C7" s="2350">
        <f>COVER!A13</f>
        <v>3011014024</v>
      </c>
      <c r="D7" s="2350"/>
      <c r="E7" s="2350"/>
      <c r="F7" s="1874"/>
    </row>
    <row r="8" spans="1:10" ht="25.5" customHeight="1" thickBot="1" x14ac:dyDescent="0.25">
      <c r="A8" s="1915" t="s">
        <v>2023</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t="s">
        <v>2123</v>
      </c>
      <c r="D13" s="1887" t="s">
        <v>2123</v>
      </c>
      <c r="E13" s="1890" t="s">
        <v>2123</v>
      </c>
      <c r="F13" s="1889" t="s">
        <v>2204</v>
      </c>
      <c r="H13" s="1900">
        <f t="shared" si="0"/>
        <v>5</v>
      </c>
      <c r="I13" s="1900">
        <f t="shared" si="1"/>
        <v>5</v>
      </c>
      <c r="J13" s="1900">
        <f t="shared" si="2"/>
        <v>5</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2123</v>
      </c>
      <c r="D26" s="1887" t="s">
        <v>2123</v>
      </c>
      <c r="E26" s="1890" t="s">
        <v>2123</v>
      </c>
      <c r="F26" s="1889" t="s">
        <v>2205</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t="s">
        <v>2123</v>
      </c>
      <c r="D33" s="1887" t="s">
        <v>2123</v>
      </c>
      <c r="E33" s="1890" t="s">
        <v>2123</v>
      </c>
      <c r="F33" s="1889" t="s">
        <v>2206</v>
      </c>
      <c r="H33" s="1900">
        <f t="shared" si="0"/>
        <v>5</v>
      </c>
      <c r="I33" s="1900">
        <f t="shared" si="1"/>
        <v>5</v>
      </c>
      <c r="J33" s="1900">
        <f t="shared" si="2"/>
        <v>5</v>
      </c>
    </row>
    <row r="34" spans="1:11" ht="12" customHeight="1" x14ac:dyDescent="0.25">
      <c r="A34" s="1892"/>
      <c r="B34" s="1892"/>
      <c r="C34" s="1892"/>
      <c r="D34" s="1892"/>
      <c r="E34" s="1892"/>
      <c r="F34" s="1892"/>
      <c r="H34" s="1900">
        <f>SUM(H11:H32)</f>
        <v>10</v>
      </c>
      <c r="I34" s="1900">
        <f>SUM(I11:I32)</f>
        <v>10</v>
      </c>
      <c r="J34" s="1900">
        <f>SUM(J11:J32)</f>
        <v>10</v>
      </c>
      <c r="K34" s="1900">
        <f>SUM(H34:J34)</f>
        <v>30</v>
      </c>
    </row>
    <row r="35" spans="1:11" ht="12" customHeight="1" x14ac:dyDescent="0.2">
      <c r="A35" s="1893" t="s">
        <v>1459</v>
      </c>
      <c r="B35" s="1894"/>
      <c r="C35" s="2351"/>
      <c r="D35" s="2351"/>
      <c r="E35" s="2351"/>
      <c r="F35" s="2352"/>
    </row>
    <row r="36" spans="1:11" ht="12" customHeight="1" x14ac:dyDescent="0.2">
      <c r="A36" s="2342"/>
      <c r="B36" s="2343"/>
      <c r="C36" s="2343"/>
      <c r="D36" s="2343"/>
      <c r="E36" s="2343"/>
      <c r="F36" s="2344"/>
    </row>
    <row r="37" spans="1:11" ht="12" customHeight="1" x14ac:dyDescent="0.2">
      <c r="A37" s="2342"/>
      <c r="B37" s="2343"/>
      <c r="C37" s="2343"/>
      <c r="D37" s="2343"/>
      <c r="E37" s="2343"/>
      <c r="F37" s="2344"/>
    </row>
    <row r="38" spans="1:11" ht="12" customHeight="1" x14ac:dyDescent="0.2">
      <c r="A38" s="2356"/>
      <c r="B38" s="2357"/>
      <c r="C38" s="2357"/>
      <c r="D38" s="2357"/>
      <c r="E38" s="2357"/>
      <c r="F38" s="2358"/>
    </row>
    <row r="39" spans="1:11" ht="4.5" hidden="1" customHeight="1" x14ac:dyDescent="0.2">
      <c r="A39" s="1895"/>
      <c r="B39" s="1895"/>
      <c r="C39" s="1895"/>
      <c r="D39" s="1895"/>
      <c r="E39" s="1895"/>
      <c r="F39" s="1895"/>
    </row>
    <row r="40" spans="1:11" s="1892" customFormat="1" ht="12" customHeight="1" x14ac:dyDescent="0.25">
      <c r="A40" s="1896" t="s">
        <v>1458</v>
      </c>
      <c r="B40" s="1897"/>
      <c r="C40" s="2359"/>
      <c r="D40" s="2359"/>
      <c r="E40" s="2359"/>
      <c r="F40" s="2360"/>
      <c r="H40" s="1901"/>
      <c r="I40" s="1901"/>
      <c r="J40" s="1901"/>
      <c r="K40" s="1901"/>
    </row>
    <row r="41" spans="1:11" s="1892" customFormat="1" ht="12" customHeight="1" x14ac:dyDescent="0.25">
      <c r="A41" s="2361"/>
      <c r="B41" s="2362"/>
      <c r="C41" s="2362"/>
      <c r="D41" s="2362"/>
      <c r="E41" s="2362"/>
      <c r="F41" s="2363"/>
      <c r="H41" s="1901"/>
      <c r="I41" s="1901"/>
      <c r="J41" s="1901"/>
      <c r="K41" s="1901"/>
    </row>
    <row r="42" spans="1:11" s="1892" customFormat="1" ht="12" customHeight="1" x14ac:dyDescent="0.25">
      <c r="A42" s="2361"/>
      <c r="B42" s="2362"/>
      <c r="C42" s="2362"/>
      <c r="D42" s="2362"/>
      <c r="E42" s="2362"/>
      <c r="F42" s="2363"/>
      <c r="H42" s="1901"/>
      <c r="I42" s="1901"/>
      <c r="J42" s="1901"/>
      <c r="K42" s="1901"/>
    </row>
    <row r="43" spans="1:11" s="1892" customFormat="1" ht="15" x14ac:dyDescent="0.25">
      <c r="A43" s="2353"/>
      <c r="B43" s="2354"/>
      <c r="C43" s="2354"/>
      <c r="D43" s="2354"/>
      <c r="E43" s="2354"/>
      <c r="F43" s="2355"/>
      <c r="H43" s="1901"/>
      <c r="I43" s="1901"/>
      <c r="J43" s="1901"/>
      <c r="K43" s="1901"/>
    </row>
    <row r="44" spans="1:11" s="1892" customFormat="1" ht="12" hidden="1" customHeight="1" x14ac:dyDescent="0.25">
      <c r="A44" s="2353"/>
      <c r="B44" s="2354"/>
      <c r="C44" s="2354"/>
      <c r="D44" s="2354"/>
      <c r="E44" s="2354"/>
      <c r="F44" s="2355"/>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1499999999999999" bottom="0.75" header="1" footer="0.5"/>
  <pageSetup scale="68" orientation="landscape" r:id="rId1"/>
  <headerFooter>
    <oddFooter>&amp;L&amp;8Page 31&amp;CReference should be made to the accountant's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7" colorId="8" zoomScale="110" zoomScaleNormal="110" workbookViewId="0">
      <selection activeCell="F29" sqref="F29:G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1"/>
      <c r="C6" s="1661"/>
      <c r="D6" s="1661"/>
      <c r="E6" s="1662"/>
      <c r="F6" s="1016"/>
      <c r="G6" s="1010"/>
      <c r="H6" s="1017" t="s">
        <v>1086</v>
      </c>
      <c r="I6" s="2369" t="str">
        <f>COVER!A17</f>
        <v>South Fork Community Unit School District No. 14</v>
      </c>
      <c r="J6" s="2370"/>
      <c r="Q6" s="1683"/>
    </row>
    <row r="7" spans="1:17" x14ac:dyDescent="0.2">
      <c r="A7" s="2371" t="s">
        <v>924</v>
      </c>
      <c r="B7" s="2372"/>
      <c r="C7" s="2372"/>
      <c r="D7" s="2372"/>
      <c r="E7" s="2373"/>
      <c r="F7" s="1018"/>
      <c r="G7" s="1010"/>
      <c r="H7" s="1017" t="s">
        <v>390</v>
      </c>
      <c r="I7" s="2374">
        <f>COVER!A13</f>
        <v>3011014024</v>
      </c>
      <c r="J7" s="2374"/>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5" t="s">
        <v>502</v>
      </c>
      <c r="B11" s="2376"/>
      <c r="C11" s="237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83067</v>
      </c>
      <c r="F12" s="1040"/>
      <c r="G12" s="1831">
        <f t="shared" ref="G12:G18" si="0">SUM(E12:F12)</f>
        <v>83067</v>
      </c>
      <c r="H12" s="1041">
        <v>86695</v>
      </c>
      <c r="I12" s="1040"/>
      <c r="J12" s="1831">
        <f t="shared" ref="J12:J18" si="1">SUM(H12:I12)</f>
        <v>86695</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2534</v>
      </c>
      <c r="F16" s="1040"/>
      <c r="G16" s="1831">
        <f t="shared" si="0"/>
        <v>2534</v>
      </c>
      <c r="H16" s="1041">
        <v>2930</v>
      </c>
      <c r="I16" s="1040"/>
      <c r="J16" s="1831">
        <f t="shared" si="1"/>
        <v>2930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78" t="s">
        <v>7</v>
      </c>
      <c r="C18" s="2379"/>
      <c r="D18" s="2380"/>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85601</v>
      </c>
      <c r="F19" s="1833">
        <f t="shared" si="2"/>
        <v>0</v>
      </c>
      <c r="G19" s="1833">
        <f t="shared" si="2"/>
        <v>85601</v>
      </c>
      <c r="H19" s="1833">
        <f t="shared" si="2"/>
        <v>89625</v>
      </c>
      <c r="I19" s="1833">
        <f t="shared" si="2"/>
        <v>0</v>
      </c>
      <c r="J19" s="1833">
        <f t="shared" si="2"/>
        <v>89625</v>
      </c>
    </row>
    <row r="20" spans="1:10" ht="13.5" thickTop="1" x14ac:dyDescent="0.2">
      <c r="A20" s="1036">
        <v>9</v>
      </c>
      <c r="B20" s="2381" t="s">
        <v>1703</v>
      </c>
      <c r="C20" s="2381"/>
      <c r="D20" s="2382"/>
      <c r="E20" s="1047"/>
      <c r="F20" s="1047"/>
      <c r="G20" s="1047"/>
      <c r="H20" s="1047"/>
      <c r="I20" s="1047"/>
      <c r="J20" s="1834">
        <f>IF(AND(G19&gt;0,J19&gt;0),(((J19-G19)/G19)),"Enter Budget Data")</f>
        <v>4.700879662620764E-2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7"/>
      <c r="D26" s="2387"/>
      <c r="E26" s="1051"/>
      <c r="F26" s="2386">
        <v>43362</v>
      </c>
      <c r="G26" s="2386"/>
    </row>
    <row r="27" spans="1:10" x14ac:dyDescent="0.2">
      <c r="B27" s="1048"/>
      <c r="C27" s="1052" t="s">
        <v>1093</v>
      </c>
      <c r="D27" s="1053"/>
      <c r="E27" s="1054"/>
      <c r="F27" s="2383" t="s">
        <v>1589</v>
      </c>
      <c r="G27" s="2383"/>
    </row>
    <row r="28" spans="1:10" ht="28.5" customHeight="1" x14ac:dyDescent="0.2">
      <c r="B28" s="1048"/>
      <c r="C28" s="2385" t="s">
        <v>2128</v>
      </c>
      <c r="D28" s="2385"/>
      <c r="E28" s="1055"/>
      <c r="F28" s="2385" t="s">
        <v>2129</v>
      </c>
      <c r="G28" s="2385"/>
    </row>
    <row r="29" spans="1:10" x14ac:dyDescent="0.2">
      <c r="B29" s="1048"/>
      <c r="C29" s="1056" t="s">
        <v>1642</v>
      </c>
      <c r="E29" s="1057"/>
      <c r="F29" s="2384" t="s">
        <v>1590</v>
      </c>
      <c r="G29" s="238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6" t="s">
        <v>134</v>
      </c>
      <c r="D33" s="2367"/>
      <c r="E33" s="2367"/>
      <c r="F33" s="2367"/>
      <c r="G33" s="2367"/>
      <c r="H33" s="2367"/>
      <c r="I33" s="2367"/>
    </row>
    <row r="34" spans="1:10" ht="10.35" customHeight="1" x14ac:dyDescent="0.2">
      <c r="C34" s="2367"/>
      <c r="D34" s="2367"/>
      <c r="E34" s="2367"/>
      <c r="F34" s="2367"/>
      <c r="G34" s="2367"/>
      <c r="H34" s="2367"/>
      <c r="I34" s="2367"/>
    </row>
    <row r="35" spans="1:10" ht="7.5" customHeight="1" x14ac:dyDescent="0.2">
      <c r="C35" s="1063"/>
    </row>
    <row r="36" spans="1:10" ht="13.5" customHeight="1" x14ac:dyDescent="0.2">
      <c r="B36" s="1062"/>
      <c r="C36" s="2368" t="s">
        <v>1943</v>
      </c>
      <c r="D36" s="2367"/>
      <c r="E36" s="2367"/>
      <c r="F36" s="2367"/>
      <c r="G36" s="2367"/>
      <c r="H36" s="2367"/>
      <c r="I36" s="2367"/>
      <c r="J36" s="1064"/>
    </row>
    <row r="37" spans="1:10" ht="22.5" customHeight="1" x14ac:dyDescent="0.2">
      <c r="C37" s="2367"/>
      <c r="D37" s="2367"/>
      <c r="E37" s="2367"/>
      <c r="F37" s="2367"/>
      <c r="G37" s="2367"/>
      <c r="H37" s="2367"/>
      <c r="I37" s="2367"/>
      <c r="J37" s="1064"/>
    </row>
    <row r="38" spans="1:10" ht="7.5" customHeight="1" x14ac:dyDescent="0.2">
      <c r="C38" s="1063"/>
      <c r="D38" s="1065"/>
      <c r="E38" s="1066"/>
      <c r="F38" s="1067"/>
      <c r="G38" s="1066"/>
    </row>
    <row r="39" spans="1:10" ht="13.5" customHeight="1" x14ac:dyDescent="0.2">
      <c r="B39" s="1062"/>
      <c r="C39" s="2364" t="s">
        <v>937</v>
      </c>
      <c r="D39" s="2365"/>
      <c r="E39" s="2365"/>
      <c r="F39" s="2365"/>
      <c r="G39" s="2365"/>
      <c r="H39" s="2365"/>
      <c r="I39" s="236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4" bottom="0.75" header="1" footer="0.5"/>
  <pageSetup scale="89" firstPageNumber="31" orientation="landscape" useFirstPageNumber="1" r:id="rId1"/>
  <headerFooter alignWithMargins="0">
    <oddHeader>&amp;L&amp;8Page 32&amp;C &amp;R&amp;8Page 32</oddHeader>
    <oddFooter>&amp;CReference should be made to the accountant's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2:B61"/>
  <sheetViews>
    <sheetView showGridLines="0" zoomScale="110" zoomScaleNormal="110" workbookViewId="0">
      <selection activeCell="A16" sqref="A16"/>
    </sheetView>
  </sheetViews>
  <sheetFormatPr defaultRowHeight="12.75" x14ac:dyDescent="0.2"/>
  <cols>
    <col min="1" max="1" width="3" customWidth="1"/>
    <col min="2" max="2" width="109.140625" customWidth="1"/>
    <col min="3" max="3" width="3.140625" customWidth="1"/>
  </cols>
  <sheetData>
    <row r="2" spans="1:2" x14ac:dyDescent="0.2">
      <c r="A2" s="1988" t="s">
        <v>276</v>
      </c>
    </row>
    <row r="3" spans="1:2" x14ac:dyDescent="0.2">
      <c r="A3" t="s">
        <v>277</v>
      </c>
    </row>
    <row r="5" spans="1:2" x14ac:dyDescent="0.2">
      <c r="A5" s="1989">
        <v>1</v>
      </c>
      <c r="B5" t="s">
        <v>2211</v>
      </c>
    </row>
    <row r="6" spans="1:2" x14ac:dyDescent="0.2">
      <c r="A6" s="1989"/>
    </row>
    <row r="7" spans="1:2" x14ac:dyDescent="0.2">
      <c r="A7" s="1990">
        <v>2</v>
      </c>
      <c r="B7" t="s">
        <v>2212</v>
      </c>
    </row>
    <row r="8" spans="1:2" x14ac:dyDescent="0.2">
      <c r="A8" s="1990"/>
    </row>
    <row r="9" spans="1:2" x14ac:dyDescent="0.2">
      <c r="A9" s="1990">
        <v>3</v>
      </c>
      <c r="B9" t="s">
        <v>2213</v>
      </c>
    </row>
    <row r="10" spans="1:2" x14ac:dyDescent="0.2">
      <c r="A10" s="1990"/>
    </row>
    <row r="11" spans="1:2" x14ac:dyDescent="0.2">
      <c r="A11" s="1990">
        <v>4</v>
      </c>
      <c r="B11" t="s">
        <v>2208</v>
      </c>
    </row>
    <row r="12" spans="1:2" x14ac:dyDescent="0.2">
      <c r="A12" s="1990"/>
    </row>
    <row r="13" spans="1:2" x14ac:dyDescent="0.2">
      <c r="A13" s="1990">
        <v>5</v>
      </c>
      <c r="B13" t="s">
        <v>2214</v>
      </c>
    </row>
    <row r="14" spans="1:2" x14ac:dyDescent="0.2">
      <c r="A14" s="1990"/>
    </row>
    <row r="15" spans="1:2" x14ac:dyDescent="0.2">
      <c r="A15" s="1990">
        <v>6</v>
      </c>
      <c r="B15" t="s">
        <v>2215</v>
      </c>
    </row>
    <row r="16" spans="1:2" x14ac:dyDescent="0.2">
      <c r="A16" s="1990"/>
    </row>
    <row r="17" spans="1:1" x14ac:dyDescent="0.2">
      <c r="A17" s="1990" t="s">
        <v>2209</v>
      </c>
    </row>
    <row r="18" spans="1:1" x14ac:dyDescent="0.2">
      <c r="A18" s="1990" t="s">
        <v>2210</v>
      </c>
    </row>
    <row r="19" spans="1:1" x14ac:dyDescent="0.2">
      <c r="A19" s="1990"/>
    </row>
    <row r="20" spans="1:1" x14ac:dyDescent="0.2">
      <c r="A20" s="1990"/>
    </row>
    <row r="21" spans="1:1" x14ac:dyDescent="0.2">
      <c r="A21" s="1990"/>
    </row>
    <row r="22" spans="1:1" x14ac:dyDescent="0.2">
      <c r="A22" s="1990"/>
    </row>
    <row r="23" spans="1:1" x14ac:dyDescent="0.2">
      <c r="A23" s="1990"/>
    </row>
    <row r="24" spans="1:1" x14ac:dyDescent="0.2">
      <c r="A24" s="1990"/>
    </row>
    <row r="25" spans="1:1" x14ac:dyDescent="0.2">
      <c r="A25" s="1990"/>
    </row>
    <row r="26" spans="1:1" x14ac:dyDescent="0.2">
      <c r="A26" s="1990"/>
    </row>
    <row r="27" spans="1:1" x14ac:dyDescent="0.2">
      <c r="A27" s="1990"/>
    </row>
    <row r="28" spans="1:1" x14ac:dyDescent="0.2">
      <c r="A28" s="1990"/>
    </row>
    <row r="29" spans="1:1" x14ac:dyDescent="0.2">
      <c r="A29" s="1990"/>
    </row>
    <row r="30" spans="1:1" x14ac:dyDescent="0.2">
      <c r="A30" s="1990"/>
    </row>
    <row r="31" spans="1:1" x14ac:dyDescent="0.2">
      <c r="A31" s="1990"/>
    </row>
    <row r="32" spans="1:1" x14ac:dyDescent="0.2">
      <c r="A32" s="1990"/>
    </row>
    <row r="33" spans="1:1" x14ac:dyDescent="0.2">
      <c r="A33" s="1990"/>
    </row>
    <row r="34" spans="1:1" x14ac:dyDescent="0.2">
      <c r="A34" s="1990"/>
    </row>
    <row r="35" spans="1:1" x14ac:dyDescent="0.2">
      <c r="A35" s="1990"/>
    </row>
    <row r="36" spans="1:1" x14ac:dyDescent="0.2">
      <c r="A36" s="1990"/>
    </row>
    <row r="37" spans="1:1" x14ac:dyDescent="0.2">
      <c r="A37" s="1990"/>
    </row>
    <row r="38" spans="1:1" x14ac:dyDescent="0.2">
      <c r="A38" s="1990"/>
    </row>
    <row r="39" spans="1:1" x14ac:dyDescent="0.2">
      <c r="A39" s="1990"/>
    </row>
    <row r="40" spans="1:1" x14ac:dyDescent="0.2">
      <c r="A40" s="1990"/>
    </row>
    <row r="41" spans="1:1" x14ac:dyDescent="0.2">
      <c r="A41" s="1990"/>
    </row>
    <row r="42" spans="1:1" x14ac:dyDescent="0.2">
      <c r="A42" s="1990"/>
    </row>
    <row r="43" spans="1:1" x14ac:dyDescent="0.2">
      <c r="A43" s="1990"/>
    </row>
    <row r="44" spans="1:1" x14ac:dyDescent="0.2">
      <c r="A44" s="1990"/>
    </row>
    <row r="45" spans="1:1" x14ac:dyDescent="0.2">
      <c r="A45" s="1990"/>
    </row>
    <row r="46" spans="1:1" x14ac:dyDescent="0.2">
      <c r="A46" s="1990"/>
    </row>
    <row r="47" spans="1:1" x14ac:dyDescent="0.2">
      <c r="A47" s="1990"/>
    </row>
    <row r="48" spans="1:1" x14ac:dyDescent="0.2">
      <c r="A48" s="1990"/>
    </row>
    <row r="49" spans="1:2" x14ac:dyDescent="0.2">
      <c r="A49" s="1990"/>
    </row>
    <row r="50" spans="1:2" x14ac:dyDescent="0.2">
      <c r="A50" s="1990"/>
    </row>
    <row r="51" spans="1:2" x14ac:dyDescent="0.2">
      <c r="A51" s="1990"/>
    </row>
    <row r="52" spans="1:2" x14ac:dyDescent="0.2">
      <c r="A52" s="1990"/>
    </row>
    <row r="53" spans="1:2" x14ac:dyDescent="0.2">
      <c r="A53" s="1990"/>
    </row>
    <row r="54" spans="1:2" x14ac:dyDescent="0.2">
      <c r="A54" s="1990"/>
    </row>
    <row r="55" spans="1:2" x14ac:dyDescent="0.2">
      <c r="A55" s="1990"/>
    </row>
    <row r="56" spans="1:2" x14ac:dyDescent="0.2">
      <c r="A56" s="1990"/>
    </row>
    <row r="57" spans="1:2" x14ac:dyDescent="0.2">
      <c r="A57" s="1990"/>
    </row>
    <row r="58" spans="1:2" x14ac:dyDescent="0.2">
      <c r="A58" s="1990"/>
    </row>
    <row r="59" spans="1:2" x14ac:dyDescent="0.2">
      <c r="A59" s="1990"/>
    </row>
    <row r="60" spans="1:2" x14ac:dyDescent="0.2">
      <c r="A60" s="1990"/>
      <c r="B60" s="1991" t="str">
        <f>[1]COVER!A17</f>
        <v>South Fork Community Unit School District No. 14</v>
      </c>
    </row>
    <row r="61" spans="1:2" x14ac:dyDescent="0.2">
      <c r="B61" s="1992" t="str">
        <f>[1]COVER!A13</f>
        <v>03-011-0140-24</v>
      </c>
    </row>
  </sheetData>
  <printOptions horizontalCentered="1"/>
  <pageMargins left="1" right="0.75" top="1.25" bottom="0.5" header="1" footer="0.25"/>
  <pageSetup scale="78" firstPageNumber="32" orientation="portrait" useFirstPageNumber="1" r:id="rId1"/>
  <headerFooter alignWithMargins="0">
    <oddHeader>&amp;L&amp;8Page 33&amp;C &amp;R&amp;8Page 33</oddHeader>
    <oddFooter>&amp;CReference should be made to accountant's report regarding this information.
49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5" t="s">
        <v>1125</v>
      </c>
      <c r="B35" s="2105"/>
      <c r="C35" s="2105"/>
      <c r="D35" s="2105"/>
      <c r="E35" s="210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2" t="s">
        <v>715</v>
      </c>
      <c r="B40" s="2102"/>
      <c r="C40" s="2102"/>
      <c r="D40" s="2102"/>
      <c r="E40" s="2102"/>
    </row>
    <row r="41" spans="1:5" x14ac:dyDescent="0.2">
      <c r="A41" s="2103" t="s">
        <v>1706</v>
      </c>
      <c r="B41" s="2103"/>
      <c r="C41" s="2103"/>
      <c r="D41" s="2103"/>
      <c r="E41" s="2103"/>
    </row>
    <row r="42" spans="1:5" ht="12.75" customHeight="1" x14ac:dyDescent="0.2">
      <c r="A42" s="2104" t="s">
        <v>1080</v>
      </c>
      <c r="B42" s="2104"/>
      <c r="C42" s="2104"/>
      <c r="D42" s="2104"/>
      <c r="E42" s="2104"/>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4" t="s">
        <v>1879</v>
      </c>
    </row>
    <row r="60" spans="1:3" x14ac:dyDescent="0.2">
      <c r="A60" s="196"/>
      <c r="B60" s="150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1" right="0.75" top="1.25" bottom="0.75" header="1" footer="0.25"/>
  <pageSetup scale="72" firstPageNumber="33" orientation="portrait" useFirstPageNumber="1" r:id="rId1"/>
  <headerFooter alignWithMargins="0">
    <oddHeader>&amp;L&amp;8Page 34&amp;R&amp;8Page 34</oddHeader>
    <oddFooter>&amp;CReference should be made to the accountant's report regarding this information.
50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6"/>
  <sheetViews>
    <sheetView topLeftCell="A73" zoomScaleNormal="100" workbookViewId="0">
      <selection activeCell="C68" sqref="C68"/>
    </sheetView>
  </sheetViews>
  <sheetFormatPr defaultColWidth="9.140625" defaultRowHeight="12.75" x14ac:dyDescent="0.2"/>
  <cols>
    <col min="1" max="1" width="78.42578125" style="1966" customWidth="1"/>
    <col min="2" max="2" width="7.42578125" style="1966" customWidth="1"/>
    <col min="3" max="3" width="15.28515625" style="1985" customWidth="1"/>
    <col min="4" max="244" width="9.140625" style="1966"/>
    <col min="245" max="245" width="78.42578125" style="1966" customWidth="1"/>
    <col min="246" max="246" width="7.42578125" style="1966" customWidth="1"/>
    <col min="247" max="247" width="15.28515625" style="1966" customWidth="1"/>
    <col min="248" max="500" width="9.140625" style="1966"/>
    <col min="501" max="501" width="78.42578125" style="1966" customWidth="1"/>
    <col min="502" max="502" width="7.42578125" style="1966" customWidth="1"/>
    <col min="503" max="503" width="15.28515625" style="1966" customWidth="1"/>
    <col min="504" max="756" width="9.140625" style="1966"/>
    <col min="757" max="757" width="78.42578125" style="1966" customWidth="1"/>
    <col min="758" max="758" width="7.42578125" style="1966" customWidth="1"/>
    <col min="759" max="759" width="15.28515625" style="1966" customWidth="1"/>
    <col min="760" max="1012" width="9.140625" style="1966"/>
    <col min="1013" max="1013" width="78.42578125" style="1966" customWidth="1"/>
    <col min="1014" max="1014" width="7.42578125" style="1966" customWidth="1"/>
    <col min="1015" max="1015" width="15.28515625" style="1966" customWidth="1"/>
    <col min="1016" max="1268" width="9.140625" style="1966"/>
    <col min="1269" max="1269" width="78.42578125" style="1966" customWidth="1"/>
    <col min="1270" max="1270" width="7.42578125" style="1966" customWidth="1"/>
    <col min="1271" max="1271" width="15.28515625" style="1966" customWidth="1"/>
    <col min="1272" max="1524" width="9.140625" style="1966"/>
    <col min="1525" max="1525" width="78.42578125" style="1966" customWidth="1"/>
    <col min="1526" max="1526" width="7.42578125" style="1966" customWidth="1"/>
    <col min="1527" max="1527" width="15.28515625" style="1966" customWidth="1"/>
    <col min="1528" max="1780" width="9.140625" style="1966"/>
    <col min="1781" max="1781" width="78.42578125" style="1966" customWidth="1"/>
    <col min="1782" max="1782" width="7.42578125" style="1966" customWidth="1"/>
    <col min="1783" max="1783" width="15.28515625" style="1966" customWidth="1"/>
    <col min="1784" max="2036" width="9.140625" style="1966"/>
    <col min="2037" max="2037" width="78.42578125" style="1966" customWidth="1"/>
    <col min="2038" max="2038" width="7.42578125" style="1966" customWidth="1"/>
    <col min="2039" max="2039" width="15.28515625" style="1966" customWidth="1"/>
    <col min="2040" max="2292" width="9.140625" style="1966"/>
    <col min="2293" max="2293" width="78.42578125" style="1966" customWidth="1"/>
    <col min="2294" max="2294" width="7.42578125" style="1966" customWidth="1"/>
    <col min="2295" max="2295" width="15.28515625" style="1966" customWidth="1"/>
    <col min="2296" max="2548" width="9.140625" style="1966"/>
    <col min="2549" max="2549" width="78.42578125" style="1966" customWidth="1"/>
    <col min="2550" max="2550" width="7.42578125" style="1966" customWidth="1"/>
    <col min="2551" max="2551" width="15.28515625" style="1966" customWidth="1"/>
    <col min="2552" max="2804" width="9.140625" style="1966"/>
    <col min="2805" max="2805" width="78.42578125" style="1966" customWidth="1"/>
    <col min="2806" max="2806" width="7.42578125" style="1966" customWidth="1"/>
    <col min="2807" max="2807" width="15.28515625" style="1966" customWidth="1"/>
    <col min="2808" max="3060" width="9.140625" style="1966"/>
    <col min="3061" max="3061" width="78.42578125" style="1966" customWidth="1"/>
    <col min="3062" max="3062" width="7.42578125" style="1966" customWidth="1"/>
    <col min="3063" max="3063" width="15.28515625" style="1966" customWidth="1"/>
    <col min="3064" max="3316" width="9.140625" style="1966"/>
    <col min="3317" max="3317" width="78.42578125" style="1966" customWidth="1"/>
    <col min="3318" max="3318" width="7.42578125" style="1966" customWidth="1"/>
    <col min="3319" max="3319" width="15.28515625" style="1966" customWidth="1"/>
    <col min="3320" max="3572" width="9.140625" style="1966"/>
    <col min="3573" max="3573" width="78.42578125" style="1966" customWidth="1"/>
    <col min="3574" max="3574" width="7.42578125" style="1966" customWidth="1"/>
    <col min="3575" max="3575" width="15.28515625" style="1966" customWidth="1"/>
    <col min="3576" max="3828" width="9.140625" style="1966"/>
    <col min="3829" max="3829" width="78.42578125" style="1966" customWidth="1"/>
    <col min="3830" max="3830" width="7.42578125" style="1966" customWidth="1"/>
    <col min="3831" max="3831" width="15.28515625" style="1966" customWidth="1"/>
    <col min="3832" max="4084" width="9.140625" style="1966"/>
    <col min="4085" max="4085" width="78.42578125" style="1966" customWidth="1"/>
    <col min="4086" max="4086" width="7.42578125" style="1966" customWidth="1"/>
    <col min="4087" max="4087" width="15.28515625" style="1966" customWidth="1"/>
    <col min="4088" max="4340" width="9.140625" style="1966"/>
    <col min="4341" max="4341" width="78.42578125" style="1966" customWidth="1"/>
    <col min="4342" max="4342" width="7.42578125" style="1966" customWidth="1"/>
    <col min="4343" max="4343" width="15.28515625" style="1966" customWidth="1"/>
    <col min="4344" max="4596" width="9.140625" style="1966"/>
    <col min="4597" max="4597" width="78.42578125" style="1966" customWidth="1"/>
    <col min="4598" max="4598" width="7.42578125" style="1966" customWidth="1"/>
    <col min="4599" max="4599" width="15.28515625" style="1966" customWidth="1"/>
    <col min="4600" max="4852" width="9.140625" style="1966"/>
    <col min="4853" max="4853" width="78.42578125" style="1966" customWidth="1"/>
    <col min="4854" max="4854" width="7.42578125" style="1966" customWidth="1"/>
    <col min="4855" max="4855" width="15.28515625" style="1966" customWidth="1"/>
    <col min="4856" max="5108" width="9.140625" style="1966"/>
    <col min="5109" max="5109" width="78.42578125" style="1966" customWidth="1"/>
    <col min="5110" max="5110" width="7.42578125" style="1966" customWidth="1"/>
    <col min="5111" max="5111" width="15.28515625" style="1966" customWidth="1"/>
    <col min="5112" max="5364" width="9.140625" style="1966"/>
    <col min="5365" max="5365" width="78.42578125" style="1966" customWidth="1"/>
    <col min="5366" max="5366" width="7.42578125" style="1966" customWidth="1"/>
    <col min="5367" max="5367" width="15.28515625" style="1966" customWidth="1"/>
    <col min="5368" max="5620" width="9.140625" style="1966"/>
    <col min="5621" max="5621" width="78.42578125" style="1966" customWidth="1"/>
    <col min="5622" max="5622" width="7.42578125" style="1966" customWidth="1"/>
    <col min="5623" max="5623" width="15.28515625" style="1966" customWidth="1"/>
    <col min="5624" max="5876" width="9.140625" style="1966"/>
    <col min="5877" max="5877" width="78.42578125" style="1966" customWidth="1"/>
    <col min="5878" max="5878" width="7.42578125" style="1966" customWidth="1"/>
    <col min="5879" max="5879" width="15.28515625" style="1966" customWidth="1"/>
    <col min="5880" max="6132" width="9.140625" style="1966"/>
    <col min="6133" max="6133" width="78.42578125" style="1966" customWidth="1"/>
    <col min="6134" max="6134" width="7.42578125" style="1966" customWidth="1"/>
    <col min="6135" max="6135" width="15.28515625" style="1966" customWidth="1"/>
    <col min="6136" max="6388" width="9.140625" style="1966"/>
    <col min="6389" max="6389" width="78.42578125" style="1966" customWidth="1"/>
    <col min="6390" max="6390" width="7.42578125" style="1966" customWidth="1"/>
    <col min="6391" max="6391" width="15.28515625" style="1966" customWidth="1"/>
    <col min="6392" max="6644" width="9.140625" style="1966"/>
    <col min="6645" max="6645" width="78.42578125" style="1966" customWidth="1"/>
    <col min="6646" max="6646" width="7.42578125" style="1966" customWidth="1"/>
    <col min="6647" max="6647" width="15.28515625" style="1966" customWidth="1"/>
    <col min="6648" max="6900" width="9.140625" style="1966"/>
    <col min="6901" max="6901" width="78.42578125" style="1966" customWidth="1"/>
    <col min="6902" max="6902" width="7.42578125" style="1966" customWidth="1"/>
    <col min="6903" max="6903" width="15.28515625" style="1966" customWidth="1"/>
    <col min="6904" max="7156" width="9.140625" style="1966"/>
    <col min="7157" max="7157" width="78.42578125" style="1966" customWidth="1"/>
    <col min="7158" max="7158" width="7.42578125" style="1966" customWidth="1"/>
    <col min="7159" max="7159" width="15.28515625" style="1966" customWidth="1"/>
    <col min="7160" max="7412" width="9.140625" style="1966"/>
    <col min="7413" max="7413" width="78.42578125" style="1966" customWidth="1"/>
    <col min="7414" max="7414" width="7.42578125" style="1966" customWidth="1"/>
    <col min="7415" max="7415" width="15.28515625" style="1966" customWidth="1"/>
    <col min="7416" max="7668" width="9.140625" style="1966"/>
    <col min="7669" max="7669" width="78.42578125" style="1966" customWidth="1"/>
    <col min="7670" max="7670" width="7.42578125" style="1966" customWidth="1"/>
    <col min="7671" max="7671" width="15.28515625" style="1966" customWidth="1"/>
    <col min="7672" max="7924" width="9.140625" style="1966"/>
    <col min="7925" max="7925" width="78.42578125" style="1966" customWidth="1"/>
    <col min="7926" max="7926" width="7.42578125" style="1966" customWidth="1"/>
    <col min="7927" max="7927" width="15.28515625" style="1966" customWidth="1"/>
    <col min="7928" max="8180" width="9.140625" style="1966"/>
    <col min="8181" max="8181" width="78.42578125" style="1966" customWidth="1"/>
    <col min="8182" max="8182" width="7.42578125" style="1966" customWidth="1"/>
    <col min="8183" max="8183" width="15.28515625" style="1966" customWidth="1"/>
    <col min="8184" max="8436" width="9.140625" style="1966"/>
    <col min="8437" max="8437" width="78.42578125" style="1966" customWidth="1"/>
    <col min="8438" max="8438" width="7.42578125" style="1966" customWidth="1"/>
    <col min="8439" max="8439" width="15.28515625" style="1966" customWidth="1"/>
    <col min="8440" max="8692" width="9.140625" style="1966"/>
    <col min="8693" max="8693" width="78.42578125" style="1966" customWidth="1"/>
    <col min="8694" max="8694" width="7.42578125" style="1966" customWidth="1"/>
    <col min="8695" max="8695" width="15.28515625" style="1966" customWidth="1"/>
    <col min="8696" max="8948" width="9.140625" style="1966"/>
    <col min="8949" max="8949" width="78.42578125" style="1966" customWidth="1"/>
    <col min="8950" max="8950" width="7.42578125" style="1966" customWidth="1"/>
    <col min="8951" max="8951" width="15.28515625" style="1966" customWidth="1"/>
    <col min="8952" max="9204" width="9.140625" style="1966"/>
    <col min="9205" max="9205" width="78.42578125" style="1966" customWidth="1"/>
    <col min="9206" max="9206" width="7.42578125" style="1966" customWidth="1"/>
    <col min="9207" max="9207" width="15.28515625" style="1966" customWidth="1"/>
    <col min="9208" max="9460" width="9.140625" style="1966"/>
    <col min="9461" max="9461" width="78.42578125" style="1966" customWidth="1"/>
    <col min="9462" max="9462" width="7.42578125" style="1966" customWidth="1"/>
    <col min="9463" max="9463" width="15.28515625" style="1966" customWidth="1"/>
    <col min="9464" max="9716" width="9.140625" style="1966"/>
    <col min="9717" max="9717" width="78.42578125" style="1966" customWidth="1"/>
    <col min="9718" max="9718" width="7.42578125" style="1966" customWidth="1"/>
    <col min="9719" max="9719" width="15.28515625" style="1966" customWidth="1"/>
    <col min="9720" max="9972" width="9.140625" style="1966"/>
    <col min="9973" max="9973" width="78.42578125" style="1966" customWidth="1"/>
    <col min="9974" max="9974" width="7.42578125" style="1966" customWidth="1"/>
    <col min="9975" max="9975" width="15.28515625" style="1966" customWidth="1"/>
    <col min="9976" max="10228" width="9.140625" style="1966"/>
    <col min="10229" max="10229" width="78.42578125" style="1966" customWidth="1"/>
    <col min="10230" max="10230" width="7.42578125" style="1966" customWidth="1"/>
    <col min="10231" max="10231" width="15.28515625" style="1966" customWidth="1"/>
    <col min="10232" max="10484" width="9.140625" style="1966"/>
    <col min="10485" max="10485" width="78.42578125" style="1966" customWidth="1"/>
    <col min="10486" max="10486" width="7.42578125" style="1966" customWidth="1"/>
    <col min="10487" max="10487" width="15.28515625" style="1966" customWidth="1"/>
    <col min="10488" max="10740" width="9.140625" style="1966"/>
    <col min="10741" max="10741" width="78.42578125" style="1966" customWidth="1"/>
    <col min="10742" max="10742" width="7.42578125" style="1966" customWidth="1"/>
    <col min="10743" max="10743" width="15.28515625" style="1966" customWidth="1"/>
    <col min="10744" max="10996" width="9.140625" style="1966"/>
    <col min="10997" max="10997" width="78.42578125" style="1966" customWidth="1"/>
    <col min="10998" max="10998" width="7.42578125" style="1966" customWidth="1"/>
    <col min="10999" max="10999" width="15.28515625" style="1966" customWidth="1"/>
    <col min="11000" max="11252" width="9.140625" style="1966"/>
    <col min="11253" max="11253" width="78.42578125" style="1966" customWidth="1"/>
    <col min="11254" max="11254" width="7.42578125" style="1966" customWidth="1"/>
    <col min="11255" max="11255" width="15.28515625" style="1966" customWidth="1"/>
    <col min="11256" max="11508" width="9.140625" style="1966"/>
    <col min="11509" max="11509" width="78.42578125" style="1966" customWidth="1"/>
    <col min="11510" max="11510" width="7.42578125" style="1966" customWidth="1"/>
    <col min="11511" max="11511" width="15.28515625" style="1966" customWidth="1"/>
    <col min="11512" max="11764" width="9.140625" style="1966"/>
    <col min="11765" max="11765" width="78.42578125" style="1966" customWidth="1"/>
    <col min="11766" max="11766" width="7.42578125" style="1966" customWidth="1"/>
    <col min="11767" max="11767" width="15.28515625" style="1966" customWidth="1"/>
    <col min="11768" max="12020" width="9.140625" style="1966"/>
    <col min="12021" max="12021" width="78.42578125" style="1966" customWidth="1"/>
    <col min="12022" max="12022" width="7.42578125" style="1966" customWidth="1"/>
    <col min="12023" max="12023" width="15.28515625" style="1966" customWidth="1"/>
    <col min="12024" max="12276" width="9.140625" style="1966"/>
    <col min="12277" max="12277" width="78.42578125" style="1966" customWidth="1"/>
    <col min="12278" max="12278" width="7.42578125" style="1966" customWidth="1"/>
    <col min="12279" max="12279" width="15.28515625" style="1966" customWidth="1"/>
    <col min="12280" max="12532" width="9.140625" style="1966"/>
    <col min="12533" max="12533" width="78.42578125" style="1966" customWidth="1"/>
    <col min="12534" max="12534" width="7.42578125" style="1966" customWidth="1"/>
    <col min="12535" max="12535" width="15.28515625" style="1966" customWidth="1"/>
    <col min="12536" max="12788" width="9.140625" style="1966"/>
    <col min="12789" max="12789" width="78.42578125" style="1966" customWidth="1"/>
    <col min="12790" max="12790" width="7.42578125" style="1966" customWidth="1"/>
    <col min="12791" max="12791" width="15.28515625" style="1966" customWidth="1"/>
    <col min="12792" max="13044" width="9.140625" style="1966"/>
    <col min="13045" max="13045" width="78.42578125" style="1966" customWidth="1"/>
    <col min="13046" max="13046" width="7.42578125" style="1966" customWidth="1"/>
    <col min="13047" max="13047" width="15.28515625" style="1966" customWidth="1"/>
    <col min="13048" max="13300" width="9.140625" style="1966"/>
    <col min="13301" max="13301" width="78.42578125" style="1966" customWidth="1"/>
    <col min="13302" max="13302" width="7.42578125" style="1966" customWidth="1"/>
    <col min="13303" max="13303" width="15.28515625" style="1966" customWidth="1"/>
    <col min="13304" max="13556" width="9.140625" style="1966"/>
    <col min="13557" max="13557" width="78.42578125" style="1966" customWidth="1"/>
    <col min="13558" max="13558" width="7.42578125" style="1966" customWidth="1"/>
    <col min="13559" max="13559" width="15.28515625" style="1966" customWidth="1"/>
    <col min="13560" max="13812" width="9.140625" style="1966"/>
    <col min="13813" max="13813" width="78.42578125" style="1966" customWidth="1"/>
    <col min="13814" max="13814" width="7.42578125" style="1966" customWidth="1"/>
    <col min="13815" max="13815" width="15.28515625" style="1966" customWidth="1"/>
    <col min="13816" max="14068" width="9.140625" style="1966"/>
    <col min="14069" max="14069" width="78.42578125" style="1966" customWidth="1"/>
    <col min="14070" max="14070" width="7.42578125" style="1966" customWidth="1"/>
    <col min="14071" max="14071" width="15.28515625" style="1966" customWidth="1"/>
    <col min="14072" max="14324" width="9.140625" style="1966"/>
    <col min="14325" max="14325" width="78.42578125" style="1966" customWidth="1"/>
    <col min="14326" max="14326" width="7.42578125" style="1966" customWidth="1"/>
    <col min="14327" max="14327" width="15.28515625" style="1966" customWidth="1"/>
    <col min="14328" max="14580" width="9.140625" style="1966"/>
    <col min="14581" max="14581" width="78.42578125" style="1966" customWidth="1"/>
    <col min="14582" max="14582" width="7.42578125" style="1966" customWidth="1"/>
    <col min="14583" max="14583" width="15.28515625" style="1966" customWidth="1"/>
    <col min="14584" max="14836" width="9.140625" style="1966"/>
    <col min="14837" max="14837" width="78.42578125" style="1966" customWidth="1"/>
    <col min="14838" max="14838" width="7.42578125" style="1966" customWidth="1"/>
    <col min="14839" max="14839" width="15.28515625" style="1966" customWidth="1"/>
    <col min="14840" max="15092" width="9.140625" style="1966"/>
    <col min="15093" max="15093" width="78.42578125" style="1966" customWidth="1"/>
    <col min="15094" max="15094" width="7.42578125" style="1966" customWidth="1"/>
    <col min="15095" max="15095" width="15.28515625" style="1966" customWidth="1"/>
    <col min="15096" max="15348" width="9.140625" style="1966"/>
    <col min="15349" max="15349" width="78.42578125" style="1966" customWidth="1"/>
    <col min="15350" max="15350" width="7.42578125" style="1966" customWidth="1"/>
    <col min="15351" max="15351" width="15.28515625" style="1966" customWidth="1"/>
    <col min="15352" max="15604" width="9.140625" style="1966"/>
    <col min="15605" max="15605" width="78.42578125" style="1966" customWidth="1"/>
    <col min="15606" max="15606" width="7.42578125" style="1966" customWidth="1"/>
    <col min="15607" max="15607" width="15.28515625" style="1966" customWidth="1"/>
    <col min="15608" max="15860" width="9.140625" style="1966"/>
    <col min="15861" max="15861" width="78.42578125" style="1966" customWidth="1"/>
    <col min="15862" max="15862" width="7.42578125" style="1966" customWidth="1"/>
    <col min="15863" max="15863" width="15.28515625" style="1966" customWidth="1"/>
    <col min="15864" max="16116" width="9.140625" style="1966"/>
    <col min="16117" max="16117" width="78.42578125" style="1966" customWidth="1"/>
    <col min="16118" max="16118" width="7.42578125" style="1966" customWidth="1"/>
    <col min="16119" max="16119" width="15.28515625" style="1966" customWidth="1"/>
    <col min="16120" max="16384" width="9.140625" style="1966"/>
  </cols>
  <sheetData>
    <row r="1" spans="1:3" ht="15.75" x14ac:dyDescent="0.25">
      <c r="A1" s="2389" t="s">
        <v>2077</v>
      </c>
      <c r="B1" s="2389"/>
      <c r="C1" s="2389"/>
    </row>
    <row r="2" spans="1:3" ht="15.75" x14ac:dyDescent="0.25">
      <c r="A2" s="2389" t="s">
        <v>1126</v>
      </c>
      <c r="B2" s="2389"/>
      <c r="C2" s="2389"/>
    </row>
    <row r="3" spans="1:3" ht="15.75" x14ac:dyDescent="0.25">
      <c r="A3" s="2388" t="s">
        <v>2185</v>
      </c>
      <c r="B3" s="2388"/>
      <c r="C3" s="2388"/>
    </row>
    <row r="4" spans="1:3" ht="15.75" x14ac:dyDescent="0.25">
      <c r="A4" s="1967"/>
      <c r="B4" s="1967"/>
      <c r="C4" s="1967"/>
    </row>
    <row r="5" spans="1:3" ht="15.75" x14ac:dyDescent="0.25">
      <c r="A5" s="1968"/>
      <c r="B5" s="1968"/>
      <c r="C5" s="1968"/>
    </row>
    <row r="6" spans="1:3" ht="15.75" x14ac:dyDescent="0.25">
      <c r="A6" s="1968"/>
      <c r="B6" s="1968"/>
      <c r="C6" s="1968"/>
    </row>
    <row r="7" spans="1:3" ht="16.5" x14ac:dyDescent="0.25">
      <c r="A7" s="1969"/>
      <c r="B7" s="1969"/>
      <c r="C7" s="1970" t="s">
        <v>2141</v>
      </c>
    </row>
    <row r="8" spans="1:3" ht="16.5" x14ac:dyDescent="0.25">
      <c r="A8" s="1969"/>
      <c r="B8" s="1969"/>
      <c r="C8" s="1970"/>
    </row>
    <row r="9" spans="1:3" ht="16.5" x14ac:dyDescent="0.25">
      <c r="A9" s="1971" t="s">
        <v>2142</v>
      </c>
      <c r="B9" s="1972"/>
      <c r="C9" s="1973" t="s">
        <v>2143</v>
      </c>
    </row>
    <row r="10" spans="1:3" ht="16.5" x14ac:dyDescent="0.25">
      <c r="A10" s="1971"/>
      <c r="B10" s="1972"/>
      <c r="C10" s="1973"/>
    </row>
    <row r="11" spans="1:3" ht="16.5" x14ac:dyDescent="0.25">
      <c r="A11" s="1971" t="s">
        <v>2144</v>
      </c>
      <c r="B11" s="1974"/>
      <c r="C11" s="1973"/>
    </row>
    <row r="12" spans="1:3" ht="16.5" x14ac:dyDescent="0.25">
      <c r="A12" s="1971" t="s">
        <v>2145</v>
      </c>
      <c r="B12" s="1974"/>
      <c r="C12" s="1973"/>
    </row>
    <row r="13" spans="1:3" ht="16.5" x14ac:dyDescent="0.25">
      <c r="A13" s="1971" t="s">
        <v>2146</v>
      </c>
      <c r="B13" s="1974"/>
      <c r="C13" s="1973" t="s">
        <v>2147</v>
      </c>
    </row>
    <row r="14" spans="1:3" ht="16.5" x14ac:dyDescent="0.25">
      <c r="A14" s="1971"/>
      <c r="B14" s="1974"/>
      <c r="C14" s="1973"/>
    </row>
    <row r="15" spans="1:3" ht="16.5" x14ac:dyDescent="0.25">
      <c r="A15" s="1975" t="s">
        <v>2148</v>
      </c>
      <c r="B15" s="1974"/>
      <c r="C15" s="1973"/>
    </row>
    <row r="16" spans="1:3" ht="16.5" x14ac:dyDescent="0.25">
      <c r="A16" s="1971"/>
      <c r="B16" s="1974"/>
      <c r="C16" s="1973"/>
    </row>
    <row r="17" spans="1:3" ht="16.5" x14ac:dyDescent="0.25">
      <c r="A17" s="1971" t="s">
        <v>2149</v>
      </c>
      <c r="B17" s="1974"/>
      <c r="C17" s="1973"/>
    </row>
    <row r="18" spans="1:3" ht="16.5" x14ac:dyDescent="0.25">
      <c r="A18" s="1971" t="s">
        <v>2150</v>
      </c>
      <c r="B18" s="1974"/>
      <c r="C18" s="1973" t="s">
        <v>2151</v>
      </c>
    </row>
    <row r="19" spans="1:3" ht="16.5" x14ac:dyDescent="0.25">
      <c r="A19" s="1971"/>
      <c r="B19" s="1974"/>
      <c r="C19" s="1973"/>
    </row>
    <row r="20" spans="1:3" ht="16.5" x14ac:dyDescent="0.25">
      <c r="A20" s="1971" t="s">
        <v>2152</v>
      </c>
      <c r="B20" s="1974"/>
      <c r="C20" s="1973"/>
    </row>
    <row r="21" spans="1:3" ht="16.5" x14ac:dyDescent="0.25">
      <c r="A21" s="1971" t="s">
        <v>2153</v>
      </c>
      <c r="B21" s="1974"/>
      <c r="C21" s="1973" t="s">
        <v>2154</v>
      </c>
    </row>
    <row r="22" spans="1:3" ht="16.5" x14ac:dyDescent="0.25">
      <c r="A22" s="1971"/>
      <c r="B22" s="1974"/>
      <c r="C22" s="1973"/>
    </row>
    <row r="23" spans="1:3" ht="16.5" x14ac:dyDescent="0.25">
      <c r="A23" s="1971" t="s">
        <v>2155</v>
      </c>
      <c r="B23" s="1974"/>
      <c r="C23" s="1973" t="s">
        <v>2156</v>
      </c>
    </row>
    <row r="24" spans="1:3" ht="16.5" x14ac:dyDescent="0.25">
      <c r="A24" s="1971"/>
      <c r="B24" s="1974"/>
      <c r="C24" s="1973"/>
    </row>
    <row r="25" spans="1:3" ht="16.5" x14ac:dyDescent="0.25">
      <c r="A25" s="1971" t="s">
        <v>2157</v>
      </c>
      <c r="B25" s="1974"/>
      <c r="C25" s="1973" t="s">
        <v>2158</v>
      </c>
    </row>
    <row r="26" spans="1:3" ht="16.5" x14ac:dyDescent="0.25">
      <c r="A26" s="1971"/>
      <c r="B26" s="1976"/>
      <c r="C26" s="1973"/>
    </row>
    <row r="27" spans="1:3" ht="16.5" x14ac:dyDescent="0.25">
      <c r="A27" s="1971" t="s">
        <v>2159</v>
      </c>
      <c r="B27" s="1976"/>
      <c r="C27" s="1987" t="s">
        <v>2207</v>
      </c>
    </row>
    <row r="28" spans="1:3" ht="16.5" x14ac:dyDescent="0.25">
      <c r="A28" s="1971"/>
      <c r="B28" s="1976"/>
      <c r="C28" s="1973"/>
    </row>
    <row r="29" spans="1:3" ht="16.5" x14ac:dyDescent="0.25">
      <c r="A29" s="1975" t="s">
        <v>2162</v>
      </c>
      <c r="B29" s="1976"/>
      <c r="C29" s="1973"/>
    </row>
    <row r="30" spans="1:3" ht="16.5" x14ac:dyDescent="0.25">
      <c r="A30" s="1971"/>
      <c r="B30" s="1976"/>
      <c r="C30" s="1973"/>
    </row>
    <row r="31" spans="1:3" ht="16.5" x14ac:dyDescent="0.25">
      <c r="A31" s="1971" t="s">
        <v>2163</v>
      </c>
      <c r="B31" s="1976"/>
      <c r="C31" s="1973" t="s">
        <v>2187</v>
      </c>
    </row>
    <row r="32" spans="1:3" ht="16.5" x14ac:dyDescent="0.25">
      <c r="A32" s="1971"/>
      <c r="B32" s="1976"/>
      <c r="C32" s="1973"/>
    </row>
    <row r="33" spans="1:3" ht="16.5" x14ac:dyDescent="0.25">
      <c r="A33" s="1971" t="s">
        <v>2164</v>
      </c>
      <c r="B33" s="1976"/>
      <c r="C33" s="1973" t="s">
        <v>2188</v>
      </c>
    </row>
    <row r="34" spans="1:3" ht="16.5" x14ac:dyDescent="0.25">
      <c r="A34" s="1971"/>
      <c r="B34" s="1976"/>
      <c r="C34" s="1973"/>
    </row>
    <row r="35" spans="1:3" ht="16.5" x14ac:dyDescent="0.25">
      <c r="A35" s="1971" t="s">
        <v>2165</v>
      </c>
      <c r="B35" s="1976"/>
      <c r="C35" s="1973" t="s">
        <v>2189</v>
      </c>
    </row>
    <row r="36" spans="1:3" ht="16.5" x14ac:dyDescent="0.25">
      <c r="A36" s="1971"/>
      <c r="B36" s="1976"/>
      <c r="C36" s="1973"/>
    </row>
    <row r="37" spans="1:3" ht="16.5" x14ac:dyDescent="0.25">
      <c r="A37" s="1971" t="s">
        <v>2166</v>
      </c>
      <c r="B37" s="1977"/>
      <c r="C37" s="1973" t="s">
        <v>2190</v>
      </c>
    </row>
    <row r="38" spans="1:3" ht="16.5" x14ac:dyDescent="0.25">
      <c r="A38" s="1971"/>
      <c r="B38" s="1977"/>
      <c r="C38" s="1973"/>
    </row>
    <row r="39" spans="1:3" ht="16.5" x14ac:dyDescent="0.25">
      <c r="A39" s="1975" t="s">
        <v>2169</v>
      </c>
      <c r="B39" s="1976"/>
      <c r="C39" s="1978"/>
    </row>
    <row r="40" spans="1:3" ht="16.5" x14ac:dyDescent="0.25">
      <c r="A40" s="1971"/>
      <c r="B40" s="1976"/>
      <c r="C40" s="1978"/>
    </row>
    <row r="41" spans="1:3" ht="16.5" x14ac:dyDescent="0.25">
      <c r="A41" s="1971" t="s">
        <v>2170</v>
      </c>
      <c r="B41" s="1976"/>
      <c r="C41" s="1979" t="s">
        <v>2191</v>
      </c>
    </row>
    <row r="42" spans="1:3" ht="16.5" x14ac:dyDescent="0.25">
      <c r="A42" s="1971"/>
      <c r="B42" s="1976"/>
      <c r="C42" s="1978"/>
    </row>
    <row r="43" spans="1:3" ht="16.5" x14ac:dyDescent="0.25">
      <c r="A43" s="1971" t="s">
        <v>2171</v>
      </c>
      <c r="B43" s="1976"/>
      <c r="C43" s="1978"/>
    </row>
    <row r="44" spans="1:3" ht="16.5" x14ac:dyDescent="0.25">
      <c r="A44" s="1971" t="s">
        <v>2186</v>
      </c>
      <c r="B44" s="1976"/>
      <c r="C44" s="1979" t="s">
        <v>2192</v>
      </c>
    </row>
    <row r="45" spans="1:3" ht="16.5" x14ac:dyDescent="0.25">
      <c r="A45" s="1971"/>
      <c r="B45" s="1977"/>
      <c r="C45" s="1973"/>
    </row>
    <row r="46" spans="1:3" ht="16.5" x14ac:dyDescent="0.25">
      <c r="A46" s="1971"/>
      <c r="B46" s="1977"/>
      <c r="C46" s="1973"/>
    </row>
    <row r="47" spans="1:3" ht="16.5" x14ac:dyDescent="0.25">
      <c r="A47" s="1971"/>
      <c r="B47" s="1977"/>
      <c r="C47" s="1973"/>
    </row>
    <row r="48" spans="1:3" ht="16.5" x14ac:dyDescent="0.25">
      <c r="A48" s="1971"/>
      <c r="B48" s="1977"/>
      <c r="C48" s="1973"/>
    </row>
    <row r="49" spans="1:3" ht="16.5" x14ac:dyDescent="0.25">
      <c r="A49" s="1971"/>
      <c r="B49" s="1977"/>
      <c r="C49" s="1973"/>
    </row>
    <row r="50" spans="1:3" ht="16.5" x14ac:dyDescent="0.25">
      <c r="A50" s="1971"/>
      <c r="B50" s="1977"/>
      <c r="C50" s="1973"/>
    </row>
    <row r="51" spans="1:3" ht="16.5" x14ac:dyDescent="0.25">
      <c r="A51" s="1971"/>
      <c r="B51" s="1977"/>
      <c r="C51" s="1973"/>
    </row>
    <row r="52" spans="1:3" ht="16.5" x14ac:dyDescent="0.25">
      <c r="A52" s="1971"/>
      <c r="B52" s="1977"/>
      <c r="C52" s="1973"/>
    </row>
    <row r="53" spans="1:3" ht="15.75" x14ac:dyDescent="0.25">
      <c r="A53" s="2389" t="s">
        <v>2077</v>
      </c>
      <c r="B53" s="2389"/>
      <c r="C53" s="2389"/>
    </row>
    <row r="54" spans="1:3" ht="15.75" x14ac:dyDescent="0.25">
      <c r="A54" s="2389" t="s">
        <v>2168</v>
      </c>
      <c r="B54" s="2389"/>
      <c r="C54" s="2389"/>
    </row>
    <row r="55" spans="1:3" ht="15.75" x14ac:dyDescent="0.25">
      <c r="A55" s="2388" t="s">
        <v>2185</v>
      </c>
      <c r="B55" s="2388"/>
      <c r="C55" s="2388"/>
    </row>
    <row r="56" spans="1:3" ht="15.75" x14ac:dyDescent="0.25">
      <c r="A56" s="1967"/>
      <c r="B56" s="1967"/>
      <c r="C56" s="1967"/>
    </row>
    <row r="57" spans="1:3" ht="15.75" x14ac:dyDescent="0.25">
      <c r="A57" s="1968"/>
      <c r="B57" s="1968"/>
      <c r="C57" s="1968"/>
    </row>
    <row r="58" spans="1:3" ht="15.75" x14ac:dyDescent="0.25">
      <c r="A58" s="1968"/>
      <c r="B58" s="1968"/>
      <c r="C58" s="1968"/>
    </row>
    <row r="59" spans="1:3" ht="16.5" x14ac:dyDescent="0.25">
      <c r="A59" s="1969"/>
      <c r="B59" s="1969"/>
      <c r="C59" s="1970" t="s">
        <v>2141</v>
      </c>
    </row>
    <row r="60" spans="1:3" ht="16.5" x14ac:dyDescent="0.25">
      <c r="A60" s="1971"/>
      <c r="B60" s="1976"/>
      <c r="C60" s="1978"/>
    </row>
    <row r="61" spans="1:3" ht="16.5" x14ac:dyDescent="0.25">
      <c r="A61" s="1971"/>
      <c r="B61" s="1976"/>
      <c r="C61" s="1978"/>
    </row>
    <row r="62" spans="1:3" ht="16.5" x14ac:dyDescent="0.25">
      <c r="A62" s="1975" t="s">
        <v>2172</v>
      </c>
      <c r="B62" s="1976"/>
      <c r="C62" s="1978"/>
    </row>
    <row r="63" spans="1:3" ht="16.5" x14ac:dyDescent="0.25">
      <c r="A63" s="1971"/>
      <c r="B63" s="1976"/>
      <c r="C63" s="1978"/>
    </row>
    <row r="64" spans="1:3" ht="16.5" x14ac:dyDescent="0.25">
      <c r="A64" s="1971" t="s">
        <v>2173</v>
      </c>
      <c r="B64" s="1976"/>
      <c r="C64" s="1979" t="s">
        <v>2160</v>
      </c>
    </row>
    <row r="65" spans="1:3" ht="16.5" x14ac:dyDescent="0.25">
      <c r="A65" s="1971"/>
      <c r="B65" s="1976"/>
      <c r="C65" s="1979"/>
    </row>
    <row r="66" spans="1:3" ht="16.5" x14ac:dyDescent="0.25">
      <c r="A66" s="1971" t="s">
        <v>2174</v>
      </c>
      <c r="B66" s="1976"/>
      <c r="C66" s="1979" t="s">
        <v>2161</v>
      </c>
    </row>
    <row r="67" spans="1:3" ht="16.5" x14ac:dyDescent="0.25">
      <c r="A67" s="1971"/>
      <c r="B67" s="1976"/>
      <c r="C67" s="1979"/>
    </row>
    <row r="68" spans="1:3" ht="16.5" x14ac:dyDescent="0.25">
      <c r="A68" s="1971" t="s">
        <v>2175</v>
      </c>
      <c r="B68" s="1976"/>
      <c r="C68" s="1979" t="s">
        <v>2193</v>
      </c>
    </row>
    <row r="69" spans="1:3" ht="16.5" x14ac:dyDescent="0.25">
      <c r="A69" s="1971"/>
      <c r="B69" s="1976"/>
      <c r="C69" s="1978"/>
    </row>
    <row r="70" spans="1:3" ht="16.5" x14ac:dyDescent="0.25">
      <c r="A70" s="1971" t="s">
        <v>2176</v>
      </c>
      <c r="B70" s="1976"/>
      <c r="C70" s="1979" t="s">
        <v>2194</v>
      </c>
    </row>
    <row r="71" spans="1:3" ht="16.5" x14ac:dyDescent="0.25">
      <c r="A71" s="1971"/>
      <c r="B71" s="1976"/>
      <c r="C71" s="1978"/>
    </row>
    <row r="72" spans="1:3" ht="16.5" x14ac:dyDescent="0.25">
      <c r="A72" s="1971" t="s">
        <v>2177</v>
      </c>
      <c r="B72" s="1976"/>
      <c r="C72" s="1979" t="s">
        <v>2167</v>
      </c>
    </row>
    <row r="73" spans="1:3" ht="16.5" x14ac:dyDescent="0.25">
      <c r="A73" s="1971"/>
      <c r="B73" s="1976"/>
      <c r="C73" s="1978"/>
    </row>
    <row r="74" spans="1:3" ht="16.5" x14ac:dyDescent="0.25">
      <c r="A74" s="1971" t="s">
        <v>2178</v>
      </c>
      <c r="B74" s="1976"/>
      <c r="C74" s="1979" t="s">
        <v>2195</v>
      </c>
    </row>
    <row r="75" spans="1:3" ht="16.5" x14ac:dyDescent="0.25">
      <c r="A75" s="1971"/>
      <c r="B75" s="1976"/>
      <c r="C75" s="1979"/>
    </row>
    <row r="76" spans="1:3" ht="16.5" x14ac:dyDescent="0.25">
      <c r="A76" s="1971" t="s">
        <v>2197</v>
      </c>
      <c r="B76" s="1976"/>
      <c r="C76" s="1979" t="s">
        <v>2198</v>
      </c>
    </row>
    <row r="77" spans="1:3" ht="16.5" x14ac:dyDescent="0.25">
      <c r="A77" s="1971"/>
      <c r="B77" s="1976"/>
      <c r="C77" s="1979"/>
    </row>
    <row r="78" spans="1:3" ht="16.5" x14ac:dyDescent="0.25">
      <c r="A78" s="1971" t="s">
        <v>2179</v>
      </c>
      <c r="B78" s="1976"/>
      <c r="C78" s="1979" t="s">
        <v>2196</v>
      </c>
    </row>
    <row r="79" spans="1:3" ht="16.5" x14ac:dyDescent="0.25">
      <c r="A79" s="1971"/>
      <c r="B79" s="1976"/>
      <c r="C79" s="1978"/>
    </row>
    <row r="80" spans="1:3" ht="15.75" x14ac:dyDescent="0.25">
      <c r="A80" s="1980"/>
      <c r="B80" s="1980"/>
      <c r="C80" s="1981"/>
    </row>
    <row r="81" spans="1:3" ht="15" x14ac:dyDescent="0.25">
      <c r="A81" s="1982"/>
      <c r="B81" s="1982"/>
      <c r="C81" s="1983"/>
    </row>
    <row r="82" spans="1:3" ht="15" x14ac:dyDescent="0.25">
      <c r="A82" s="1984" t="s">
        <v>2180</v>
      </c>
    </row>
    <row r="83" spans="1:3" ht="15" x14ac:dyDescent="0.25">
      <c r="A83" s="1982" t="s">
        <v>2181</v>
      </c>
    </row>
    <row r="84" spans="1:3" ht="15" x14ac:dyDescent="0.25">
      <c r="A84" s="1982" t="s">
        <v>2182</v>
      </c>
    </row>
    <row r="85" spans="1:3" ht="15" x14ac:dyDescent="0.25">
      <c r="A85" s="1982" t="s">
        <v>2183</v>
      </c>
    </row>
    <row r="86" spans="1:3" ht="15" x14ac:dyDescent="0.25">
      <c r="A86" s="1982" t="s">
        <v>2184</v>
      </c>
    </row>
  </sheetData>
  <mergeCells count="6">
    <mergeCell ref="A55:C55"/>
    <mergeCell ref="A1:C1"/>
    <mergeCell ref="A2:C2"/>
    <mergeCell ref="A3:C3"/>
    <mergeCell ref="A53:C53"/>
    <mergeCell ref="A54:C54"/>
  </mergeCells>
  <printOptions horizontalCentered="1"/>
  <pageMargins left="1" right="0.75" top="0.75" bottom="0.5" header="0.5" footer="0.5"/>
  <pageSetup scale="86" fitToHeight="2" orientation="portrait" r:id="rId1"/>
  <rowBreaks count="1" manualBreakCount="1">
    <brk id="52"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90" t="s">
        <v>1784</v>
      </c>
      <c r="B18" s="239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90" t="s">
        <v>1784</v>
      </c>
      <c r="B18" s="2390"/>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686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90" t="s">
        <v>1784</v>
      </c>
      <c r="B18" s="2390"/>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zoomScale="130" zoomScaleNormal="130" workbookViewId="0">
      <selection activeCell="E28" sqref="E28"/>
    </sheetView>
  </sheetViews>
  <sheetFormatPr defaultColWidth="8.85546875" defaultRowHeight="12.75" x14ac:dyDescent="0.2"/>
  <cols>
    <col min="1" max="1" width="33.5703125" style="1953" customWidth="1"/>
    <col min="2" max="2" width="1.85546875" style="1953" customWidth="1"/>
    <col min="3" max="3" width="12.7109375" style="1953" customWidth="1"/>
    <col min="4" max="4" width="1.85546875" style="1953" customWidth="1"/>
    <col min="5" max="5" width="12.7109375" style="1953" customWidth="1"/>
    <col min="6" max="6" width="1.85546875" style="1953" customWidth="1"/>
    <col min="7" max="7" width="12.7109375" style="1953" customWidth="1"/>
    <col min="8" max="8" width="1.85546875" style="1953" customWidth="1"/>
    <col min="9" max="9" width="12.7109375" style="1953" customWidth="1"/>
    <col min="10" max="16384" width="8.85546875" style="1953"/>
  </cols>
  <sheetData>
    <row r="1" spans="1:9" x14ac:dyDescent="0.2">
      <c r="A1" s="2391" t="s">
        <v>2077</v>
      </c>
      <c r="B1" s="2391"/>
      <c r="C1" s="2391"/>
      <c r="D1" s="2391"/>
      <c r="E1" s="2391"/>
      <c r="F1" s="2391"/>
      <c r="G1" s="2391"/>
      <c r="H1" s="2391"/>
      <c r="I1" s="2391"/>
    </row>
    <row r="2" spans="1:9" x14ac:dyDescent="0.2">
      <c r="A2" s="2391" t="s">
        <v>2078</v>
      </c>
      <c r="B2" s="2391"/>
      <c r="C2" s="2391"/>
      <c r="D2" s="2391"/>
      <c r="E2" s="2391"/>
      <c r="F2" s="2391"/>
      <c r="G2" s="2391"/>
      <c r="H2" s="2391"/>
      <c r="I2" s="2391"/>
    </row>
    <row r="3" spans="1:9" x14ac:dyDescent="0.2">
      <c r="A3" s="2391" t="s">
        <v>2079</v>
      </c>
      <c r="B3" s="2391"/>
      <c r="C3" s="2391"/>
      <c r="D3" s="2391"/>
      <c r="E3" s="2391"/>
      <c r="F3" s="2391"/>
      <c r="G3" s="2391"/>
      <c r="H3" s="2391"/>
      <c r="I3" s="2391"/>
    </row>
    <row r="4" spans="1:9" x14ac:dyDescent="0.2">
      <c r="A4" s="2391" t="s">
        <v>2117</v>
      </c>
      <c r="B4" s="2391"/>
      <c r="C4" s="2391"/>
      <c r="D4" s="2391"/>
      <c r="E4" s="2391"/>
      <c r="F4" s="2391"/>
      <c r="G4" s="2391"/>
      <c r="H4" s="2391"/>
      <c r="I4" s="2391"/>
    </row>
    <row r="7" spans="1:9" x14ac:dyDescent="0.2">
      <c r="C7" s="1954" t="s">
        <v>2080</v>
      </c>
      <c r="D7" s="1954"/>
      <c r="E7" s="1954"/>
      <c r="F7" s="1954"/>
      <c r="G7" s="1954"/>
      <c r="H7" s="1954"/>
      <c r="I7" s="1954" t="s">
        <v>2080</v>
      </c>
    </row>
    <row r="8" spans="1:9" x14ac:dyDescent="0.2">
      <c r="C8" s="1955" t="s">
        <v>2118</v>
      </c>
      <c r="D8" s="1954"/>
      <c r="E8" s="1956" t="s">
        <v>2081</v>
      </c>
      <c r="F8" s="1954"/>
      <c r="G8" s="1956" t="s">
        <v>2082</v>
      </c>
      <c r="H8" s="1954"/>
      <c r="I8" s="1955" t="s">
        <v>2119</v>
      </c>
    </row>
    <row r="10" spans="1:9" x14ac:dyDescent="0.2">
      <c r="A10" s="1953" t="s">
        <v>2083</v>
      </c>
    </row>
    <row r="12" spans="1:9" ht="13.5" thickBot="1" x14ac:dyDescent="0.25">
      <c r="A12" s="1953" t="s">
        <v>2084</v>
      </c>
      <c r="C12" s="1957">
        <f>+C53</f>
        <v>71899</v>
      </c>
      <c r="D12" s="1958"/>
      <c r="E12" s="1957">
        <f>+E53</f>
        <v>130997</v>
      </c>
      <c r="F12" s="1958"/>
      <c r="G12" s="1957">
        <f>+G53</f>
        <v>136113</v>
      </c>
      <c r="H12" s="1958"/>
      <c r="I12" s="1957">
        <f>+C12+E12-G12</f>
        <v>66783</v>
      </c>
    </row>
    <row r="13" spans="1:9" ht="13.5" thickTop="1" x14ac:dyDescent="0.2">
      <c r="C13" s="1958"/>
      <c r="D13" s="1958"/>
      <c r="E13" s="1958"/>
      <c r="F13" s="1958"/>
      <c r="G13" s="1958"/>
      <c r="H13" s="1958"/>
      <c r="I13" s="1958"/>
    </row>
    <row r="14" spans="1:9" x14ac:dyDescent="0.2">
      <c r="A14" s="1953" t="s">
        <v>2085</v>
      </c>
      <c r="C14" s="1958"/>
      <c r="D14" s="1958"/>
      <c r="E14" s="1958"/>
      <c r="F14" s="1958"/>
      <c r="G14" s="1958"/>
      <c r="H14" s="1958"/>
      <c r="I14" s="1958"/>
    </row>
    <row r="15" spans="1:9" x14ac:dyDescent="0.2">
      <c r="C15" s="1958"/>
      <c r="D15" s="1958"/>
      <c r="E15" s="1958"/>
      <c r="F15" s="1958"/>
      <c r="G15" s="1958"/>
      <c r="H15" s="1958"/>
      <c r="I15" s="1958"/>
    </row>
    <row r="16" spans="1:9" x14ac:dyDescent="0.2">
      <c r="A16" s="1953" t="s">
        <v>2086</v>
      </c>
      <c r="C16" s="1958"/>
      <c r="D16" s="1958"/>
      <c r="E16" s="1958"/>
      <c r="F16" s="1958"/>
      <c r="G16" s="1958"/>
      <c r="H16" s="1958"/>
      <c r="I16" s="1958"/>
    </row>
    <row r="17" spans="1:10" x14ac:dyDescent="0.2">
      <c r="A17" s="1953" t="s">
        <v>2120</v>
      </c>
      <c r="C17" s="1959">
        <v>0</v>
      </c>
      <c r="D17" s="1959"/>
      <c r="E17" s="1959">
        <v>1555</v>
      </c>
      <c r="F17" s="1959"/>
      <c r="G17" s="1959">
        <v>530</v>
      </c>
      <c r="H17" s="1959"/>
      <c r="I17" s="1960">
        <f>+C17+E17-G17</f>
        <v>1025</v>
      </c>
      <c r="J17" s="1965"/>
    </row>
    <row r="18" spans="1:10" x14ac:dyDescent="0.2">
      <c r="A18" s="1953" t="s">
        <v>2087</v>
      </c>
      <c r="C18" s="1961">
        <v>2450</v>
      </c>
      <c r="D18" s="1961"/>
      <c r="E18" s="1961">
        <v>1762</v>
      </c>
      <c r="F18" s="1961"/>
      <c r="G18" s="1961">
        <v>481</v>
      </c>
      <c r="H18" s="1961"/>
      <c r="I18" s="1962">
        <f>+C18+E18-G18</f>
        <v>3731</v>
      </c>
    </row>
    <row r="19" spans="1:10" x14ac:dyDescent="0.2">
      <c r="A19" s="1953" t="s">
        <v>2088</v>
      </c>
      <c r="C19" s="1961">
        <v>1839</v>
      </c>
      <c r="D19" s="1961"/>
      <c r="E19" s="1961">
        <v>6108</v>
      </c>
      <c r="F19" s="1961"/>
      <c r="G19" s="1961">
        <v>4053</v>
      </c>
      <c r="H19" s="1961"/>
      <c r="I19" s="1962">
        <f>+C19+E19-G19</f>
        <v>3894</v>
      </c>
    </row>
    <row r="20" spans="1:10" x14ac:dyDescent="0.2">
      <c r="A20" s="1953" t="s">
        <v>2089</v>
      </c>
      <c r="C20" s="1961">
        <v>3967</v>
      </c>
      <c r="D20" s="1961"/>
      <c r="E20" s="1961">
        <v>4768</v>
      </c>
      <c r="F20" s="1961"/>
      <c r="G20" s="1961">
        <f>7935-60</f>
        <v>7875</v>
      </c>
      <c r="H20" s="1961"/>
      <c r="I20" s="1962">
        <f t="shared" ref="I20:I44" si="0">+C20+E20-G20</f>
        <v>860</v>
      </c>
    </row>
    <row r="21" spans="1:10" x14ac:dyDescent="0.2">
      <c r="A21" s="1953" t="s">
        <v>2090</v>
      </c>
      <c r="C21" s="1961">
        <v>2</v>
      </c>
      <c r="D21" s="1961"/>
      <c r="E21" s="1961">
        <v>0</v>
      </c>
      <c r="F21" s="1961"/>
      <c r="G21" s="1961">
        <v>2</v>
      </c>
      <c r="H21" s="1961"/>
      <c r="I21" s="1962">
        <f t="shared" si="0"/>
        <v>0</v>
      </c>
    </row>
    <row r="22" spans="1:10" x14ac:dyDescent="0.2">
      <c r="A22" s="1953" t="s">
        <v>2091</v>
      </c>
      <c r="C22" s="1961">
        <v>0</v>
      </c>
      <c r="D22" s="1961"/>
      <c r="E22" s="1961">
        <v>7455</v>
      </c>
      <c r="F22" s="1961"/>
      <c r="G22" s="1961">
        <v>6964</v>
      </c>
      <c r="H22" s="1961"/>
      <c r="I22" s="1962">
        <f t="shared" si="0"/>
        <v>491</v>
      </c>
    </row>
    <row r="23" spans="1:10" x14ac:dyDescent="0.2">
      <c r="A23" s="1953" t="s">
        <v>2092</v>
      </c>
      <c r="C23" s="1961">
        <v>9592</v>
      </c>
      <c r="D23" s="1961"/>
      <c r="E23" s="1961">
        <v>2466</v>
      </c>
      <c r="F23" s="1961"/>
      <c r="G23" s="1961">
        <v>3039</v>
      </c>
      <c r="H23" s="1961"/>
      <c r="I23" s="1962">
        <f t="shared" si="0"/>
        <v>9019</v>
      </c>
    </row>
    <row r="24" spans="1:10" x14ac:dyDescent="0.2">
      <c r="A24" s="1953" t="s">
        <v>2093</v>
      </c>
      <c r="C24" s="1961">
        <v>1577</v>
      </c>
      <c r="D24" s="1961"/>
      <c r="E24" s="1961">
        <v>9895</v>
      </c>
      <c r="F24" s="1961"/>
      <c r="G24" s="1961">
        <f>10535+311</f>
        <v>10846</v>
      </c>
      <c r="H24" s="1961"/>
      <c r="I24" s="1962">
        <f t="shared" si="0"/>
        <v>626</v>
      </c>
    </row>
    <row r="25" spans="1:10" x14ac:dyDescent="0.2">
      <c r="A25" s="1953" t="s">
        <v>2094</v>
      </c>
      <c r="C25" s="1961">
        <v>1599</v>
      </c>
      <c r="D25" s="1961"/>
      <c r="E25" s="1961">
        <v>443</v>
      </c>
      <c r="F25" s="1961"/>
      <c r="G25" s="1961">
        <f>997-2</f>
        <v>995</v>
      </c>
      <c r="H25" s="1961"/>
      <c r="I25" s="1962">
        <f t="shared" si="0"/>
        <v>1047</v>
      </c>
    </row>
    <row r="26" spans="1:10" x14ac:dyDescent="0.2">
      <c r="A26" s="1953" t="s">
        <v>2095</v>
      </c>
      <c r="C26" s="1961">
        <v>771</v>
      </c>
      <c r="D26" s="1961"/>
      <c r="E26" s="1961">
        <v>0</v>
      </c>
      <c r="F26" s="1961"/>
      <c r="G26" s="1961">
        <v>0</v>
      </c>
      <c r="H26" s="1961"/>
      <c r="I26" s="1962">
        <f t="shared" si="0"/>
        <v>771</v>
      </c>
    </row>
    <row r="27" spans="1:10" x14ac:dyDescent="0.2">
      <c r="A27" s="1953" t="s">
        <v>2096</v>
      </c>
      <c r="C27" s="1961">
        <v>160</v>
      </c>
      <c r="D27" s="1961"/>
      <c r="E27" s="1961">
        <v>794</v>
      </c>
      <c r="F27" s="1961"/>
      <c r="G27" s="1961">
        <v>0</v>
      </c>
      <c r="H27" s="1961"/>
      <c r="I27" s="1962">
        <f t="shared" si="0"/>
        <v>954</v>
      </c>
    </row>
    <row r="28" spans="1:10" x14ac:dyDescent="0.2">
      <c r="A28" s="1953" t="s">
        <v>2097</v>
      </c>
      <c r="C28" s="1961">
        <v>4331</v>
      </c>
      <c r="D28" s="1961"/>
      <c r="E28" s="1961">
        <v>33024</v>
      </c>
      <c r="F28" s="1961"/>
      <c r="G28" s="1961">
        <f>28335+441</f>
        <v>28776</v>
      </c>
      <c r="H28" s="1961"/>
      <c r="I28" s="1962">
        <f t="shared" si="0"/>
        <v>8579</v>
      </c>
    </row>
    <row r="29" spans="1:10" x14ac:dyDescent="0.2">
      <c r="A29" s="1953" t="s">
        <v>2098</v>
      </c>
      <c r="C29" s="1961">
        <v>5269</v>
      </c>
      <c r="D29" s="1961"/>
      <c r="E29" s="1961">
        <v>10318</v>
      </c>
      <c r="F29" s="1961"/>
      <c r="G29" s="1961">
        <f>11847-310-1</f>
        <v>11536</v>
      </c>
      <c r="H29" s="1961"/>
      <c r="I29" s="1962">
        <f t="shared" si="0"/>
        <v>4051</v>
      </c>
    </row>
    <row r="30" spans="1:10" x14ac:dyDescent="0.2">
      <c r="A30" s="1953" t="s">
        <v>2099</v>
      </c>
      <c r="C30" s="1961">
        <v>52</v>
      </c>
      <c r="D30" s="1961"/>
      <c r="E30" s="1961">
        <v>0</v>
      </c>
      <c r="F30" s="1961"/>
      <c r="G30" s="1961">
        <v>0</v>
      </c>
      <c r="H30" s="1961"/>
      <c r="I30" s="1962">
        <f t="shared" si="0"/>
        <v>52</v>
      </c>
    </row>
    <row r="31" spans="1:10" x14ac:dyDescent="0.2">
      <c r="A31" s="1953" t="s">
        <v>2100</v>
      </c>
      <c r="C31" s="1961">
        <v>70</v>
      </c>
      <c r="D31" s="1961"/>
      <c r="E31" s="1961">
        <v>0</v>
      </c>
      <c r="F31" s="1961"/>
      <c r="G31" s="1961">
        <v>0</v>
      </c>
      <c r="H31" s="1961"/>
      <c r="I31" s="1962">
        <f t="shared" si="0"/>
        <v>70</v>
      </c>
    </row>
    <row r="32" spans="1:10" x14ac:dyDescent="0.2">
      <c r="A32" s="1953" t="s">
        <v>2101</v>
      </c>
      <c r="C32" s="1961">
        <v>1876</v>
      </c>
      <c r="D32" s="1961"/>
      <c r="E32" s="1961">
        <v>2492</v>
      </c>
      <c r="F32" s="1961"/>
      <c r="G32" s="1961">
        <v>2825</v>
      </c>
      <c r="H32" s="1961"/>
      <c r="I32" s="1962">
        <f t="shared" si="0"/>
        <v>1543</v>
      </c>
    </row>
    <row r="33" spans="1:9" x14ac:dyDescent="0.2">
      <c r="A33" s="1953" t="s">
        <v>2102</v>
      </c>
      <c r="C33" s="1961">
        <v>894</v>
      </c>
      <c r="D33" s="1961"/>
      <c r="E33" s="1961">
        <v>9044</v>
      </c>
      <c r="F33" s="1961"/>
      <c r="G33" s="1961">
        <v>6264</v>
      </c>
      <c r="H33" s="1961"/>
      <c r="I33" s="1962">
        <f t="shared" si="0"/>
        <v>3674</v>
      </c>
    </row>
    <row r="34" spans="1:9" x14ac:dyDescent="0.2">
      <c r="A34" s="1953" t="s">
        <v>2103</v>
      </c>
      <c r="C34" s="1961">
        <v>593</v>
      </c>
      <c r="D34" s="1961"/>
      <c r="E34" s="1961">
        <v>0</v>
      </c>
      <c r="F34" s="1961"/>
      <c r="G34" s="1961">
        <v>0</v>
      </c>
      <c r="H34" s="1961"/>
      <c r="I34" s="1962">
        <f t="shared" si="0"/>
        <v>593</v>
      </c>
    </row>
    <row r="35" spans="1:9" x14ac:dyDescent="0.2">
      <c r="A35" s="1953" t="s">
        <v>2104</v>
      </c>
      <c r="C35" s="1961">
        <v>442</v>
      </c>
      <c r="D35" s="1961"/>
      <c r="E35" s="1961">
        <v>250</v>
      </c>
      <c r="F35" s="1961"/>
      <c r="G35" s="1961">
        <v>500</v>
      </c>
      <c r="H35" s="1961"/>
      <c r="I35" s="1962">
        <f t="shared" si="0"/>
        <v>192</v>
      </c>
    </row>
    <row r="36" spans="1:9" x14ac:dyDescent="0.2">
      <c r="A36" s="1953" t="s">
        <v>2121</v>
      </c>
      <c r="C36" s="1961">
        <v>1562</v>
      </c>
      <c r="D36" s="1961"/>
      <c r="E36" s="1961">
        <v>5391</v>
      </c>
      <c r="F36" s="1961"/>
      <c r="G36" s="1961">
        <v>3959</v>
      </c>
      <c r="H36" s="1961"/>
      <c r="I36" s="1962">
        <f t="shared" si="0"/>
        <v>2994</v>
      </c>
    </row>
    <row r="37" spans="1:9" x14ac:dyDescent="0.2">
      <c r="A37" s="1953" t="s">
        <v>2105</v>
      </c>
      <c r="C37" s="1961">
        <v>95</v>
      </c>
      <c r="D37" s="1961"/>
      <c r="E37" s="1961">
        <v>3289</v>
      </c>
      <c r="F37" s="1961"/>
      <c r="G37" s="1961">
        <f>2964-1</f>
        <v>2963</v>
      </c>
      <c r="H37" s="1961"/>
      <c r="I37" s="1962">
        <f t="shared" si="0"/>
        <v>421</v>
      </c>
    </row>
    <row r="38" spans="1:9" x14ac:dyDescent="0.2">
      <c r="A38" s="1953" t="s">
        <v>2106</v>
      </c>
      <c r="C38" s="1961">
        <v>812</v>
      </c>
      <c r="D38" s="1961"/>
      <c r="E38" s="1961">
        <v>2609</v>
      </c>
      <c r="F38" s="1961"/>
      <c r="G38" s="1961">
        <v>1347</v>
      </c>
      <c r="H38" s="1961"/>
      <c r="I38" s="1962">
        <f t="shared" si="0"/>
        <v>2074</v>
      </c>
    </row>
    <row r="39" spans="1:9" x14ac:dyDescent="0.2">
      <c r="A39" s="1953" t="s">
        <v>2107</v>
      </c>
      <c r="C39" s="1961">
        <v>463</v>
      </c>
      <c r="D39" s="1961"/>
      <c r="E39" s="1961">
        <v>357</v>
      </c>
      <c r="F39" s="1961"/>
      <c r="G39" s="1961">
        <v>585</v>
      </c>
      <c r="H39" s="1961"/>
      <c r="I39" s="1962">
        <f t="shared" si="0"/>
        <v>235</v>
      </c>
    </row>
    <row r="40" spans="1:9" x14ac:dyDescent="0.2">
      <c r="A40" s="1953" t="s">
        <v>2108</v>
      </c>
      <c r="C40" s="1961">
        <v>298</v>
      </c>
      <c r="D40" s="1961"/>
      <c r="E40" s="1961">
        <v>0</v>
      </c>
      <c r="F40" s="1961"/>
      <c r="G40" s="1961">
        <v>298</v>
      </c>
      <c r="H40" s="1961"/>
      <c r="I40" s="1962">
        <f t="shared" si="0"/>
        <v>0</v>
      </c>
    </row>
    <row r="41" spans="1:9" x14ac:dyDescent="0.2">
      <c r="A41" s="1953" t="s">
        <v>2109</v>
      </c>
      <c r="C41" s="1961">
        <v>46</v>
      </c>
      <c r="D41" s="1961"/>
      <c r="E41" s="1961">
        <v>0</v>
      </c>
      <c r="F41" s="1961"/>
      <c r="G41" s="1961">
        <v>46</v>
      </c>
      <c r="H41" s="1961"/>
      <c r="I41" s="1962">
        <f t="shared" si="0"/>
        <v>0</v>
      </c>
    </row>
    <row r="42" spans="1:9" x14ac:dyDescent="0.2">
      <c r="A42" s="1953" t="s">
        <v>2122</v>
      </c>
      <c r="C42" s="1961">
        <v>0</v>
      </c>
      <c r="D42" s="1961"/>
      <c r="E42" s="1961">
        <v>1276</v>
      </c>
      <c r="F42" s="1961"/>
      <c r="G42" s="1961">
        <v>1066</v>
      </c>
      <c r="H42" s="1961"/>
      <c r="I42" s="1962">
        <f t="shared" si="0"/>
        <v>210</v>
      </c>
    </row>
    <row r="43" spans="1:9" x14ac:dyDescent="0.2">
      <c r="A43" s="1953" t="s">
        <v>2110</v>
      </c>
      <c r="C43" s="1961">
        <v>11317</v>
      </c>
      <c r="D43" s="1961"/>
      <c r="E43" s="1961">
        <v>8262</v>
      </c>
      <c r="F43" s="1961"/>
      <c r="G43" s="1961">
        <v>19579</v>
      </c>
      <c r="H43" s="1961"/>
      <c r="I43" s="1962">
        <f t="shared" si="0"/>
        <v>0</v>
      </c>
    </row>
    <row r="44" spans="1:9" x14ac:dyDescent="0.2">
      <c r="A44" s="1953" t="s">
        <v>2111</v>
      </c>
      <c r="C44" s="1963">
        <v>717</v>
      </c>
      <c r="D44" s="1961"/>
      <c r="E44" s="1963">
        <v>0</v>
      </c>
      <c r="F44" s="1961"/>
      <c r="G44" s="1963">
        <v>0</v>
      </c>
      <c r="H44" s="1961"/>
      <c r="I44" s="1963">
        <f t="shared" si="0"/>
        <v>717</v>
      </c>
    </row>
    <row r="45" spans="1:9" x14ac:dyDescent="0.2">
      <c r="C45" s="1958"/>
      <c r="D45" s="1958"/>
      <c r="E45" s="1958"/>
      <c r="F45" s="1958"/>
      <c r="G45" s="1958"/>
      <c r="H45" s="1958"/>
      <c r="I45" s="1958"/>
    </row>
    <row r="46" spans="1:9" x14ac:dyDescent="0.2">
      <c r="A46" s="1953" t="s">
        <v>2112</v>
      </c>
      <c r="C46" s="1964">
        <f>SUM(C17:C44)</f>
        <v>50794</v>
      </c>
      <c r="D46" s="1959"/>
      <c r="E46" s="1964">
        <f>SUM(E17:E44)</f>
        <v>111558</v>
      </c>
      <c r="F46" s="1959"/>
      <c r="G46" s="1964">
        <f>SUM(G17:G44)</f>
        <v>114529</v>
      </c>
      <c r="H46" s="1959"/>
      <c r="I46" s="1964">
        <f>SUM(I17:I44)</f>
        <v>47823</v>
      </c>
    </row>
    <row r="47" spans="1:9" x14ac:dyDescent="0.2">
      <c r="C47" s="1958"/>
      <c r="D47" s="1958"/>
      <c r="E47" s="1958"/>
      <c r="F47" s="1958"/>
      <c r="G47" s="1958"/>
      <c r="H47" s="1958"/>
      <c r="I47" s="1958"/>
    </row>
    <row r="48" spans="1:9" x14ac:dyDescent="0.2">
      <c r="A48" s="1953" t="s">
        <v>2113</v>
      </c>
      <c r="C48" s="1959">
        <v>843</v>
      </c>
      <c r="D48" s="1959"/>
      <c r="E48" s="1959">
        <v>2581</v>
      </c>
      <c r="F48" s="1959"/>
      <c r="G48" s="1959">
        <v>2116</v>
      </c>
      <c r="H48" s="1959"/>
      <c r="I48" s="1960">
        <f>+C48+E48-G48</f>
        <v>1308</v>
      </c>
    </row>
    <row r="49" spans="1:9" x14ac:dyDescent="0.2">
      <c r="A49" s="1953" t="s">
        <v>2114</v>
      </c>
      <c r="C49" s="1963">
        <v>20262</v>
      </c>
      <c r="D49" s="1961"/>
      <c r="E49" s="1963">
        <v>16858</v>
      </c>
      <c r="F49" s="1961"/>
      <c r="G49" s="1963">
        <f>19909-441</f>
        <v>19468</v>
      </c>
      <c r="H49" s="1961"/>
      <c r="I49" s="1963">
        <f>+C49+E49-G49</f>
        <v>17652</v>
      </c>
    </row>
    <row r="50" spans="1:9" x14ac:dyDescent="0.2">
      <c r="C50" s="1961"/>
      <c r="D50" s="1961"/>
      <c r="E50" s="1961"/>
      <c r="F50" s="1961"/>
      <c r="G50" s="1961"/>
      <c r="H50" s="1961"/>
      <c r="I50" s="1961"/>
    </row>
    <row r="51" spans="1:9" x14ac:dyDescent="0.2">
      <c r="A51" s="1953" t="s">
        <v>2115</v>
      </c>
      <c r="C51" s="1964">
        <f>SUM(C48:C49)</f>
        <v>21105</v>
      </c>
      <c r="D51" s="1959"/>
      <c r="E51" s="1964">
        <f>SUM(E48:E49)</f>
        <v>19439</v>
      </c>
      <c r="F51" s="1959"/>
      <c r="G51" s="1964">
        <f>SUM(G48:G49)</f>
        <v>21584</v>
      </c>
      <c r="H51" s="1959"/>
      <c r="I51" s="1964">
        <f>SUM(I48:I49)</f>
        <v>18960</v>
      </c>
    </row>
    <row r="52" spans="1:9" x14ac:dyDescent="0.2">
      <c r="C52" s="1958"/>
      <c r="D52" s="1958"/>
      <c r="E52" s="1958"/>
      <c r="F52" s="1958"/>
      <c r="G52" s="1958"/>
      <c r="H52" s="1958"/>
      <c r="I52" s="1958"/>
    </row>
    <row r="53" spans="1:9" ht="13.5" thickBot="1" x14ac:dyDescent="0.25">
      <c r="A53" s="1953" t="s">
        <v>2116</v>
      </c>
      <c r="C53" s="1957">
        <f>+C46+C51</f>
        <v>71899</v>
      </c>
      <c r="D53" s="1958"/>
      <c r="E53" s="1957">
        <f>+E46+E51</f>
        <v>130997</v>
      </c>
      <c r="F53" s="1958"/>
      <c r="G53" s="1957">
        <f>+G46+G51</f>
        <v>136113</v>
      </c>
      <c r="H53" s="1958"/>
      <c r="I53" s="1957">
        <f>+I46+I51</f>
        <v>66783</v>
      </c>
    </row>
    <row r="54" spans="1:9" ht="13.5" thickTop="1" x14ac:dyDescent="0.2"/>
  </sheetData>
  <mergeCells count="4">
    <mergeCell ref="A1:I1"/>
    <mergeCell ref="A2:I2"/>
    <mergeCell ref="A3:I3"/>
    <mergeCell ref="A4:I4"/>
  </mergeCells>
  <printOptions horizontalCentered="1"/>
  <pageMargins left="1" right="0.75" top="1" bottom="0.5" header="1" footer="0.25"/>
  <pageSetup scale="95" orientation="portrait" r:id="rId1"/>
  <headerFooter>
    <oddFooter>&amp;L
&amp;CReference should be made to accountant's report regarding this information.
55</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2" t="s">
        <v>1790</v>
      </c>
      <c r="B1" s="2393"/>
      <c r="C1" s="2393"/>
      <c r="D1" s="2393"/>
      <c r="E1" s="2393"/>
      <c r="F1" s="2394"/>
    </row>
    <row r="2" spans="1:8" ht="45" customHeight="1" x14ac:dyDescent="0.2">
      <c r="A2" s="2402" t="s">
        <v>1791</v>
      </c>
      <c r="B2" s="2403"/>
      <c r="C2" s="2403"/>
      <c r="D2" s="2403"/>
      <c r="E2" s="2403"/>
      <c r="F2" s="2404"/>
      <c r="G2" s="1072"/>
      <c r="H2" s="1072"/>
    </row>
    <row r="3" spans="1:8" ht="57" customHeight="1" x14ac:dyDescent="0.2">
      <c r="A3" s="2405" t="s">
        <v>1786</v>
      </c>
      <c r="B3" s="2406"/>
      <c r="C3" s="2406"/>
      <c r="D3" s="2406"/>
      <c r="E3" s="2406"/>
      <c r="F3" s="2407"/>
      <c r="G3" s="1072"/>
      <c r="H3" s="1072"/>
    </row>
    <row r="4" spans="1:8" ht="14.25" customHeight="1" x14ac:dyDescent="0.2">
      <c r="A4" s="2411" t="s">
        <v>2054</v>
      </c>
      <c r="B4" s="2412"/>
      <c r="C4" s="2412"/>
      <c r="D4" s="2412"/>
      <c r="E4" s="2412"/>
      <c r="F4" s="2413"/>
      <c r="G4" s="1072"/>
      <c r="H4" s="1072"/>
    </row>
    <row r="5" spans="1:8" ht="14.25" customHeight="1" x14ac:dyDescent="0.2">
      <c r="A5" s="2414" t="s">
        <v>2055</v>
      </c>
      <c r="B5" s="2415"/>
      <c r="C5" s="2415"/>
      <c r="D5" s="2415"/>
      <c r="E5" s="2415"/>
      <c r="F5" s="2416"/>
      <c r="G5" s="1072"/>
      <c r="H5" s="1072"/>
    </row>
    <row r="6" spans="1:8" s="1073" customFormat="1" ht="41.25" customHeight="1" x14ac:dyDescent="0.2">
      <c r="A6" s="2408" t="s">
        <v>1792</v>
      </c>
      <c r="B6" s="2409"/>
      <c r="C6" s="2409"/>
      <c r="D6" s="2409"/>
      <c r="E6" s="2409"/>
      <c r="F6" s="2410"/>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2903332</v>
      </c>
      <c r="C8" s="1835">
        <f>'Acct Summary 7-8'!D8</f>
        <v>120384</v>
      </c>
      <c r="D8" s="1835">
        <f>'Acct Summary 7-8'!F8</f>
        <v>148491</v>
      </c>
      <c r="E8" s="1835">
        <f>'Acct Summary 7-8'!I8</f>
        <v>6679</v>
      </c>
      <c r="F8" s="1835">
        <f>SUM(B8:E8)</f>
        <v>3178886</v>
      </c>
    </row>
    <row r="9" spans="1:8" s="1077" customFormat="1" ht="14.25" customHeight="1" thickBot="1" x14ac:dyDescent="0.25">
      <c r="A9" s="1076" t="s">
        <v>1436</v>
      </c>
      <c r="B9" s="1836">
        <f>'Acct Summary 7-8'!C17</f>
        <v>2475025</v>
      </c>
      <c r="C9" s="1836">
        <f>'Acct Summary 7-8'!D17</f>
        <v>106727</v>
      </c>
      <c r="D9" s="1836">
        <f>'Acct Summary 7-8'!F17</f>
        <v>110046</v>
      </c>
      <c r="E9" s="1835"/>
      <c r="F9" s="1835">
        <f>SUM(B9:E9)</f>
        <v>2691798</v>
      </c>
    </row>
    <row r="10" spans="1:8" s="1077" customFormat="1" ht="14.25" thickTop="1" thickBot="1" x14ac:dyDescent="0.25">
      <c r="A10" s="1078" t="s">
        <v>1437</v>
      </c>
      <c r="B10" s="1837">
        <f>(B8-B9)</f>
        <v>428307</v>
      </c>
      <c r="C10" s="1837">
        <f>(C8-C9)</f>
        <v>13657</v>
      </c>
      <c r="D10" s="1837">
        <f>(D8-D9)</f>
        <v>38445</v>
      </c>
      <c r="E10" s="1836">
        <f>(E8-E9)</f>
        <v>6679</v>
      </c>
      <c r="F10" s="1838">
        <f>SUM(F8-F9)</f>
        <v>487088</v>
      </c>
    </row>
    <row r="11" spans="1:8" s="1077" customFormat="1" ht="14.25" thickTop="1" thickBot="1" x14ac:dyDescent="0.25">
      <c r="A11" s="1079" t="s">
        <v>1785</v>
      </c>
      <c r="B11" s="1839">
        <f>'Acct Summary 7-8'!C81</f>
        <v>889878</v>
      </c>
      <c r="C11" s="1839">
        <f>'Acct Summary 7-8'!D81</f>
        <v>90348</v>
      </c>
      <c r="D11" s="1839">
        <f>'Acct Summary 7-8'!F81</f>
        <v>292287</v>
      </c>
      <c r="E11" s="1839">
        <f>'Acct Summary 7-8'!I81</f>
        <v>340939</v>
      </c>
      <c r="F11" s="1840">
        <f>SUM(B11:E11)</f>
        <v>1613452</v>
      </c>
    </row>
    <row r="12" spans="1:8" ht="16.5" customHeight="1" thickTop="1" x14ac:dyDescent="0.2">
      <c r="A12" s="1080"/>
      <c r="B12" s="1081"/>
      <c r="C12" s="2396" t="str">
        <f>IF(AND(F10&lt;0,F11&gt;=0,ABS(F10*3)&gt;ABS(F11)),A16,IF(AND(F10&lt;0,F11&gt;0,ABS(F10*3)&lt;=ABS(F11)),A17,IF(AND(F10&lt;0,F11&lt;0),A16,IF(F11=0,A19,A18))))</f>
        <v>Balanced - no deficit reduction plan is required.</v>
      </c>
      <c r="D12" s="2397"/>
      <c r="E12" s="2397"/>
      <c r="F12" s="2398"/>
    </row>
    <row r="13" spans="1:8" ht="19.5" customHeight="1" x14ac:dyDescent="0.2">
      <c r="A13" s="1082"/>
      <c r="B13" s="1083"/>
      <c r="C13" s="2396"/>
      <c r="D13" s="2397"/>
      <c r="E13" s="2397"/>
      <c r="F13" s="2398"/>
      <c r="H13" s="1072"/>
    </row>
    <row r="14" spans="1:8" ht="19.5" customHeight="1" x14ac:dyDescent="0.2">
      <c r="A14" s="1082"/>
      <c r="B14" s="1083"/>
      <c r="C14" s="2396"/>
      <c r="D14" s="2397"/>
      <c r="E14" s="2397"/>
      <c r="F14" s="2398"/>
      <c r="H14" s="1072"/>
    </row>
    <row r="15" spans="1:8" ht="17.25" customHeight="1" x14ac:dyDescent="0.2">
      <c r="A15" s="1082"/>
      <c r="B15" s="1083"/>
      <c r="C15" s="2399"/>
      <c r="D15" s="2400"/>
      <c r="E15" s="2400"/>
      <c r="F15" s="2401"/>
      <c r="H15" s="1072"/>
    </row>
    <row r="16" spans="1:8" s="310" customFormat="1" ht="51.75" hidden="1" customHeight="1" x14ac:dyDescent="0.2">
      <c r="A16" s="2395" t="s">
        <v>1787</v>
      </c>
      <c r="B16" s="2395"/>
      <c r="C16" s="2395"/>
      <c r="D16" s="2395"/>
      <c r="E16" s="2395"/>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81" sqref="D81"/>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417" t="s">
        <v>686</v>
      </c>
      <c r="B3" s="2418"/>
      <c r="C3" s="2418"/>
      <c r="D3" s="2419"/>
    </row>
    <row r="4" spans="1:4" x14ac:dyDescent="0.2">
      <c r="A4" s="1150" t="s">
        <v>1793</v>
      </c>
      <c r="B4" s="1151"/>
      <c r="C4" s="1152"/>
      <c r="D4" s="1153"/>
    </row>
    <row r="5" spans="1:4" ht="21" customHeight="1" x14ac:dyDescent="0.2">
      <c r="A5" s="1146"/>
      <c r="B5" s="1147">
        <v>1</v>
      </c>
      <c r="C5" s="1148" t="s">
        <v>1945</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428" t="s">
        <v>1584</v>
      </c>
      <c r="D7" s="2429"/>
    </row>
    <row r="8" spans="1:4" s="669" customFormat="1" ht="12.75" x14ac:dyDescent="0.2">
      <c r="A8" s="1136"/>
      <c r="B8" s="1091"/>
      <c r="C8" s="1094" t="s">
        <v>1583</v>
      </c>
      <c r="D8" s="1095"/>
    </row>
    <row r="9" spans="1:4" s="669" customFormat="1" ht="14.25" customHeight="1" x14ac:dyDescent="0.2">
      <c r="A9" s="1136"/>
      <c r="B9" s="1091">
        <f>B7+1</f>
        <v>4</v>
      </c>
      <c r="C9" s="1092" t="s">
        <v>2047</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420" t="s">
        <v>1065</v>
      </c>
      <c r="B15" s="2421"/>
      <c r="C15" s="2421"/>
      <c r="D15" s="2422"/>
    </row>
    <row r="16" spans="1:4" s="669" customFormat="1" ht="24" customHeight="1" x14ac:dyDescent="0.2">
      <c r="A16" s="2423" t="s">
        <v>684</v>
      </c>
      <c r="B16" s="2424"/>
      <c r="C16" s="2424"/>
      <c r="D16" s="2425"/>
    </row>
    <row r="17" spans="1:10" s="669" customFormat="1" ht="12.75" customHeight="1" x14ac:dyDescent="0.2">
      <c r="A17" s="1154" t="s">
        <v>1794</v>
      </c>
      <c r="B17" s="1155"/>
      <c r="C17" s="1156"/>
      <c r="D17" s="1157"/>
    </row>
    <row r="18" spans="1:10" s="669"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432" t="s">
        <v>332</v>
      </c>
      <c r="D21" s="2433"/>
    </row>
    <row r="22" spans="1:10" ht="12.75" x14ac:dyDescent="0.2">
      <c r="A22" s="1137"/>
      <c r="B22" s="1138">
        <v>2</v>
      </c>
      <c r="C22" s="2430" t="s">
        <v>1605</v>
      </c>
      <c r="D22" s="2431"/>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34" t="s">
        <v>557</v>
      </c>
      <c r="D43" s="2435"/>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426" t="s">
        <v>817</v>
      </c>
      <c r="D56" s="2427"/>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2048</v>
      </c>
      <c r="D66" s="1123"/>
    </row>
    <row r="67" spans="1:4" x14ac:dyDescent="0.2">
      <c r="A67" s="1117"/>
      <c r="B67" s="1138"/>
      <c r="C67" s="1145" t="s">
        <v>1079</v>
      </c>
      <c r="D67" s="1123"/>
    </row>
    <row r="68" spans="1:4" x14ac:dyDescent="0.2">
      <c r="A68" s="1098"/>
      <c r="B68" s="1108"/>
      <c r="C68" s="1100" t="s">
        <v>2049</v>
      </c>
      <c r="D68" s="1122" t="str">
        <f>IF('Short-Term Long-Term Debt 24'!F49=SUM(,'Acct Summary 7-8'!C33:K33),"OK","ERROR!")</f>
        <v>OK</v>
      </c>
    </row>
    <row r="69" spans="1:4" x14ac:dyDescent="0.2">
      <c r="A69" s="1098"/>
      <c r="B69" s="1108"/>
      <c r="C69" s="1100" t="s">
        <v>2050</v>
      </c>
      <c r="D69" s="1122" t="str">
        <f>IF('Expenditures 15-22'!H170&lt;&gt;'Short-Term Long-Term Debt 24'!H49,"ERROR!","OK")</f>
        <v>OK</v>
      </c>
    </row>
    <row r="70" spans="1:4" x14ac:dyDescent="0.2">
      <c r="A70" s="1096"/>
      <c r="B70" s="1118">
        <f>B66+1</f>
        <v>9</v>
      </c>
      <c r="C70" s="2426" t="s">
        <v>1797</v>
      </c>
      <c r="D70" s="2427"/>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2051</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2052</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2053</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3011014024</v>
      </c>
    </row>
    <row r="3" spans="1:2" x14ac:dyDescent="0.2">
      <c r="A3" t="s">
        <v>1013</v>
      </c>
      <c r="B3" s="138" t="str">
        <f>COVER!A15</f>
        <v>Christian</v>
      </c>
    </row>
    <row r="4" spans="1:2" x14ac:dyDescent="0.2">
      <c r="A4" t="s">
        <v>1064</v>
      </c>
      <c r="B4" s="138" t="str">
        <f>COVER!A17</f>
        <v>South Fork Community Unit School District No. 14</v>
      </c>
    </row>
    <row r="5" spans="1:2" x14ac:dyDescent="0.2">
      <c r="A5" t="s">
        <v>728</v>
      </c>
      <c r="B5" s="138" t="str">
        <f>COVER!A38</f>
        <v>Ron Graham</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066-003847</v>
      </c>
    </row>
    <row r="16" spans="1:2" x14ac:dyDescent="0.2">
      <c r="A16" t="s">
        <v>442</v>
      </c>
      <c r="B16" s="138" t="str">
        <f>COVER!T13</f>
        <v>LMHN, Ltd.</v>
      </c>
    </row>
    <row r="17" spans="1:2" x14ac:dyDescent="0.2">
      <c r="A17" t="s">
        <v>939</v>
      </c>
      <c r="B17" s="138" t="str">
        <f>COVER!T15</f>
        <v>M. Adam Mathias, CPA, PFS, CVA</v>
      </c>
    </row>
    <row r="18" spans="1:2" x14ac:dyDescent="0.2">
      <c r="A18" t="s">
        <v>1212</v>
      </c>
      <c r="B18" s="138" t="str">
        <f>COVER!T17</f>
        <v>900 N. Webster Street</v>
      </c>
    </row>
    <row r="19" spans="1:2" x14ac:dyDescent="0.2">
      <c r="A19" t="s">
        <v>941</v>
      </c>
      <c r="B19" s="138" t="str">
        <f>COVER!T25</f>
        <v>lmhncpas@yahoo.com</v>
      </c>
    </row>
    <row r="20" spans="1:2" x14ac:dyDescent="0.2">
      <c r="A20" t="s">
        <v>942</v>
      </c>
      <c r="B20" s="138" t="str">
        <f>COVER!T19</f>
        <v>Taylorville</v>
      </c>
    </row>
    <row r="21" spans="1:2" x14ac:dyDescent="0.2">
      <c r="A21" t="s">
        <v>500</v>
      </c>
      <c r="B21" s="138" t="str">
        <f>COVER!X19</f>
        <v>IL</v>
      </c>
    </row>
    <row r="22" spans="1:2" x14ac:dyDescent="0.2">
      <c r="A22" t="s">
        <v>943</v>
      </c>
      <c r="B22" s="138">
        <f>COVER!Z19</f>
        <v>62568</v>
      </c>
    </row>
    <row r="23" spans="1:2" x14ac:dyDescent="0.2">
      <c r="A23" t="s">
        <v>1214</v>
      </c>
      <c r="B23" s="138" t="str">
        <f>COVER!T21</f>
        <v>217-824-9661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890068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190</v>
      </c>
      <c r="C91" s="2" t="s">
        <v>594</v>
      </c>
      <c r="D91" s="2" t="str">
        <f t="shared" si="0"/>
        <v>Error?</v>
      </c>
    </row>
    <row r="92" spans="1:4" x14ac:dyDescent="0.2">
      <c r="A92" s="5">
        <v>31</v>
      </c>
      <c r="B92" s="138">
        <f>'Assets-Liab 5-6'!C39</f>
        <v>889878</v>
      </c>
      <c r="D92" s="2" t="str">
        <f t="shared" si="0"/>
        <v>Error?</v>
      </c>
    </row>
    <row r="93" spans="1:4" x14ac:dyDescent="0.2">
      <c r="A93" s="5">
        <v>32</v>
      </c>
      <c r="B93" s="138">
        <f>'Assets-Liab 5-6'!C41</f>
        <v>890068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90348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90348</v>
      </c>
      <c r="D123" s="2" t="str">
        <f t="shared" si="0"/>
        <v>Error?</v>
      </c>
    </row>
    <row r="124" spans="1:4" x14ac:dyDescent="0.2">
      <c r="A124" s="5">
        <v>63</v>
      </c>
      <c r="B124" s="138">
        <f>'Assets-Liab 5-6'!D41</f>
        <v>90348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42297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42297</v>
      </c>
      <c r="D140" s="2" t="str">
        <f t="shared" si="1"/>
        <v>Error?</v>
      </c>
    </row>
    <row r="141" spans="1:4" x14ac:dyDescent="0.2">
      <c r="A141" s="5">
        <v>80</v>
      </c>
      <c r="B141" s="138">
        <f>'Assets-Liab 5-6'!E41</f>
        <v>42297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292323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36</v>
      </c>
      <c r="C169" s="2" t="s">
        <v>594</v>
      </c>
      <c r="D169" s="2" t="str">
        <f t="shared" si="1"/>
        <v>Error?</v>
      </c>
    </row>
    <row r="170" spans="1:4" x14ac:dyDescent="0.2">
      <c r="A170" s="5">
        <v>109</v>
      </c>
      <c r="B170" s="138">
        <f>'Assets-Liab 5-6'!F39</f>
        <v>292287</v>
      </c>
      <c r="D170" s="2" t="str">
        <f t="shared" si="1"/>
        <v>Error?</v>
      </c>
    </row>
    <row r="171" spans="1:4" x14ac:dyDescent="0.2">
      <c r="A171" s="5">
        <v>110</v>
      </c>
      <c r="B171" s="138">
        <f>'Assets-Liab 5-6'!F41</f>
        <v>292323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65685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65685</v>
      </c>
      <c r="D189" s="2" t="str">
        <f t="shared" si="1"/>
        <v>Error?</v>
      </c>
    </row>
    <row r="190" spans="1:4" x14ac:dyDescent="0.2">
      <c r="A190" s="5">
        <v>129</v>
      </c>
      <c r="B190" s="138">
        <f>'Assets-Liab 5-6'!G41</f>
        <v>65685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108565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46011</v>
      </c>
      <c r="D212" s="2" t="str">
        <f t="shared" si="2"/>
        <v>Error?</v>
      </c>
    </row>
    <row r="213" spans="1:4" x14ac:dyDescent="0.2">
      <c r="A213" s="12">
        <v>152</v>
      </c>
      <c r="B213" s="138">
        <f>'Assets-Liab 5-6'!H41</f>
        <v>108565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28500</v>
      </c>
      <c r="D273" s="2" t="str">
        <f t="shared" si="3"/>
        <v>Error?</v>
      </c>
    </row>
    <row r="274" spans="1:4" x14ac:dyDescent="0.2">
      <c r="A274" s="5">
        <v>213</v>
      </c>
      <c r="B274" s="138">
        <f>'Assets-Liab 5-6'!M17</f>
        <v>4159395</v>
      </c>
      <c r="D274" s="2" t="str">
        <f t="shared" si="3"/>
        <v>Error?</v>
      </c>
    </row>
    <row r="275" spans="1:4" x14ac:dyDescent="0.2">
      <c r="A275" s="5">
        <v>214</v>
      </c>
      <c r="B275" s="138">
        <f>'Assets-Liab 5-6'!M18</f>
        <v>24084</v>
      </c>
      <c r="D275" s="2" t="str">
        <f t="shared" si="3"/>
        <v>Error?</v>
      </c>
    </row>
    <row r="276" spans="1:4" x14ac:dyDescent="0.2">
      <c r="A276" s="5">
        <v>215</v>
      </c>
      <c r="B276" s="138">
        <f>'Assets-Liab 5-6'!M19</f>
        <v>687240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4899219</v>
      </c>
      <c r="C279" s="2" t="s">
        <v>594</v>
      </c>
      <c r="D279" s="2" t="str">
        <f t="shared" si="3"/>
        <v>Error?</v>
      </c>
    </row>
    <row r="280" spans="1:4" x14ac:dyDescent="0.2">
      <c r="A280" s="5">
        <v>219</v>
      </c>
      <c r="B280" s="138">
        <f>'Assets-Liab 5-6'!M40</f>
        <v>4899219</v>
      </c>
      <c r="D280" s="2" t="str">
        <f t="shared" si="3"/>
        <v>Error?</v>
      </c>
    </row>
    <row r="281" spans="1:4" x14ac:dyDescent="0.2">
      <c r="A281" s="5">
        <v>220</v>
      </c>
      <c r="B281" s="138">
        <f>'Assets-Liab 5-6'!M41</f>
        <v>4899219</v>
      </c>
      <c r="C281" s="2" t="s">
        <v>594</v>
      </c>
      <c r="D281" s="2" t="str">
        <f t="shared" si="3"/>
        <v>Error?</v>
      </c>
    </row>
    <row r="282" spans="1:4" x14ac:dyDescent="0.2">
      <c r="A282" s="5">
        <v>221</v>
      </c>
      <c r="B282" s="138">
        <f>'Assets-Liab 5-6'!N21</f>
        <v>42297</v>
      </c>
      <c r="D282" s="2" t="str">
        <f t="shared" si="3"/>
        <v>Error?</v>
      </c>
    </row>
    <row r="283" spans="1:4" x14ac:dyDescent="0.2">
      <c r="A283" s="5">
        <v>222</v>
      </c>
      <c r="B283" s="138">
        <f>'Assets-Liab 5-6'!N22</f>
        <v>1217703</v>
      </c>
      <c r="D283" s="2" t="str">
        <f t="shared" si="3"/>
        <v>Error?</v>
      </c>
    </row>
    <row r="284" spans="1:4" x14ac:dyDescent="0.2">
      <c r="A284" s="5">
        <v>223</v>
      </c>
      <c r="B284" s="138">
        <f>'Assets-Liab 5-6'!N23</f>
        <v>1260000</v>
      </c>
      <c r="C284" s="2" t="s">
        <v>594</v>
      </c>
      <c r="D284" s="2" t="str">
        <f t="shared" si="3"/>
        <v>Error?</v>
      </c>
    </row>
    <row r="285" spans="1:4" x14ac:dyDescent="0.2">
      <c r="A285" s="5">
        <v>224</v>
      </c>
      <c r="B285" s="138">
        <f>'Assets-Liab 5-6'!N36</f>
        <v>1260000</v>
      </c>
      <c r="D285" s="2" t="str">
        <f t="shared" si="3"/>
        <v>Error?</v>
      </c>
    </row>
    <row r="286" spans="1:4" x14ac:dyDescent="0.2">
      <c r="A286" s="10">
        <v>225</v>
      </c>
      <c r="D286" s="2" t="str">
        <f t="shared" si="3"/>
        <v>OK</v>
      </c>
    </row>
    <row r="287" spans="1:4" x14ac:dyDescent="0.2">
      <c r="A287" s="5">
        <v>226</v>
      </c>
      <c r="B287" s="138">
        <f>'Assets-Liab 5-6'!N37</f>
        <v>1260000</v>
      </c>
      <c r="C287" s="2" t="s">
        <v>594</v>
      </c>
      <c r="D287" s="2" t="str">
        <f t="shared" si="3"/>
        <v>Error?</v>
      </c>
    </row>
    <row r="288" spans="1:4" x14ac:dyDescent="0.2">
      <c r="A288" s="5">
        <v>227</v>
      </c>
      <c r="B288" s="138">
        <f>'Assets-Liab 5-6'!N41</f>
        <v>1260000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815592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33035</v>
      </c>
      <c r="D717" s="2" t="str">
        <f t="shared" si="10"/>
        <v>Error?</v>
      </c>
    </row>
    <row r="718" spans="1:4" x14ac:dyDescent="0.2">
      <c r="A718" s="5">
        <v>657</v>
      </c>
      <c r="B718" s="138">
        <f>'Expenditures 15-22'!C14</f>
        <v>36742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1053311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36599</v>
      </c>
      <c r="D722" s="2" t="str">
        <f t="shared" si="10"/>
        <v>Error?</v>
      </c>
    </row>
    <row r="723" spans="1:4" x14ac:dyDescent="0.2">
      <c r="A723" s="5">
        <v>662</v>
      </c>
      <c r="B723" s="138">
        <f>'Expenditures 15-22'!C38</f>
        <v>2363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113</v>
      </c>
      <c r="D726" s="2" t="str">
        <f t="shared" si="10"/>
        <v>Error?</v>
      </c>
    </row>
    <row r="727" spans="1:4" x14ac:dyDescent="0.2">
      <c r="A727" s="5">
        <v>666</v>
      </c>
      <c r="B727" s="138">
        <f>'Expenditures 15-22'!C42</f>
        <v>39075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80772</v>
      </c>
      <c r="D733" s="2" t="str">
        <f t="shared" si="10"/>
        <v>Error?</v>
      </c>
    </row>
    <row r="734" spans="1:4" x14ac:dyDescent="0.2">
      <c r="A734" s="5">
        <v>673</v>
      </c>
      <c r="B734" s="138">
        <f>'Expenditures 15-22'!C53</f>
        <v>80772</v>
      </c>
      <c r="C734" s="2" t="s">
        <v>594</v>
      </c>
      <c r="D734" s="2" t="str">
        <f t="shared" si="10"/>
        <v>Error?</v>
      </c>
    </row>
    <row r="735" spans="1:4" x14ac:dyDescent="0.2">
      <c r="A735" s="5">
        <v>674</v>
      </c>
      <c r="B735" s="138">
        <f>'Expenditures 15-22'!C55</f>
        <v>175670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175670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44544</v>
      </c>
      <c r="D739" s="2" t="str">
        <f t="shared" si="10"/>
        <v>Error?</v>
      </c>
    </row>
    <row r="740" spans="1:4" x14ac:dyDescent="0.2">
      <c r="A740" s="5">
        <v>679</v>
      </c>
      <c r="B740" s="138">
        <f>'Expenditures 15-22'!C61</f>
        <v>96877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141421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436938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1490249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168893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9809</v>
      </c>
      <c r="D775" s="2" t="str">
        <f t="shared" si="11"/>
        <v>Error?</v>
      </c>
    </row>
    <row r="776" spans="1:4" x14ac:dyDescent="0.2">
      <c r="A776" s="5">
        <v>715</v>
      </c>
      <c r="B776" s="138">
        <f>'Expenditures 15-22'!D14</f>
        <v>931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205073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10253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10253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248</v>
      </c>
      <c r="D791" s="2" t="str">
        <f t="shared" si="11"/>
        <v>Error?</v>
      </c>
    </row>
    <row r="792" spans="1:4" x14ac:dyDescent="0.2">
      <c r="A792" s="5">
        <v>731</v>
      </c>
      <c r="B792" s="138">
        <f>'Expenditures 15-22'!D53</f>
        <v>248</v>
      </c>
      <c r="C792" s="2" t="s">
        <v>594</v>
      </c>
      <c r="D792" s="2" t="str">
        <f t="shared" si="11"/>
        <v>Error?</v>
      </c>
    </row>
    <row r="793" spans="1:4" x14ac:dyDescent="0.2">
      <c r="A793" s="5">
        <v>732</v>
      </c>
      <c r="B793" s="138">
        <f>'Expenditures 15-22'!D55</f>
        <v>40529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40529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171</v>
      </c>
      <c r="D797" s="2" t="str">
        <f t="shared" si="11"/>
        <v>Error?</v>
      </c>
    </row>
    <row r="798" spans="1:4" x14ac:dyDescent="0.2">
      <c r="A798" s="5">
        <v>737</v>
      </c>
      <c r="B798" s="138">
        <f>'Expenditures 15-22'!D61</f>
        <v>8353</v>
      </c>
      <c r="D798" s="2" t="str">
        <f t="shared" si="11"/>
        <v>Error?</v>
      </c>
    </row>
    <row r="799" spans="1:4" x14ac:dyDescent="0.2">
      <c r="A799" s="5">
        <v>738</v>
      </c>
      <c r="B799" s="138">
        <f>'Expenditures 15-22'!D62</f>
        <v>180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8704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59734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264807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10501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150</v>
      </c>
      <c r="D833" s="2" t="str">
        <f t="shared" si="12"/>
        <v>Error?</v>
      </c>
    </row>
    <row r="834" spans="1:4" x14ac:dyDescent="0.2">
      <c r="A834" s="5">
        <v>773</v>
      </c>
      <c r="B834" s="138">
        <f>'Expenditures 15-22'!E14</f>
        <v>11925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35236</v>
      </c>
      <c r="C836" s="2" t="s">
        <v>594</v>
      </c>
      <c r="D836" s="2" t="str">
        <f t="shared" si="12"/>
        <v>Error?</v>
      </c>
    </row>
    <row r="837" spans="1:4" x14ac:dyDescent="0.2">
      <c r="A837" s="5">
        <v>776</v>
      </c>
      <c r="B837" s="138">
        <f>'Expenditures 15-22'!E36</f>
        <v>275</v>
      </c>
      <c r="D837" s="2" t="str">
        <f t="shared" si="12"/>
        <v>Error?</v>
      </c>
    </row>
    <row r="838" spans="1:4" x14ac:dyDescent="0.2">
      <c r="A838" s="5">
        <v>777</v>
      </c>
      <c r="B838" s="138">
        <f>'Expenditures 15-22'!E37</f>
        <v>95</v>
      </c>
      <c r="D838" s="2" t="str">
        <f t="shared" si="12"/>
        <v>Error?</v>
      </c>
    </row>
    <row r="839" spans="1:4" x14ac:dyDescent="0.2">
      <c r="A839" s="5">
        <v>778</v>
      </c>
      <c r="B839" s="138">
        <f>'Expenditures 15-22'!E38</f>
        <v>1027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1397</v>
      </c>
      <c r="C843" s="2" t="s">
        <v>594</v>
      </c>
      <c r="D843" s="2" t="str">
        <f t="shared" si="12"/>
        <v>Error?</v>
      </c>
    </row>
    <row r="844" spans="1:4" x14ac:dyDescent="0.2">
      <c r="A844" s="5">
        <v>783</v>
      </c>
      <c r="B844" s="138">
        <f>'Expenditures 15-22'!E44</f>
        <v>9112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9112</v>
      </c>
      <c r="C847" s="2" t="s">
        <v>594</v>
      </c>
      <c r="D847" s="2" t="str">
        <f t="shared" si="12"/>
        <v>Error?</v>
      </c>
    </row>
    <row r="848" spans="1:4" x14ac:dyDescent="0.2">
      <c r="A848" s="5">
        <v>787</v>
      </c>
      <c r="B848" s="138">
        <f>'Expenditures 15-22'!E49</f>
        <v>33759</v>
      </c>
      <c r="D848" s="2" t="str">
        <f t="shared" si="12"/>
        <v>Error?</v>
      </c>
    </row>
    <row r="849" spans="1:4" x14ac:dyDescent="0.2">
      <c r="A849" s="5">
        <v>788</v>
      </c>
      <c r="B849" s="138">
        <f>'Expenditures 15-22'!E50</f>
        <v>275</v>
      </c>
      <c r="D849" s="2" t="str">
        <f t="shared" si="12"/>
        <v>Error?</v>
      </c>
    </row>
    <row r="850" spans="1:4" x14ac:dyDescent="0.2">
      <c r="A850" s="5">
        <v>789</v>
      </c>
      <c r="B850" s="138">
        <f>'Expenditures 15-22'!E53</f>
        <v>34034</v>
      </c>
      <c r="C850" s="2" t="s">
        <v>594</v>
      </c>
      <c r="D850" s="2" t="str">
        <f t="shared" si="12"/>
        <v>Error?</v>
      </c>
    </row>
    <row r="851" spans="1:4" x14ac:dyDescent="0.2">
      <c r="A851" s="5">
        <v>790</v>
      </c>
      <c r="B851" s="138">
        <f>'Expenditures 15-22'!E55</f>
        <v>379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140849</v>
      </c>
      <c r="D858" s="2" t="str">
        <f t="shared" si="12"/>
        <v>Error?</v>
      </c>
    </row>
    <row r="859" spans="1:4" x14ac:dyDescent="0.2">
      <c r="A859" s="5">
        <v>798</v>
      </c>
      <c r="B859" s="138">
        <f>'Expenditures 15-22'!E64</f>
        <v>324</v>
      </c>
      <c r="D859" s="2" t="str">
        <f t="shared" si="12"/>
        <v>Error?</v>
      </c>
    </row>
    <row r="860" spans="1:4" x14ac:dyDescent="0.2">
      <c r="A860" s="10">
        <v>799</v>
      </c>
      <c r="D860" s="2" t="str">
        <f t="shared" si="12"/>
        <v>OK</v>
      </c>
    </row>
    <row r="861" spans="1:4" x14ac:dyDescent="0.2">
      <c r="A861" s="5">
        <v>800</v>
      </c>
      <c r="B861" s="138">
        <f>'Expenditures 15-22'!E65</f>
        <v>143072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187994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223230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39878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11784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77102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29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v>
      </c>
      <c r="C905" s="2" t="s">
        <v>594</v>
      </c>
      <c r="D905" s="2" t="str">
        <f t="shared" si="13"/>
        <v>Error?</v>
      </c>
    </row>
    <row r="906" spans="1:4" x14ac:dyDescent="0.2">
      <c r="A906" s="5">
        <v>845</v>
      </c>
      <c r="B906" s="138">
        <f>'Expenditures 15-22'!F49</f>
        <v>1753</v>
      </c>
      <c r="D906" s="2" t="str">
        <f t="shared" si="13"/>
        <v>Error?</v>
      </c>
    </row>
    <row r="907" spans="1:4" x14ac:dyDescent="0.2">
      <c r="A907" s="5">
        <v>846</v>
      </c>
      <c r="B907" s="138">
        <f>'Expenditures 15-22'!F50</f>
        <v>272</v>
      </c>
      <c r="D907" s="2" t="str">
        <f t="shared" si="13"/>
        <v>Error?</v>
      </c>
    </row>
    <row r="908" spans="1:4" x14ac:dyDescent="0.2">
      <c r="A908" s="5">
        <v>847</v>
      </c>
      <c r="B908" s="138">
        <f>'Expenditures 15-22'!F53</f>
        <v>2025</v>
      </c>
      <c r="C908" s="2" t="s">
        <v>594</v>
      </c>
      <c r="D908" s="2" t="str">
        <f t="shared" si="13"/>
        <v>Error?</v>
      </c>
    </row>
    <row r="909" spans="1:4" x14ac:dyDescent="0.2">
      <c r="A909" s="5">
        <v>848</v>
      </c>
      <c r="B909" s="138">
        <f>'Expenditures 15-22'!F55</f>
        <v>269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933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v>
      </c>
      <c r="D916" s="2" t="str">
        <f t="shared" si="13"/>
        <v>Error?</v>
      </c>
    </row>
    <row r="917" spans="1:4" x14ac:dyDescent="0.2">
      <c r="A917" s="5">
        <v>856</v>
      </c>
      <c r="B917" s="138">
        <f>'Expenditures 15-22'!F64</f>
        <v>2210</v>
      </c>
      <c r="D917" s="2" t="str">
        <f t="shared" si="13"/>
        <v>Error?</v>
      </c>
    </row>
    <row r="918" spans="1:4" x14ac:dyDescent="0.2">
      <c r="A918" s="10">
        <v>857</v>
      </c>
      <c r="D918" s="2" t="str">
        <f t="shared" si="13"/>
        <v>OK</v>
      </c>
    </row>
    <row r="919" spans="1:4" x14ac:dyDescent="0.2">
      <c r="A919" s="5">
        <v>858</v>
      </c>
      <c r="B919" s="138">
        <f>'Expenditures 15-22'!F65</f>
        <v>3193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5516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82618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73744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1576</v>
      </c>
      <c r="D1022" s="2" t="str">
        <f t="shared" si="14"/>
        <v>Error?</v>
      </c>
    </row>
    <row r="1023" spans="1:4" x14ac:dyDescent="0.2">
      <c r="A1023" s="5">
        <v>962</v>
      </c>
      <c r="B1023" s="138">
        <f>'Expenditures 15-22'!H50</f>
        <v>1500</v>
      </c>
      <c r="D1023" s="2" t="str">
        <f t="shared" ref="D1023:D1086" si="15">IF(ISBLANK(B1023),"OK",IF(A1023-B1023=0,"OK","Error?"))</f>
        <v>Error?</v>
      </c>
    </row>
    <row r="1024" spans="1:4" x14ac:dyDescent="0.2">
      <c r="A1024" s="5">
        <v>963</v>
      </c>
      <c r="B1024" s="138">
        <f>'Expenditures 15-22'!H53</f>
        <v>3076</v>
      </c>
      <c r="C1024" s="2" t="s">
        <v>594</v>
      </c>
      <c r="D1024" s="2" t="str">
        <f t="shared" si="15"/>
        <v>Error?</v>
      </c>
    </row>
    <row r="1025" spans="1:4" x14ac:dyDescent="0.2">
      <c r="A1025" s="5">
        <v>964</v>
      </c>
      <c r="B1025" s="138">
        <f>'Expenditures 15-22'!H55</f>
        <v>670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3746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335831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413321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1036324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42994</v>
      </c>
      <c r="C1105" s="2" t="s">
        <v>594</v>
      </c>
      <c r="D1105" s="2" t="str">
        <f t="shared" si="16"/>
        <v>Error?</v>
      </c>
    </row>
    <row r="1106" spans="1:4" x14ac:dyDescent="0.2">
      <c r="A1106" s="5">
        <v>1045</v>
      </c>
      <c r="B1106" s="138">
        <f>'Expenditures 15-22'!K14</f>
        <v>64760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1445266</v>
      </c>
      <c r="C1108" s="2" t="s">
        <v>594</v>
      </c>
      <c r="D1108" s="2" t="str">
        <f t="shared" si="16"/>
        <v>Error?</v>
      </c>
    </row>
    <row r="1109" spans="1:4" x14ac:dyDescent="0.2">
      <c r="A1109" s="5">
        <v>1048</v>
      </c>
      <c r="B1109" s="138">
        <f>'Expenditures 15-22'!K36</f>
        <v>275</v>
      </c>
      <c r="C1109" s="2" t="s">
        <v>594</v>
      </c>
      <c r="D1109" s="2" t="str">
        <f t="shared" si="16"/>
        <v>Error?</v>
      </c>
    </row>
    <row r="1110" spans="1:4" x14ac:dyDescent="0.2">
      <c r="A1110" s="5">
        <v>1049</v>
      </c>
      <c r="B1110" s="138">
        <f>'Expenditures 15-22'!K37</f>
        <v>46947</v>
      </c>
      <c r="C1110" s="2" t="s">
        <v>594</v>
      </c>
      <c r="D1110" s="2" t="str">
        <f t="shared" si="16"/>
        <v>Error?</v>
      </c>
    </row>
    <row r="1111" spans="1:4" x14ac:dyDescent="0.2">
      <c r="A1111" s="5">
        <v>1050</v>
      </c>
      <c r="B1111" s="138">
        <f>'Expenditures 15-22'!K38</f>
        <v>3390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113</v>
      </c>
      <c r="C1114" s="2" t="s">
        <v>594</v>
      </c>
      <c r="D1114" s="2" t="str">
        <f t="shared" si="16"/>
        <v>Error?</v>
      </c>
    </row>
    <row r="1115" spans="1:4" x14ac:dyDescent="0.2">
      <c r="A1115" s="5">
        <v>1054</v>
      </c>
      <c r="B1115" s="138">
        <f>'Expenditures 15-22'!K42</f>
        <v>50725</v>
      </c>
      <c r="C1115" s="2" t="s">
        <v>594</v>
      </c>
      <c r="D1115" s="2" t="str">
        <f t="shared" si="16"/>
        <v>Error?</v>
      </c>
    </row>
    <row r="1116" spans="1:4" x14ac:dyDescent="0.2">
      <c r="A1116" s="5">
        <v>1055</v>
      </c>
      <c r="B1116" s="138">
        <f>'Expenditures 15-22'!K44</f>
        <v>9141</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9141</v>
      </c>
      <c r="C1119" s="2" t="s">
        <v>594</v>
      </c>
      <c r="D1119" s="2" t="str">
        <f t="shared" si="16"/>
        <v>Error?</v>
      </c>
    </row>
    <row r="1120" spans="1:4" x14ac:dyDescent="0.2">
      <c r="A1120" s="5">
        <v>1059</v>
      </c>
      <c r="B1120" s="138">
        <f>'Expenditures 15-22'!K49</f>
        <v>37088</v>
      </c>
      <c r="C1120" s="2" t="s">
        <v>594</v>
      </c>
      <c r="D1120" s="2" t="str">
        <f t="shared" si="16"/>
        <v>Error?</v>
      </c>
    </row>
    <row r="1121" spans="1:4" x14ac:dyDescent="0.2">
      <c r="A1121" s="5">
        <v>1060</v>
      </c>
      <c r="B1121" s="138">
        <f>'Expenditures 15-22'!K50</f>
        <v>83067</v>
      </c>
      <c r="C1121" s="2" t="s">
        <v>594</v>
      </c>
      <c r="D1121" s="2" t="str">
        <f t="shared" si="16"/>
        <v>Error?</v>
      </c>
    </row>
    <row r="1122" spans="1:4" x14ac:dyDescent="0.2">
      <c r="A1122" s="5">
        <v>1061</v>
      </c>
      <c r="B1122" s="138">
        <f>'Expenditures 15-22'!K53</f>
        <v>120155</v>
      </c>
      <c r="C1122" s="2" t="s">
        <v>594</v>
      </c>
      <c r="D1122" s="2" t="str">
        <f t="shared" si="16"/>
        <v>Error?</v>
      </c>
    </row>
    <row r="1123" spans="1:4" x14ac:dyDescent="0.2">
      <c r="A1123" s="5">
        <v>1062</v>
      </c>
      <c r="B1123" s="138">
        <f>'Expenditures 15-22'!K55</f>
        <v>217517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217517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47547</v>
      </c>
      <c r="C1127" s="2" t="s">
        <v>594</v>
      </c>
      <c r="D1127" s="2" t="str">
        <f t="shared" si="16"/>
        <v>Error?</v>
      </c>
    </row>
    <row r="1128" spans="1:4" x14ac:dyDescent="0.2">
      <c r="A1128" s="5">
        <v>1067</v>
      </c>
      <c r="B1128" s="138">
        <f>'Expenditures 15-22'!K61</f>
        <v>105230</v>
      </c>
      <c r="C1128" s="2" t="s">
        <v>594</v>
      </c>
      <c r="D1128" s="2" t="str">
        <f t="shared" si="16"/>
        <v>Error?</v>
      </c>
    </row>
    <row r="1129" spans="1:4" x14ac:dyDescent="0.2">
      <c r="A1129" s="5">
        <v>1068</v>
      </c>
      <c r="B1129" s="138">
        <f>'Expenditures 15-22'!K62</f>
        <v>180</v>
      </c>
      <c r="C1129" s="2" t="s">
        <v>594</v>
      </c>
      <c r="D1129" s="2" t="str">
        <f t="shared" si="16"/>
        <v>Error?</v>
      </c>
    </row>
    <row r="1130" spans="1:4" x14ac:dyDescent="0.2">
      <c r="A1130" s="5">
        <v>1069</v>
      </c>
      <c r="B1130" s="138">
        <f>'Expenditures 15-22'!K63</f>
        <v>140899</v>
      </c>
      <c r="C1130" s="2" t="s">
        <v>594</v>
      </c>
      <c r="D1130" s="2" t="str">
        <f t="shared" si="16"/>
        <v>Error?</v>
      </c>
    </row>
    <row r="1131" spans="1:4" x14ac:dyDescent="0.2">
      <c r="A1131" s="5">
        <v>1070</v>
      </c>
      <c r="B1131" s="138">
        <f>'Expenditures 15-22'!K64</f>
        <v>2534</v>
      </c>
      <c r="C1131" s="2" t="s">
        <v>594</v>
      </c>
      <c r="D1131" s="2" t="str">
        <f t="shared" si="16"/>
        <v>Error?</v>
      </c>
    </row>
    <row r="1132" spans="1:4" x14ac:dyDescent="0.2">
      <c r="A1132" s="10">
        <v>1071</v>
      </c>
      <c r="D1132" s="2" t="str">
        <f t="shared" si="16"/>
        <v>OK</v>
      </c>
    </row>
    <row r="1133" spans="1:4" x14ac:dyDescent="0.2">
      <c r="A1133" s="5">
        <v>1072</v>
      </c>
      <c r="B1133" s="138">
        <f>'Expenditures 15-22'!K65</f>
        <v>296390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693928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335831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2475025</v>
      </c>
      <c r="C1152" s="2" t="s">
        <v>594</v>
      </c>
      <c r="D1152" s="2" t="str">
        <f t="shared" si="17"/>
        <v>Error?</v>
      </c>
    </row>
    <row r="1153" spans="1:4" x14ac:dyDescent="0.2">
      <c r="A1153" s="5">
        <v>1092</v>
      </c>
      <c r="B1153" s="138">
        <f>'Expenditures 15-22'!K115</f>
        <v>428307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27926</v>
      </c>
      <c r="D1237" s="2" t="str">
        <f t="shared" si="18"/>
        <v>Error?</v>
      </c>
    </row>
    <row r="1238" spans="1:4" x14ac:dyDescent="0.2">
      <c r="A1238" s="10">
        <v>1177</v>
      </c>
      <c r="D1238" s="2" t="str">
        <f t="shared" si="18"/>
        <v>OK</v>
      </c>
    </row>
    <row r="1239" spans="1:4" x14ac:dyDescent="0.2">
      <c r="A1239" s="5">
        <v>1178</v>
      </c>
      <c r="B1239" s="138">
        <f>'Expenditures 15-22'!E127</f>
        <v>27926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27926</v>
      </c>
      <c r="C1241" s="2" t="s">
        <v>594</v>
      </c>
      <c r="D1241" s="2" t="str">
        <f t="shared" si="18"/>
        <v>Error?</v>
      </c>
    </row>
    <row r="1242" spans="1:4" x14ac:dyDescent="0.2">
      <c r="A1242" s="5">
        <v>1181</v>
      </c>
      <c r="B1242" s="138">
        <f>'Expenditures 15-22'!E151</f>
        <v>27926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78801</v>
      </c>
      <c r="D1245" s="2" t="str">
        <f t="shared" si="18"/>
        <v>Error?</v>
      </c>
    </row>
    <row r="1246" spans="1:4" x14ac:dyDescent="0.2">
      <c r="A1246" s="10">
        <v>1185</v>
      </c>
      <c r="D1246" s="2" t="str">
        <f t="shared" si="18"/>
        <v>OK</v>
      </c>
    </row>
    <row r="1247" spans="1:4" x14ac:dyDescent="0.2">
      <c r="A1247" s="5">
        <v>1186</v>
      </c>
      <c r="B1247" s="138">
        <f>'Expenditures 15-22'!F127</f>
        <v>78801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78801</v>
      </c>
      <c r="C1249" s="2" t="s">
        <v>594</v>
      </c>
      <c r="D1249" s="2" t="str">
        <f t="shared" si="18"/>
        <v>Error?</v>
      </c>
    </row>
    <row r="1250" spans="1:4" x14ac:dyDescent="0.2">
      <c r="A1250" s="5">
        <v>1189</v>
      </c>
      <c r="B1250" s="138">
        <f>'Expenditures 15-22'!F151</f>
        <v>78801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106727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106727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106727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106727</v>
      </c>
      <c r="C1288" s="2" t="s">
        <v>594</v>
      </c>
      <c r="D1288" s="2" t="str">
        <f t="shared" si="19"/>
        <v>Error?</v>
      </c>
    </row>
    <row r="1289" spans="1:4" x14ac:dyDescent="0.2">
      <c r="A1289" s="5">
        <v>1228</v>
      </c>
      <c r="B1289" s="138">
        <f>'Expenditures 15-22'!K152</f>
        <v>13657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65997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75000</v>
      </c>
      <c r="D1315" s="2" t="str">
        <f t="shared" si="19"/>
        <v>Error?</v>
      </c>
    </row>
    <row r="1316" spans="1:4" x14ac:dyDescent="0.2">
      <c r="A1316" s="5">
        <v>1255</v>
      </c>
      <c r="B1316" s="138">
        <f>'Expenditures 15-22'!H171</f>
        <v>1100</v>
      </c>
      <c r="D1316" s="2" t="str">
        <f t="shared" si="19"/>
        <v>Error?</v>
      </c>
    </row>
    <row r="1317" spans="1:4" x14ac:dyDescent="0.2">
      <c r="A1317" s="5">
        <v>1256</v>
      </c>
      <c r="B1317" s="138">
        <f>'Expenditures 15-22'!H172</f>
        <v>142097</v>
      </c>
      <c r="C1317" s="2" t="s">
        <v>594</v>
      </c>
      <c r="D1317" s="2" t="str">
        <f t="shared" si="19"/>
        <v>Error?</v>
      </c>
    </row>
    <row r="1318" spans="1:4" x14ac:dyDescent="0.2">
      <c r="A1318" s="5">
        <v>1257</v>
      </c>
      <c r="B1318" s="138">
        <f>'Expenditures 15-22'!H174</f>
        <v>142097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65997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75000</v>
      </c>
      <c r="C1329" s="2" t="s">
        <v>594</v>
      </c>
      <c r="D1329" s="2" t="str">
        <f t="shared" si="19"/>
        <v>Error?</v>
      </c>
    </row>
    <row r="1330" spans="1:4" x14ac:dyDescent="0.2">
      <c r="A1330" s="5">
        <v>1269</v>
      </c>
      <c r="B1330" s="138">
        <f>'Expenditures 15-22'!K171</f>
        <v>1100</v>
      </c>
      <c r="C1330" s="2" t="s">
        <v>594</v>
      </c>
      <c r="D1330" s="2" t="str">
        <f t="shared" si="19"/>
        <v>Error?</v>
      </c>
    </row>
    <row r="1331" spans="1:4" x14ac:dyDescent="0.2">
      <c r="A1331" s="5">
        <v>1270</v>
      </c>
      <c r="B1331" s="138">
        <f>'Expenditures 15-22'!K172</f>
        <v>142097</v>
      </c>
      <c r="C1331" s="2" t="s">
        <v>594</v>
      </c>
      <c r="D1331" s="2" t="str">
        <f t="shared" si="19"/>
        <v>Error?</v>
      </c>
    </row>
    <row r="1332" spans="1:4" x14ac:dyDescent="0.2">
      <c r="A1332" s="5">
        <v>1271</v>
      </c>
      <c r="B1332" s="138">
        <f>'Expenditures 15-22'!K174</f>
        <v>142097</v>
      </c>
      <c r="C1332" s="2" t="s">
        <v>594</v>
      </c>
      <c r="D1332" s="2" t="str">
        <f t="shared" si="19"/>
        <v>Error?</v>
      </c>
    </row>
    <row r="1333" spans="1:4" x14ac:dyDescent="0.2">
      <c r="A1333" s="5">
        <v>1272</v>
      </c>
      <c r="B1333" s="138">
        <f>'Expenditures 15-22'!K175</f>
        <v>142</v>
      </c>
      <c r="C1333" s="2" t="s">
        <v>594</v>
      </c>
      <c r="D1333" s="2" t="str">
        <f t="shared" si="19"/>
        <v>Error?</v>
      </c>
    </row>
    <row r="1334" spans="1:4" x14ac:dyDescent="0.2">
      <c r="A1334" s="10">
        <v>1273</v>
      </c>
      <c r="D1334" s="2" t="str">
        <f t="shared" si="19"/>
        <v>OK</v>
      </c>
    </row>
    <row r="1335" spans="1:4" x14ac:dyDescent="0.2">
      <c r="A1335" s="5">
        <v>1274</v>
      </c>
      <c r="B1335" s="138">
        <f>'Expenditures 15-22'!C182</f>
        <v>70774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70774</v>
      </c>
      <c r="C1339" s="2" t="s">
        <v>594</v>
      </c>
      <c r="D1339" s="2" t="str">
        <f t="shared" si="19"/>
        <v>Error?</v>
      </c>
    </row>
    <row r="1340" spans="1:4" x14ac:dyDescent="0.2">
      <c r="A1340" s="5">
        <v>1279</v>
      </c>
      <c r="B1340" s="138">
        <f>'Expenditures 15-22'!C210</f>
        <v>70774</v>
      </c>
      <c r="C1340" s="2" t="s">
        <v>594</v>
      </c>
      <c r="D1340" s="2" t="str">
        <f t="shared" si="19"/>
        <v>Error?</v>
      </c>
    </row>
    <row r="1341" spans="1:4" x14ac:dyDescent="0.2">
      <c r="A1341" s="5">
        <v>1280</v>
      </c>
      <c r="B1341" s="138">
        <f>'Expenditures 15-22'!D182</f>
        <v>169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169</v>
      </c>
      <c r="C1345" s="2" t="s">
        <v>594</v>
      </c>
      <c r="D1345" s="2" t="str">
        <f t="shared" si="20"/>
        <v>Error?</v>
      </c>
    </row>
    <row r="1346" spans="1:4" x14ac:dyDescent="0.2">
      <c r="A1346" s="5">
        <v>1285</v>
      </c>
      <c r="B1346" s="138">
        <f>'Expenditures 15-22'!D210</f>
        <v>169</v>
      </c>
      <c r="C1346" s="2" t="s">
        <v>594</v>
      </c>
      <c r="D1346" s="2" t="str">
        <f t="shared" si="20"/>
        <v>Error?</v>
      </c>
    </row>
    <row r="1347" spans="1:4" x14ac:dyDescent="0.2">
      <c r="A1347" s="5">
        <v>1286</v>
      </c>
      <c r="B1347" s="138">
        <f>'Expenditures 15-22'!E182</f>
        <v>17700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17700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17700</v>
      </c>
      <c r="C1353" s="2" t="s">
        <v>594</v>
      </c>
      <c r="D1353" s="2" t="str">
        <f t="shared" si="20"/>
        <v>Error?</v>
      </c>
    </row>
    <row r="1354" spans="1:4" x14ac:dyDescent="0.2">
      <c r="A1354" s="5">
        <v>1293</v>
      </c>
      <c r="B1354" s="138">
        <f>'Expenditures 15-22'!F182</f>
        <v>20512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20512</v>
      </c>
      <c r="C1358" s="2" t="s">
        <v>594</v>
      </c>
      <c r="D1358" s="2" t="str">
        <f t="shared" si="20"/>
        <v>Error?</v>
      </c>
    </row>
    <row r="1359" spans="1:4" x14ac:dyDescent="0.2">
      <c r="A1359" s="5">
        <v>1298</v>
      </c>
      <c r="B1359" s="138">
        <f>'Expenditures 15-22'!F210</f>
        <v>20512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891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891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891</v>
      </c>
      <c r="C1376" s="2" t="s">
        <v>594</v>
      </c>
      <c r="D1376" s="2" t="str">
        <f t="shared" si="20"/>
        <v>Error?</v>
      </c>
    </row>
    <row r="1377" spans="1:4" x14ac:dyDescent="0.2">
      <c r="A1377" s="5">
        <v>1316</v>
      </c>
      <c r="B1377" s="138">
        <f>'Expenditures 15-22'!K182</f>
        <v>110046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110046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110046</v>
      </c>
      <c r="C1388" s="2" t="s">
        <v>594</v>
      </c>
      <c r="D1388" s="2" t="str">
        <f t="shared" si="20"/>
        <v>Error?</v>
      </c>
    </row>
    <row r="1389" spans="1:4" x14ac:dyDescent="0.2">
      <c r="A1389" s="5">
        <v>1328</v>
      </c>
      <c r="B1389" s="138">
        <f>'Expenditures 15-22'!K211</f>
        <v>38445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479</v>
      </c>
      <c r="D1407" s="2" t="str">
        <f t="shared" ref="D1407:D1470" si="21">IF(ISBLANK(B1407),"OK",IF(A1407-B1407=0,"OK","Error?"))</f>
        <v>Error?</v>
      </c>
    </row>
    <row r="1408" spans="1:4" x14ac:dyDescent="0.2">
      <c r="A1408" s="5">
        <v>1347</v>
      </c>
      <c r="B1408" s="138">
        <f>'Expenditures 15-22'!D223</f>
        <v>2340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34989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531</v>
      </c>
      <c r="D1412" s="2" t="str">
        <f t="shared" si="21"/>
        <v>Error?</v>
      </c>
    </row>
    <row r="1413" spans="1:4" x14ac:dyDescent="0.2">
      <c r="A1413" s="5">
        <v>1352</v>
      </c>
      <c r="B1413" s="138">
        <f>'Expenditures 15-22'!D234</f>
        <v>180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9</v>
      </c>
      <c r="D1416" s="2" t="str">
        <f t="shared" si="21"/>
        <v>Error?</v>
      </c>
    </row>
    <row r="1417" spans="1:4" x14ac:dyDescent="0.2">
      <c r="A1417" s="5">
        <v>1356</v>
      </c>
      <c r="B1417" s="138">
        <f>'Expenditures 15-22'!D238</f>
        <v>720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5172</v>
      </c>
      <c r="D1423" s="2" t="str">
        <f t="shared" si="21"/>
        <v>Error?</v>
      </c>
    </row>
    <row r="1424" spans="1:4" x14ac:dyDescent="0.2">
      <c r="A1424" s="5">
        <v>1363</v>
      </c>
      <c r="B1424" s="138">
        <f>'Expenditures 15-22'!D257</f>
        <v>5172</v>
      </c>
      <c r="C1424" s="2" t="s">
        <v>594</v>
      </c>
      <c r="D1424" s="2" t="str">
        <f t="shared" si="21"/>
        <v>Error?</v>
      </c>
    </row>
    <row r="1425" spans="1:4" x14ac:dyDescent="0.2">
      <c r="A1425" s="5">
        <v>1364</v>
      </c>
      <c r="B1425" s="138">
        <f>'Expenditures 15-22'!D259</f>
        <v>11059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11059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9150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18644</v>
      </c>
      <c r="D1431" s="2" t="str">
        <f t="shared" si="21"/>
        <v>Error?</v>
      </c>
    </row>
    <row r="1432" spans="1:4" x14ac:dyDescent="0.2">
      <c r="A1432" s="5">
        <v>1371</v>
      </c>
      <c r="B1432" s="138">
        <f>'Expenditures 15-22'!D267</f>
        <v>13121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40915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57866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92855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479</v>
      </c>
      <c r="C1471" s="2" t="s">
        <v>594</v>
      </c>
      <c r="D1471" s="2" t="str">
        <f t="shared" ref="D1471:D1534" si="22">IF(ISBLANK(B1471),"OK",IF(A1471-B1471=0,"OK","Error?"))</f>
        <v>Error?</v>
      </c>
    </row>
    <row r="1472" spans="1:4" x14ac:dyDescent="0.2">
      <c r="A1472" s="5">
        <v>1411</v>
      </c>
      <c r="B1472" s="138">
        <f>'Expenditures 15-22'!K223</f>
        <v>2340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34989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531</v>
      </c>
      <c r="C1476" s="2" t="s">
        <v>594</v>
      </c>
      <c r="D1476" s="2" t="str">
        <f t="shared" si="22"/>
        <v>Error?</v>
      </c>
    </row>
    <row r="1477" spans="1:4" x14ac:dyDescent="0.2">
      <c r="A1477" s="5">
        <v>1416</v>
      </c>
      <c r="B1477" s="138">
        <f>'Expenditures 15-22'!K234</f>
        <v>180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9</v>
      </c>
      <c r="C1480" s="2" t="s">
        <v>594</v>
      </c>
      <c r="D1480" s="2" t="str">
        <f t="shared" si="22"/>
        <v>Error?</v>
      </c>
    </row>
    <row r="1481" spans="1:4" x14ac:dyDescent="0.2">
      <c r="A1481" s="5">
        <v>1420</v>
      </c>
      <c r="B1481" s="138">
        <f>'Expenditures 15-22'!K238</f>
        <v>720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5172</v>
      </c>
      <c r="C1487" s="2" t="s">
        <v>594</v>
      </c>
      <c r="D1487" s="2" t="str">
        <f t="shared" si="22"/>
        <v>Error?</v>
      </c>
    </row>
    <row r="1488" spans="1:4" x14ac:dyDescent="0.2">
      <c r="A1488" s="5">
        <v>1427</v>
      </c>
      <c r="B1488" s="138">
        <f>'Expenditures 15-22'!K257</f>
        <v>5172</v>
      </c>
      <c r="C1488" s="2" t="s">
        <v>594</v>
      </c>
      <c r="D1488" s="2" t="str">
        <f t="shared" si="22"/>
        <v>Error?</v>
      </c>
    </row>
    <row r="1489" spans="1:4" x14ac:dyDescent="0.2">
      <c r="A1489" s="5">
        <v>1428</v>
      </c>
      <c r="B1489" s="138">
        <f>'Expenditures 15-22'!K259</f>
        <v>11059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11059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9150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18644</v>
      </c>
      <c r="C1495" s="2" t="s">
        <v>594</v>
      </c>
      <c r="D1495" s="2" t="str">
        <f t="shared" si="22"/>
        <v>Error?</v>
      </c>
    </row>
    <row r="1496" spans="1:4" x14ac:dyDescent="0.2">
      <c r="A1496" s="5">
        <v>1435</v>
      </c>
      <c r="B1496" s="138">
        <f>'Expenditures 15-22'!K267</f>
        <v>13121</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40915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57866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92855</v>
      </c>
      <c r="C1517" s="2" t="s">
        <v>594</v>
      </c>
      <c r="D1517" s="2" t="str">
        <f t="shared" si="22"/>
        <v>Error?</v>
      </c>
    </row>
    <row r="1518" spans="1:4" x14ac:dyDescent="0.2">
      <c r="A1518" s="5">
        <v>1457</v>
      </c>
      <c r="B1518" s="138">
        <f>'Expenditures 15-22'!K296</f>
        <v>1072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13017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13017</v>
      </c>
      <c r="C1535" s="2" t="s">
        <v>594</v>
      </c>
      <c r="D1535" s="2" t="str">
        <f t="shared" ref="D1535:D1598" si="23">IF(ISBLANK(B1535),"OK",IF(A1535-B1535=0,"OK","Error?"))</f>
        <v>Error?</v>
      </c>
    </row>
    <row r="1536" spans="1:4" x14ac:dyDescent="0.2">
      <c r="A1536" s="5">
        <v>1475</v>
      </c>
      <c r="B1536" s="138">
        <f>'Expenditures 15-22'!E312</f>
        <v>13017</v>
      </c>
      <c r="C1536" s="2" t="s">
        <v>594</v>
      </c>
      <c r="D1536" s="2" t="str">
        <f t="shared" si="23"/>
        <v>Error?</v>
      </c>
    </row>
    <row r="1537" spans="1:4" x14ac:dyDescent="0.2">
      <c r="A1537" s="5">
        <v>1476</v>
      </c>
      <c r="B1537" s="138">
        <f>'Expenditures 15-22'!F301</f>
        <v>188054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188054</v>
      </c>
      <c r="C1541" s="2" t="s">
        <v>594</v>
      </c>
      <c r="D1541" s="2" t="str">
        <f t="shared" si="23"/>
        <v>Error?</v>
      </c>
    </row>
    <row r="1542" spans="1:4" x14ac:dyDescent="0.2">
      <c r="A1542" s="5">
        <v>1481</v>
      </c>
      <c r="B1542" s="138">
        <f>'Expenditures 15-22'!F312</f>
        <v>188054</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201071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201071</v>
      </c>
      <c r="C1559" s="2" t="s">
        <v>594</v>
      </c>
      <c r="D1559" s="2" t="str">
        <f t="shared" si="23"/>
        <v>Error?</v>
      </c>
    </row>
    <row r="1560" spans="1:4" x14ac:dyDescent="0.2">
      <c r="A1560" s="5">
        <v>1499</v>
      </c>
      <c r="B1560" s="138">
        <f>'Expenditures 15-22'!K312</f>
        <v>201071</v>
      </c>
      <c r="C1560" s="2" t="s">
        <v>594</v>
      </c>
      <c r="D1560" s="2" t="str">
        <f t="shared" si="23"/>
        <v>Error?</v>
      </c>
    </row>
    <row r="1561" spans="1:4" x14ac:dyDescent="0.2">
      <c r="A1561" s="5">
        <v>1500</v>
      </c>
      <c r="B1561" s="138">
        <f>'Expenditures 15-22'!K313</f>
        <v>-63640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461571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889878</v>
      </c>
      <c r="C1630" s="2" t="s">
        <v>594</v>
      </c>
      <c r="D1630" s="2" t="str">
        <f t="shared" si="24"/>
        <v>Error?</v>
      </c>
    </row>
    <row r="1631" spans="1:4" x14ac:dyDescent="0.2">
      <c r="A1631" s="5">
        <v>1570</v>
      </c>
      <c r="B1631" s="138">
        <f>'Acct Summary 7-8'!D79</f>
        <v>76691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90348</v>
      </c>
      <c r="C1644" s="2" t="s">
        <v>594</v>
      </c>
      <c r="D1644" s="2" t="str">
        <f t="shared" si="24"/>
        <v>Error?</v>
      </c>
    </row>
    <row r="1645" spans="1:4" x14ac:dyDescent="0.2">
      <c r="A1645" s="5">
        <v>1584</v>
      </c>
      <c r="B1645" s="138">
        <f>'Acct Summary 7-8'!E79</f>
        <v>42155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42297</v>
      </c>
      <c r="C1658" s="2" t="s">
        <v>594</v>
      </c>
      <c r="D1658" s="2" t="str">
        <f t="shared" si="24"/>
        <v>Error?</v>
      </c>
    </row>
    <row r="1659" spans="1:4" x14ac:dyDescent="0.2">
      <c r="A1659" s="5">
        <v>1598</v>
      </c>
      <c r="B1659" s="138">
        <f>'Acct Summary 7-8'!F79</f>
        <v>253842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292287</v>
      </c>
      <c r="C1672" s="2" t="s">
        <v>594</v>
      </c>
      <c r="D1672" s="2" t="str">
        <f t="shared" si="25"/>
        <v>Error?</v>
      </c>
    </row>
    <row r="1673" spans="1:4" x14ac:dyDescent="0.2">
      <c r="A1673" s="5">
        <v>1612</v>
      </c>
      <c r="B1673" s="138">
        <f>'Acct Summary 7-8'!G79</f>
        <v>64613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65685</v>
      </c>
      <c r="C1686" s="2" t="s">
        <v>594</v>
      </c>
      <c r="D1686" s="2" t="str">
        <f t="shared" si="25"/>
        <v>Error?</v>
      </c>
    </row>
    <row r="1687" spans="1:4" x14ac:dyDescent="0.2">
      <c r="A1687" s="5">
        <v>1626</v>
      </c>
      <c r="B1687" s="138">
        <f>'Acct Summary 7-8'!H79</f>
        <v>172205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108565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479013</v>
      </c>
      <c r="C1744" s="2" t="s">
        <v>594</v>
      </c>
      <c r="D1744" s="2" t="str">
        <f t="shared" si="26"/>
        <v>Error?</v>
      </c>
    </row>
    <row r="1745" spans="1:5" x14ac:dyDescent="0.2">
      <c r="A1745" s="5">
        <v>1684</v>
      </c>
      <c r="B1745" s="138">
        <f>'Tax Sched 23'!B5</f>
        <v>87133</v>
      </c>
      <c r="C1745" s="2" t="s">
        <v>594</v>
      </c>
      <c r="D1745" s="2" t="str">
        <f t="shared" si="26"/>
        <v>Error?</v>
      </c>
    </row>
    <row r="1746" spans="1:5" x14ac:dyDescent="0.2">
      <c r="A1746" s="5">
        <v>1685</v>
      </c>
      <c r="B1746" s="138">
        <f>'Tax Sched 23'!B6</f>
        <v>139786</v>
      </c>
      <c r="C1746" s="2" t="s">
        <v>594</v>
      </c>
      <c r="D1746" s="2" t="str">
        <f t="shared" si="26"/>
        <v>Error?</v>
      </c>
    </row>
    <row r="1747" spans="1:5" x14ac:dyDescent="0.2">
      <c r="A1747" s="5">
        <v>1686</v>
      </c>
      <c r="B1747" s="138">
        <f>'Tax Sched 23'!B7</f>
        <v>55035</v>
      </c>
      <c r="C1747" s="2" t="s">
        <v>594</v>
      </c>
      <c r="D1747" s="2" t="str">
        <f t="shared" si="26"/>
        <v>Error?</v>
      </c>
    </row>
    <row r="1748" spans="1:5" x14ac:dyDescent="0.2">
      <c r="A1748" s="5">
        <v>1687</v>
      </c>
      <c r="B1748" s="138">
        <f>'Tax Sched 23'!B8</f>
        <v>20999</v>
      </c>
      <c r="C1748" s="2" t="s">
        <v>594</v>
      </c>
      <c r="D1748" s="2" t="str">
        <f t="shared" si="26"/>
        <v>Error?</v>
      </c>
    </row>
    <row r="1749" spans="1:5" x14ac:dyDescent="0.2">
      <c r="A1749" s="5">
        <v>1688</v>
      </c>
      <c r="B1749" s="138">
        <f>'Tax Sched 23'!B10</f>
        <v>4925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34694</v>
      </c>
      <c r="C1752" s="2" t="s">
        <v>594</v>
      </c>
      <c r="D1752" s="2" t="str">
        <f t="shared" si="26"/>
        <v>Error?</v>
      </c>
    </row>
    <row r="1753" spans="1:5" x14ac:dyDescent="0.2">
      <c r="A1753" s="5">
        <v>1692</v>
      </c>
      <c r="B1753" s="138">
        <f>'Tax Sched 23'!B12</f>
        <v>9918</v>
      </c>
      <c r="C1753" s="2" t="s">
        <v>594</v>
      </c>
      <c r="D1753" s="2" t="str">
        <f t="shared" si="26"/>
        <v>Error?</v>
      </c>
    </row>
    <row r="1754" spans="1:5" x14ac:dyDescent="0.2">
      <c r="A1754" s="5">
        <v>1693</v>
      </c>
      <c r="B1754" s="138">
        <f>'Tax Sched 23'!B14</f>
        <v>10828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865863</v>
      </c>
      <c r="C1759" s="2" t="s">
        <v>594</v>
      </c>
      <c r="D1759" s="2" t="str">
        <f t="shared" si="26"/>
        <v>Error?</v>
      </c>
    </row>
    <row r="1760" spans="1:5" x14ac:dyDescent="0.2">
      <c r="A1760" s="5">
        <v>1699</v>
      </c>
      <c r="B1760" s="138">
        <f>'Tax Sched 23'!D4</f>
        <v>479013</v>
      </c>
      <c r="C1760" s="2" t="s">
        <v>594</v>
      </c>
      <c r="D1760" s="2" t="str">
        <f t="shared" si="26"/>
        <v>Error?</v>
      </c>
    </row>
    <row r="1761" spans="1:5" x14ac:dyDescent="0.2">
      <c r="A1761" s="5">
        <v>1700</v>
      </c>
      <c r="B1761" s="138">
        <f>'Tax Sched 23'!D5</f>
        <v>87133</v>
      </c>
      <c r="C1761" s="2" t="s">
        <v>594</v>
      </c>
      <c r="D1761" s="2" t="str">
        <f t="shared" si="26"/>
        <v>Error?</v>
      </c>
    </row>
    <row r="1762" spans="1:5" s="8" customFormat="1" x14ac:dyDescent="0.2">
      <c r="A1762" s="5">
        <v>1701</v>
      </c>
      <c r="B1762" s="138">
        <f>'Tax Sched 23'!D6</f>
        <v>139786</v>
      </c>
      <c r="C1762" s="2" t="s">
        <v>594</v>
      </c>
      <c r="D1762" s="2" t="str">
        <f t="shared" si="26"/>
        <v>Error?</v>
      </c>
      <c r="E1762" s="9"/>
    </row>
    <row r="1763" spans="1:5" x14ac:dyDescent="0.2">
      <c r="A1763" s="5">
        <v>1702</v>
      </c>
      <c r="B1763" s="138">
        <f>'Tax Sched 23'!D7</f>
        <v>55035</v>
      </c>
      <c r="C1763" s="2" t="s">
        <v>594</v>
      </c>
      <c r="D1763" s="2" t="str">
        <f t="shared" si="26"/>
        <v>Error?</v>
      </c>
    </row>
    <row r="1764" spans="1:5" x14ac:dyDescent="0.2">
      <c r="A1764" s="5">
        <v>1703</v>
      </c>
      <c r="B1764" s="138">
        <f>'Tax Sched 23'!D8</f>
        <v>20999</v>
      </c>
      <c r="C1764" s="2" t="s">
        <v>594</v>
      </c>
      <c r="D1764" s="2" t="str">
        <f t="shared" si="26"/>
        <v>Error?</v>
      </c>
    </row>
    <row r="1765" spans="1:5" x14ac:dyDescent="0.2">
      <c r="A1765" s="5">
        <v>1704</v>
      </c>
      <c r="B1765" s="138">
        <f>'Tax Sched 23'!D10</f>
        <v>4925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34694</v>
      </c>
      <c r="C1768" s="2" t="s">
        <v>594</v>
      </c>
      <c r="D1768" s="2" t="str">
        <f t="shared" si="26"/>
        <v>Error?</v>
      </c>
    </row>
    <row r="1769" spans="1:5" x14ac:dyDescent="0.2">
      <c r="A1769" s="5">
        <v>1708</v>
      </c>
      <c r="B1769" s="138">
        <f>'Tax Sched 23'!D12</f>
        <v>9918</v>
      </c>
      <c r="C1769" s="2" t="s">
        <v>594</v>
      </c>
      <c r="D1769" s="2" t="str">
        <f t="shared" si="26"/>
        <v>Error?</v>
      </c>
    </row>
    <row r="1770" spans="1:5" x14ac:dyDescent="0.2">
      <c r="A1770" s="5">
        <v>1709</v>
      </c>
      <c r="B1770" s="138">
        <f>'Tax Sched 23'!D14</f>
        <v>10828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865863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508484</v>
      </c>
      <c r="C1792" s="2" t="s">
        <v>594</v>
      </c>
      <c r="D1792" s="2" t="str">
        <f t="shared" si="27"/>
        <v>Error?</v>
      </c>
    </row>
    <row r="1793" spans="1:4" x14ac:dyDescent="0.2">
      <c r="A1793" s="5">
        <v>1732</v>
      </c>
      <c r="B1793" s="138">
        <f>'Tax Sched 23'!F5</f>
        <v>89484</v>
      </c>
      <c r="C1793" s="2" t="s">
        <v>594</v>
      </c>
      <c r="D1793" s="2" t="str">
        <f t="shared" si="27"/>
        <v>Error?</v>
      </c>
    </row>
    <row r="1794" spans="1:4" x14ac:dyDescent="0.2">
      <c r="A1794" s="5">
        <v>1733</v>
      </c>
      <c r="B1794" s="138">
        <f>'Tax Sched 23'!F6</f>
        <v>142253</v>
      </c>
      <c r="C1794" s="2" t="s">
        <v>594</v>
      </c>
      <c r="D1794" s="2" t="str">
        <f t="shared" si="27"/>
        <v>Error?</v>
      </c>
    </row>
    <row r="1795" spans="1:4" x14ac:dyDescent="0.2">
      <c r="A1795" s="5">
        <v>1734</v>
      </c>
      <c r="B1795" s="138">
        <f>'Tax Sched 23'!F7</f>
        <v>56521</v>
      </c>
      <c r="C1795" s="2" t="s">
        <v>594</v>
      </c>
      <c r="D1795" s="2" t="str">
        <f t="shared" si="27"/>
        <v>Error?</v>
      </c>
    </row>
    <row r="1796" spans="1:4" x14ac:dyDescent="0.2">
      <c r="A1796" s="5">
        <v>1735</v>
      </c>
      <c r="B1796" s="138">
        <f>'Tax Sched 23'!F8</f>
        <v>21567</v>
      </c>
      <c r="C1796" s="2" t="s">
        <v>594</v>
      </c>
      <c r="D1796" s="2" t="str">
        <f t="shared" si="27"/>
        <v>Error?</v>
      </c>
    </row>
    <row r="1797" spans="1:4" x14ac:dyDescent="0.2">
      <c r="A1797" s="5">
        <v>1736</v>
      </c>
      <c r="B1797" s="138">
        <f>'Tax Sched 23'!F10</f>
        <v>5060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35632</v>
      </c>
      <c r="C1800" s="2" t="s">
        <v>594</v>
      </c>
      <c r="D1800" s="2" t="str">
        <f t="shared" si="27"/>
        <v>Error?</v>
      </c>
    </row>
    <row r="1801" spans="1:4" x14ac:dyDescent="0.2">
      <c r="A1801" s="5">
        <v>1740</v>
      </c>
      <c r="B1801" s="138">
        <f>'Tax Sched 23'!F12</f>
        <v>10189</v>
      </c>
      <c r="C1801" s="2" t="s">
        <v>594</v>
      </c>
      <c r="D1801" s="2" t="str">
        <f t="shared" si="27"/>
        <v>Error?</v>
      </c>
    </row>
    <row r="1802" spans="1:4" x14ac:dyDescent="0.2">
      <c r="A1802" s="5">
        <v>1741</v>
      </c>
      <c r="B1802" s="138">
        <f>'Tax Sched 23'!F14</f>
        <v>11121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904761</v>
      </c>
      <c r="C1807" s="2" t="s">
        <v>594</v>
      </c>
      <c r="D1807" s="2" t="str">
        <f t="shared" si="27"/>
        <v>Error?</v>
      </c>
    </row>
    <row r="1808" spans="1:4" x14ac:dyDescent="0.2">
      <c r="A1808" s="5">
        <v>1747</v>
      </c>
      <c r="B1808" s="138">
        <f>'Tax Sched 23'!E4</f>
        <v>508484</v>
      </c>
      <c r="D1808" s="2" t="str">
        <f t="shared" si="27"/>
        <v>Error?</v>
      </c>
    </row>
    <row r="1809" spans="1:4" x14ac:dyDescent="0.2">
      <c r="A1809" s="5">
        <v>1748</v>
      </c>
      <c r="B1809" s="138">
        <f>'Tax Sched 23'!E5</f>
        <v>89484</v>
      </c>
      <c r="D1809" s="2" t="str">
        <f t="shared" si="27"/>
        <v>Error?</v>
      </c>
    </row>
    <row r="1810" spans="1:4" x14ac:dyDescent="0.2">
      <c r="A1810" s="5">
        <v>1749</v>
      </c>
      <c r="B1810" s="138">
        <f>'Tax Sched 23'!E6</f>
        <v>142253</v>
      </c>
      <c r="D1810" s="2" t="str">
        <f t="shared" si="27"/>
        <v>Error?</v>
      </c>
    </row>
    <row r="1811" spans="1:4" x14ac:dyDescent="0.2">
      <c r="A1811" s="5">
        <v>1750</v>
      </c>
      <c r="B1811" s="138">
        <f>'Tax Sched 23'!E7</f>
        <v>56521</v>
      </c>
      <c r="D1811" s="2" t="str">
        <f t="shared" si="27"/>
        <v>Error?</v>
      </c>
    </row>
    <row r="1812" spans="1:4" x14ac:dyDescent="0.2">
      <c r="A1812" s="5">
        <v>1751</v>
      </c>
      <c r="B1812" s="138">
        <f>'Tax Sched 23'!E8</f>
        <v>21567</v>
      </c>
      <c r="D1812" s="2" t="str">
        <f t="shared" si="27"/>
        <v>Error?</v>
      </c>
    </row>
    <row r="1813" spans="1:4" x14ac:dyDescent="0.2">
      <c r="A1813" s="5">
        <v>1752</v>
      </c>
      <c r="B1813" s="138">
        <f>'Tax Sched 23'!E10</f>
        <v>5060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35632</v>
      </c>
      <c r="D1816" s="2" t="str">
        <f t="shared" si="27"/>
        <v>Error?</v>
      </c>
    </row>
    <row r="1817" spans="1:4" x14ac:dyDescent="0.2">
      <c r="A1817" s="5">
        <v>1756</v>
      </c>
      <c r="B1817" s="138">
        <f>'Tax Sched 23'!E12</f>
        <v>10189</v>
      </c>
      <c r="D1817" s="2" t="str">
        <f t="shared" si="27"/>
        <v>Error?</v>
      </c>
    </row>
    <row r="1818" spans="1:4" x14ac:dyDescent="0.2">
      <c r="A1818" s="5">
        <v>1757</v>
      </c>
      <c r="B1818" s="138">
        <f>'Tax Sched 23'!E14</f>
        <v>11121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904761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10828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10828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10828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28500</v>
      </c>
      <c r="D2008" s="2" t="str">
        <f t="shared" si="30"/>
        <v>Error?</v>
      </c>
    </row>
    <row r="2009" spans="1:4" x14ac:dyDescent="0.2">
      <c r="A2009" s="5">
        <v>1948</v>
      </c>
      <c r="B2009" s="138">
        <f>'Cap Outlay Deprec 26'!C8</f>
        <v>3986005</v>
      </c>
      <c r="D2009" s="2" t="str">
        <f t="shared" si="30"/>
        <v>Error?</v>
      </c>
    </row>
    <row r="2010" spans="1:4" x14ac:dyDescent="0.2">
      <c r="A2010" s="5">
        <v>1949</v>
      </c>
      <c r="B2010" s="138">
        <f>'Cap Outlay Deprec 26'!C10</f>
        <v>24084</v>
      </c>
      <c r="D2010" s="2" t="str">
        <f t="shared" si="30"/>
        <v>Error?</v>
      </c>
    </row>
    <row r="2011" spans="1:4" x14ac:dyDescent="0.2">
      <c r="A2011" s="5">
        <v>1950</v>
      </c>
      <c r="B2011" s="138">
        <f>'Cap Outlay Deprec 26'!C12</f>
        <v>227260</v>
      </c>
      <c r="D2011" s="2" t="str">
        <f t="shared" si="30"/>
        <v>Error?</v>
      </c>
    </row>
    <row r="2012" spans="1:4" x14ac:dyDescent="0.2">
      <c r="A2012" s="5">
        <v>1951</v>
      </c>
      <c r="B2012" s="138">
        <f>'Cap Outlay Deprec 26'!C13</f>
        <v>453199</v>
      </c>
      <c r="D2012" s="2" t="str">
        <f t="shared" si="30"/>
        <v>Error?</v>
      </c>
    </row>
    <row r="2013" spans="1:4" x14ac:dyDescent="0.2">
      <c r="A2013" s="5">
        <v>1952</v>
      </c>
      <c r="B2013" s="138">
        <f>'Cap Outlay Deprec 26'!C16</f>
        <v>4725029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173390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800</v>
      </c>
      <c r="D2018" s="2" t="str">
        <f t="shared" si="30"/>
        <v>Error?</v>
      </c>
    </row>
    <row r="2019" spans="1:4" x14ac:dyDescent="0.2">
      <c r="A2019" s="5">
        <v>1958</v>
      </c>
      <c r="B2019" s="138">
        <f>'Cap Outlay Deprec 26'!D16</f>
        <v>174190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28500</v>
      </c>
      <c r="C2026" s="2" t="s">
        <v>594</v>
      </c>
      <c r="D2026" s="2" t="str">
        <f t="shared" si="30"/>
        <v>Error?</v>
      </c>
    </row>
    <row r="2027" spans="1:4" x14ac:dyDescent="0.2">
      <c r="A2027" s="5">
        <v>1966</v>
      </c>
      <c r="B2027" s="138">
        <f>'Cap Outlay Deprec 26'!F8</f>
        <v>4159395</v>
      </c>
      <c r="C2027" s="2" t="s">
        <v>594</v>
      </c>
      <c r="D2027" s="2" t="str">
        <f t="shared" si="30"/>
        <v>Error?</v>
      </c>
    </row>
    <row r="2028" spans="1:4" x14ac:dyDescent="0.2">
      <c r="A2028" s="5">
        <v>1967</v>
      </c>
      <c r="B2028" s="138">
        <f>'Cap Outlay Deprec 26'!F10</f>
        <v>24084</v>
      </c>
      <c r="C2028" s="2" t="s">
        <v>594</v>
      </c>
      <c r="D2028" s="2" t="str">
        <f t="shared" si="30"/>
        <v>Error?</v>
      </c>
    </row>
    <row r="2029" spans="1:4" x14ac:dyDescent="0.2">
      <c r="A2029" s="5">
        <v>1968</v>
      </c>
      <c r="B2029" s="138">
        <f>'Cap Outlay Deprec 26'!F12</f>
        <v>227260</v>
      </c>
      <c r="C2029" s="2" t="s">
        <v>594</v>
      </c>
      <c r="D2029" s="2" t="str">
        <f t="shared" si="30"/>
        <v>Error?</v>
      </c>
    </row>
    <row r="2030" spans="1:4" x14ac:dyDescent="0.2">
      <c r="A2030" s="5">
        <v>1969</v>
      </c>
      <c r="B2030" s="138">
        <f>'Cap Outlay Deprec 26'!F13</f>
        <v>453999</v>
      </c>
      <c r="C2030" s="2" t="s">
        <v>594</v>
      </c>
      <c r="D2030" s="2" t="str">
        <f t="shared" si="30"/>
        <v>Error?</v>
      </c>
    </row>
    <row r="2031" spans="1:4" x14ac:dyDescent="0.2">
      <c r="A2031" s="5">
        <v>1970</v>
      </c>
      <c r="B2031" s="138">
        <f>'Cap Outlay Deprec 26'!F16</f>
        <v>4899219</v>
      </c>
      <c r="C2031" s="2" t="s">
        <v>594</v>
      </c>
      <c r="D2031" s="2" t="str">
        <f t="shared" si="30"/>
        <v>Error?</v>
      </c>
    </row>
    <row r="2032" spans="1:4" x14ac:dyDescent="0.2">
      <c r="A2032" s="10">
        <v>1971</v>
      </c>
      <c r="D2032" s="2" t="str">
        <f t="shared" si="30"/>
        <v>OK</v>
      </c>
    </row>
    <row r="2033" spans="1:4" x14ac:dyDescent="0.2">
      <c r="A2033" s="5">
        <v>1972</v>
      </c>
      <c r="B2033" s="138">
        <f>'Cap Outlay Deprec 26'!H8</f>
        <v>2198566</v>
      </c>
      <c r="D2033" s="2" t="str">
        <f t="shared" si="30"/>
        <v>Error?</v>
      </c>
    </row>
    <row r="2034" spans="1:4" x14ac:dyDescent="0.2">
      <c r="A2034" s="5">
        <v>1973</v>
      </c>
      <c r="B2034" s="138">
        <f>'Cap Outlay Deprec 26'!H10</f>
        <v>24084</v>
      </c>
      <c r="D2034" s="2" t="str">
        <f t="shared" si="30"/>
        <v>Error?</v>
      </c>
    </row>
    <row r="2035" spans="1:4" x14ac:dyDescent="0.2">
      <c r="A2035" s="5">
        <v>1974</v>
      </c>
      <c r="B2035" s="138">
        <f>'Cap Outlay Deprec 26'!H12</f>
        <v>192940</v>
      </c>
      <c r="D2035" s="2" t="str">
        <f t="shared" si="30"/>
        <v>Error?</v>
      </c>
    </row>
    <row r="2036" spans="1:4" x14ac:dyDescent="0.2">
      <c r="A2036" s="5">
        <v>1975</v>
      </c>
      <c r="B2036" s="138">
        <f>'Cap Outlay Deprec 26'!H13</f>
        <v>315361</v>
      </c>
      <c r="D2036" s="2" t="str">
        <f t="shared" si="30"/>
        <v>Error?</v>
      </c>
    </row>
    <row r="2037" spans="1:4" x14ac:dyDescent="0.2">
      <c r="A2037" s="5">
        <v>1976</v>
      </c>
      <c r="B2037" s="138">
        <f>'Cap Outlay Deprec 26'!H16</f>
        <v>2736624</v>
      </c>
      <c r="C2037" s="2" t="s">
        <v>594</v>
      </c>
      <c r="D2037" s="2" t="str">
        <f t="shared" si="30"/>
        <v>Error?</v>
      </c>
    </row>
    <row r="2038" spans="1:4" x14ac:dyDescent="0.2">
      <c r="A2038" s="10">
        <v>1977</v>
      </c>
      <c r="D2038" s="2" t="str">
        <f t="shared" si="30"/>
        <v>OK</v>
      </c>
    </row>
    <row r="2039" spans="1:4" x14ac:dyDescent="0.2">
      <c r="A2039" s="5">
        <v>1978</v>
      </c>
      <c r="B2039" s="138">
        <f>'Cap Outlay Deprec 26'!I8</f>
        <v>83123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7919</v>
      </c>
      <c r="D2041" s="2" t="str">
        <f t="shared" si="30"/>
        <v>Error?</v>
      </c>
    </row>
    <row r="2042" spans="1:4" x14ac:dyDescent="0.2">
      <c r="A2042" s="5">
        <v>1981</v>
      </c>
      <c r="B2042" s="138">
        <f>'Cap Outlay Deprec 26'!I13</f>
        <v>60663</v>
      </c>
      <c r="D2042" s="2" t="str">
        <f t="shared" si="30"/>
        <v>Error?</v>
      </c>
    </row>
    <row r="2043" spans="1:4" x14ac:dyDescent="0.2">
      <c r="A2043" s="5">
        <v>1982</v>
      </c>
      <c r="B2043" s="138">
        <f>'Cap Outlay Deprec 26'!I16</f>
        <v>152014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2281689</v>
      </c>
      <c r="C2051" s="2" t="s">
        <v>594</v>
      </c>
      <c r="D2051" s="2" t="str">
        <f t="shared" si="31"/>
        <v>Error?</v>
      </c>
    </row>
    <row r="2052" spans="1:4" x14ac:dyDescent="0.2">
      <c r="A2052" s="5">
        <v>1991</v>
      </c>
      <c r="B2052" s="138">
        <f>'Cap Outlay Deprec 26'!K10</f>
        <v>24084</v>
      </c>
      <c r="C2052" s="2" t="s">
        <v>594</v>
      </c>
      <c r="D2052" s="2" t="str">
        <f t="shared" si="31"/>
        <v>Error?</v>
      </c>
    </row>
    <row r="2053" spans="1:4" x14ac:dyDescent="0.2">
      <c r="A2053" s="5">
        <v>1992</v>
      </c>
      <c r="B2053" s="138">
        <f>'Cap Outlay Deprec 26'!K12</f>
        <v>200859</v>
      </c>
      <c r="C2053" s="2" t="s">
        <v>594</v>
      </c>
      <c r="D2053" s="2" t="str">
        <f t="shared" si="31"/>
        <v>Error?</v>
      </c>
    </row>
    <row r="2054" spans="1:4" x14ac:dyDescent="0.2">
      <c r="A2054" s="5">
        <v>1993</v>
      </c>
      <c r="B2054" s="138">
        <f>'Cap Outlay Deprec 26'!K13</f>
        <v>376024</v>
      </c>
      <c r="C2054" s="2" t="s">
        <v>594</v>
      </c>
      <c r="D2054" s="2" t="str">
        <f t="shared" si="31"/>
        <v>Error?</v>
      </c>
    </row>
    <row r="2055" spans="1:4" x14ac:dyDescent="0.2">
      <c r="A2055" s="5">
        <v>1994</v>
      </c>
      <c r="B2055" s="138">
        <f>'Cap Outlay Deprec 26'!K16</f>
        <v>2888638</v>
      </c>
      <c r="C2055" s="2" t="s">
        <v>594</v>
      </c>
      <c r="D2055" s="2" t="str">
        <f t="shared" si="31"/>
        <v>Error?</v>
      </c>
    </row>
    <row r="2056" spans="1:4" x14ac:dyDescent="0.2">
      <c r="A2056" s="5">
        <v>1995</v>
      </c>
      <c r="B2056" s="138">
        <f>'Cap Outlay Deprec 26'!L5</f>
        <v>28500</v>
      </c>
      <c r="C2056" s="2" t="s">
        <v>594</v>
      </c>
      <c r="D2056" s="2" t="str">
        <f t="shared" si="31"/>
        <v>Error?</v>
      </c>
    </row>
    <row r="2057" spans="1:4" x14ac:dyDescent="0.2">
      <c r="A2057" s="5">
        <v>1996</v>
      </c>
      <c r="B2057" s="138">
        <f>'Cap Outlay Deprec 26'!L8</f>
        <v>1877706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26401</v>
      </c>
      <c r="C2059" s="2" t="s">
        <v>594</v>
      </c>
      <c r="D2059" s="2" t="str">
        <f t="shared" si="31"/>
        <v>Error?</v>
      </c>
    </row>
    <row r="2060" spans="1:4" x14ac:dyDescent="0.2">
      <c r="A2060" s="5">
        <v>1999</v>
      </c>
      <c r="B2060" s="138">
        <f>'Cap Outlay Deprec 26'!L13</f>
        <v>77975</v>
      </c>
      <c r="C2060" s="2" t="s">
        <v>594</v>
      </c>
      <c r="D2060" s="2" t="str">
        <f t="shared" si="31"/>
        <v>Error?</v>
      </c>
    </row>
    <row r="2061" spans="1:4" x14ac:dyDescent="0.2">
      <c r="A2061" s="5">
        <v>2000</v>
      </c>
      <c r="B2061" s="138">
        <f>'Cap Outlay Deprec 26'!L16</f>
        <v>2010581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335831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335831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62554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552141</v>
      </c>
      <c r="C2551" s="2" t="s">
        <v>594</v>
      </c>
      <c r="D2551" s="2" t="str">
        <f t="shared" si="38"/>
        <v>Error?</v>
      </c>
    </row>
    <row r="2552" spans="1:4" x14ac:dyDescent="0.2">
      <c r="A2552" s="10">
        <v>2491</v>
      </c>
      <c r="D2552" s="2" t="str">
        <f t="shared" si="38"/>
        <v>OK</v>
      </c>
    </row>
    <row r="2553" spans="1:4" x14ac:dyDescent="0.2">
      <c r="A2553" s="5">
        <v>2492</v>
      </c>
      <c r="B2553" s="138">
        <f>'Acct Summary 7-8'!C6</f>
        <v>2026349</v>
      </c>
      <c r="C2553" s="2" t="s">
        <v>594</v>
      </c>
      <c r="D2553" s="2" t="str">
        <f t="shared" si="38"/>
        <v>Error?</v>
      </c>
    </row>
    <row r="2554" spans="1:4" x14ac:dyDescent="0.2">
      <c r="A2554" s="5">
        <v>2493</v>
      </c>
      <c r="B2554" s="138">
        <f>'Acct Summary 7-8'!C7</f>
        <v>324842</v>
      </c>
      <c r="C2554" s="2" t="s">
        <v>594</v>
      </c>
      <c r="D2554" s="2" t="str">
        <f t="shared" si="38"/>
        <v>Error?</v>
      </c>
    </row>
    <row r="2555" spans="1:4" x14ac:dyDescent="0.2">
      <c r="A2555" s="5">
        <v>2494</v>
      </c>
      <c r="B2555" s="138">
        <f>'Acct Summary 7-8'!C8</f>
        <v>2903332</v>
      </c>
      <c r="C2555" s="2" t="s">
        <v>594</v>
      </c>
      <c r="D2555" s="2" t="str">
        <f t="shared" si="38"/>
        <v>Error?</v>
      </c>
    </row>
    <row r="2556" spans="1:4" x14ac:dyDescent="0.2">
      <c r="A2556" s="5">
        <v>2495</v>
      </c>
      <c r="B2556" s="138">
        <f>'Acct Summary 7-8'!C12</f>
        <v>1445266</v>
      </c>
      <c r="C2556" s="2" t="s">
        <v>594</v>
      </c>
      <c r="D2556" s="2" t="str">
        <f t="shared" si="38"/>
        <v>Error?</v>
      </c>
    </row>
    <row r="2557" spans="1:4" x14ac:dyDescent="0.2">
      <c r="A2557" s="5">
        <v>2496</v>
      </c>
      <c r="B2557" s="138">
        <f>'Acct Summary 7-8'!C13</f>
        <v>693928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335831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2475025</v>
      </c>
      <c r="C2561" s="2" t="s">
        <v>594</v>
      </c>
      <c r="D2561" s="2" t="str">
        <f t="shared" si="39"/>
        <v>Error?</v>
      </c>
    </row>
    <row r="2562" spans="1:4" x14ac:dyDescent="0.2">
      <c r="A2562" s="5">
        <v>2501</v>
      </c>
      <c r="B2562" s="138">
        <f>'Acct Summary 7-8'!C20</f>
        <v>428307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89384</v>
      </c>
      <c r="C2564" s="2" t="s">
        <v>594</v>
      </c>
      <c r="D2564" s="2" t="str">
        <f t="shared" si="39"/>
        <v>Error?</v>
      </c>
    </row>
    <row r="2565" spans="1:4" x14ac:dyDescent="0.2">
      <c r="A2565" s="10">
        <v>2504</v>
      </c>
      <c r="D2565" s="2" t="str">
        <f t="shared" si="39"/>
        <v>OK</v>
      </c>
    </row>
    <row r="2566" spans="1:4" x14ac:dyDescent="0.2">
      <c r="A2566" s="5">
        <v>2505</v>
      </c>
      <c r="B2566" s="138">
        <f>'Acct Summary 7-8'!D6</f>
        <v>31000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120384</v>
      </c>
      <c r="C2568" s="2" t="s">
        <v>594</v>
      </c>
      <c r="D2568" s="2" t="str">
        <f t="shared" si="39"/>
        <v>Error?</v>
      </c>
    </row>
    <row r="2569" spans="1:4" x14ac:dyDescent="0.2">
      <c r="A2569" s="5">
        <v>2508</v>
      </c>
      <c r="B2569" s="138">
        <f>'Acct Summary 7-8'!D13</f>
        <v>106727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106727</v>
      </c>
      <c r="C2573" s="2" t="s">
        <v>594</v>
      </c>
      <c r="D2573" s="2" t="str">
        <f t="shared" si="39"/>
        <v>Error?</v>
      </c>
    </row>
    <row r="2574" spans="1:4" x14ac:dyDescent="0.2">
      <c r="A2574" s="5">
        <v>2513</v>
      </c>
      <c r="B2574" s="138">
        <f>'Acct Summary 7-8'!D20</f>
        <v>13657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55919</v>
      </c>
      <c r="C2591" s="2" t="s">
        <v>594</v>
      </c>
      <c r="D2591" s="2" t="str">
        <f t="shared" si="39"/>
        <v>Error?</v>
      </c>
    </row>
    <row r="2592" spans="1:4" x14ac:dyDescent="0.2">
      <c r="A2592" s="10">
        <v>2531</v>
      </c>
      <c r="D2592" s="2" t="str">
        <f t="shared" si="39"/>
        <v>OK</v>
      </c>
    </row>
    <row r="2593" spans="1:4" x14ac:dyDescent="0.2">
      <c r="A2593" s="5">
        <v>2532</v>
      </c>
      <c r="B2593" s="138">
        <f>'Acct Summary 7-8'!F6</f>
        <v>92572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148491</v>
      </c>
      <c r="C2595" s="2" t="s">
        <v>594</v>
      </c>
      <c r="D2595" s="2" t="str">
        <f t="shared" si="39"/>
        <v>Error?</v>
      </c>
    </row>
    <row r="2596" spans="1:4" x14ac:dyDescent="0.2">
      <c r="A2596" s="5">
        <v>2535</v>
      </c>
      <c r="B2596" s="138">
        <f>'Acct Summary 7-8'!F13</f>
        <v>110046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110046</v>
      </c>
      <c r="C2600" s="2" t="s">
        <v>594</v>
      </c>
      <c r="D2600" s="2" t="str">
        <f t="shared" si="39"/>
        <v>Error?</v>
      </c>
    </row>
    <row r="2601" spans="1:4" x14ac:dyDescent="0.2">
      <c r="A2601" s="5">
        <v>2540</v>
      </c>
      <c r="B2601" s="138">
        <f>'Acct Summary 7-8'!F20</f>
        <v>38445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75177</v>
      </c>
      <c r="C2603" s="2" t="s">
        <v>594</v>
      </c>
      <c r="D2603" s="2" t="str">
        <f t="shared" si="39"/>
        <v>Error?</v>
      </c>
    </row>
    <row r="2604" spans="1:4" x14ac:dyDescent="0.2">
      <c r="A2604" s="5">
        <v>2543</v>
      </c>
      <c r="B2604" s="138">
        <f>'Acct Summary 7-8'!G6</f>
        <v>18750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93927</v>
      </c>
      <c r="C2606" s="2" t="s">
        <v>594</v>
      </c>
      <c r="D2606" s="2" t="str">
        <f t="shared" si="39"/>
        <v>Error?</v>
      </c>
    </row>
    <row r="2607" spans="1:4" x14ac:dyDescent="0.2">
      <c r="A2607" s="5">
        <v>2546</v>
      </c>
      <c r="B2607" s="138">
        <f>'Acct Summary 7-8'!G12</f>
        <v>34989</v>
      </c>
      <c r="C2607" s="2" t="s">
        <v>594</v>
      </c>
      <c r="D2607" s="2" t="str">
        <f t="shared" si="39"/>
        <v>Error?</v>
      </c>
    </row>
    <row r="2608" spans="1:4" x14ac:dyDescent="0.2">
      <c r="A2608" s="5">
        <v>2547</v>
      </c>
      <c r="B2608" s="138">
        <f>'Acct Summary 7-8'!G13</f>
        <v>57866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92855</v>
      </c>
      <c r="C2612" s="2" t="s">
        <v>594</v>
      </c>
      <c r="D2612" s="2" t="str">
        <f t="shared" si="39"/>
        <v>Error?</v>
      </c>
    </row>
    <row r="2613" spans="1:4" x14ac:dyDescent="0.2">
      <c r="A2613" s="5">
        <v>2552</v>
      </c>
      <c r="B2613" s="138">
        <f>'Acct Summary 7-8'!G20</f>
        <v>1072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140039</v>
      </c>
      <c r="C2630" s="2" t="s">
        <v>594</v>
      </c>
      <c r="D2630" s="2" t="str">
        <f t="shared" si="40"/>
        <v>Error?</v>
      </c>
    </row>
    <row r="2631" spans="1:4" x14ac:dyDescent="0.2">
      <c r="A2631" s="5">
        <v>2570</v>
      </c>
      <c r="B2631" s="138">
        <f>'Acct Summary 7-8'!E6</f>
        <v>2200</v>
      </c>
      <c r="C2631" s="2" t="s">
        <v>594</v>
      </c>
      <c r="D2631" s="2" t="str">
        <f t="shared" si="40"/>
        <v>Error?</v>
      </c>
    </row>
    <row r="2632" spans="1:4" x14ac:dyDescent="0.2">
      <c r="A2632" s="5">
        <v>2571</v>
      </c>
      <c r="B2632" s="138">
        <f>'Acct Summary 7-8'!E8</f>
        <v>142239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142097</v>
      </c>
      <c r="C2634" s="2" t="s">
        <v>594</v>
      </c>
      <c r="D2634" s="2" t="str">
        <f t="shared" si="40"/>
        <v>Error?</v>
      </c>
    </row>
    <row r="2635" spans="1:4" x14ac:dyDescent="0.2">
      <c r="A2635" s="5">
        <v>2574</v>
      </c>
      <c r="B2635" s="138">
        <f>'Acct Summary 7-8'!E17</f>
        <v>142097</v>
      </c>
      <c r="C2635" s="2" t="s">
        <v>594</v>
      </c>
      <c r="D2635" s="2" t="str">
        <f t="shared" si="40"/>
        <v>Error?</v>
      </c>
    </row>
    <row r="2636" spans="1:4" x14ac:dyDescent="0.2">
      <c r="A2636" s="5">
        <v>2575</v>
      </c>
      <c r="B2636" s="138">
        <f>'Acct Summary 7-8'!E20</f>
        <v>142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137431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137431</v>
      </c>
      <c r="C2658" s="2" t="s">
        <v>594</v>
      </c>
      <c r="D2658" s="2" t="str">
        <f t="shared" si="40"/>
        <v>Error?</v>
      </c>
    </row>
    <row r="2659" spans="1:4" x14ac:dyDescent="0.2">
      <c r="A2659" s="5">
        <v>2598</v>
      </c>
      <c r="B2659" s="138">
        <f>'Acct Summary 7-8'!H13</f>
        <v>201071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201071</v>
      </c>
      <c r="C2661" s="2" t="s">
        <v>594</v>
      </c>
      <c r="D2661" s="2" t="str">
        <f t="shared" si="40"/>
        <v>Error?</v>
      </c>
    </row>
    <row r="2662" spans="1:4" x14ac:dyDescent="0.2">
      <c r="A2662" s="5">
        <v>2601</v>
      </c>
      <c r="B2662" s="138">
        <f>'Acct Summary 7-8'!H20</f>
        <v>-63640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293724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340939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66783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340939</v>
      </c>
      <c r="D2912" s="2" t="str">
        <f t="shared" si="44"/>
        <v>Error?</v>
      </c>
    </row>
    <row r="2913" spans="1:4" x14ac:dyDescent="0.2">
      <c r="A2913" s="5">
        <v>2852</v>
      </c>
      <c r="B2913" s="138">
        <f>'Assets-Liab 5-6'!I41</f>
        <v>340939</v>
      </c>
      <c r="C2913" s="2" t="s">
        <v>594</v>
      </c>
      <c r="D2913" s="2" t="str">
        <f t="shared" si="44"/>
        <v>Error?</v>
      </c>
    </row>
    <row r="2914" spans="1:4" x14ac:dyDescent="0.2">
      <c r="A2914" s="5">
        <v>2853</v>
      </c>
      <c r="B2914" s="138">
        <f>'Assets-Liab 5-6'!L33</f>
        <v>66783</v>
      </c>
      <c r="D2914" s="2" t="str">
        <f t="shared" si="44"/>
        <v>Error?</v>
      </c>
    </row>
    <row r="2915" spans="1:4" x14ac:dyDescent="0.2">
      <c r="A2915" s="10">
        <v>2854</v>
      </c>
      <c r="D2915" s="2" t="str">
        <f t="shared" si="44"/>
        <v>OK</v>
      </c>
    </row>
    <row r="2916" spans="1:4" x14ac:dyDescent="0.2">
      <c r="A2916" s="5">
        <v>2855</v>
      </c>
      <c r="B2916" s="138">
        <f>'Assets-Liab 5-6'!L34</f>
        <v>66783</v>
      </c>
      <c r="C2916" s="2" t="s">
        <v>594</v>
      </c>
      <c r="D2916" s="2" t="str">
        <f t="shared" si="44"/>
        <v>Error?</v>
      </c>
    </row>
    <row r="2917" spans="1:4" x14ac:dyDescent="0.2">
      <c r="A2917" s="5">
        <v>2856</v>
      </c>
      <c r="B2917" s="138">
        <f>'Assets-Liab 5-6'!L41</f>
        <v>66783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335831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335831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89729</v>
      </c>
      <c r="D3055" s="2" t="str">
        <f t="shared" si="46"/>
        <v>Error?</v>
      </c>
    </row>
    <row r="3056" spans="1:4" x14ac:dyDescent="0.2">
      <c r="A3056" s="5">
        <v>2995</v>
      </c>
      <c r="B3056" s="138">
        <f>'Expenditures 15-22'!D10</f>
        <v>18108</v>
      </c>
      <c r="D3056" s="2" t="str">
        <f t="shared" si="46"/>
        <v>Error?</v>
      </c>
    </row>
    <row r="3057" spans="1:4" x14ac:dyDescent="0.2">
      <c r="A3057" s="5">
        <v>2996</v>
      </c>
      <c r="B3057" s="138">
        <f>'Expenditures 15-22'!E10</f>
        <v>9864</v>
      </c>
      <c r="D3057" s="2" t="str">
        <f t="shared" si="46"/>
        <v>Error?</v>
      </c>
    </row>
    <row r="3058" spans="1:4" x14ac:dyDescent="0.2">
      <c r="A3058" s="5">
        <v>2997</v>
      </c>
      <c r="B3058" s="138">
        <f>'Expenditures 15-22'!F10</f>
        <v>10227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127928</v>
      </c>
      <c r="C3062" s="2" t="s">
        <v>594</v>
      </c>
      <c r="D3062" s="2" t="str">
        <f t="shared" si="46"/>
        <v>Error?</v>
      </c>
    </row>
    <row r="3063" spans="1:4" x14ac:dyDescent="0.2">
      <c r="A3063" s="10">
        <v>3002</v>
      </c>
      <c r="D3063" s="2" t="str">
        <f t="shared" si="46"/>
        <v>OK</v>
      </c>
    </row>
    <row r="3064" spans="1:4" x14ac:dyDescent="0.2">
      <c r="A3064" s="5">
        <v>3003</v>
      </c>
      <c r="B3064" s="138">
        <f>'Expenditures 15-22'!D219</f>
        <v>4139</v>
      </c>
      <c r="D3064" s="2" t="str">
        <f t="shared" si="46"/>
        <v>Error?</v>
      </c>
    </row>
    <row r="3065" spans="1:4" x14ac:dyDescent="0.2">
      <c r="A3065" s="5">
        <v>3004</v>
      </c>
      <c r="B3065" s="138">
        <f>'Expenditures 15-22'!K219</f>
        <v>4139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6679</v>
      </c>
      <c r="C3225" s="2" t="s">
        <v>594</v>
      </c>
      <c r="D3225" s="2" t="str">
        <f t="shared" si="49"/>
        <v>Error?</v>
      </c>
    </row>
    <row r="3226" spans="1:4" x14ac:dyDescent="0.2">
      <c r="A3226" s="5">
        <v>3165</v>
      </c>
      <c r="B3226" s="138">
        <f>'Acct Summary 7-8'!I8</f>
        <v>6679</v>
      </c>
      <c r="C3226" s="2" t="s">
        <v>594</v>
      </c>
      <c r="D3226" s="2" t="str">
        <f t="shared" si="49"/>
        <v>Error?</v>
      </c>
    </row>
    <row r="3227" spans="1:4" x14ac:dyDescent="0.2">
      <c r="A3227" s="5">
        <v>3166</v>
      </c>
      <c r="B3227" s="138">
        <f>'Acct Summary 7-8'!I20</f>
        <v>6679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428307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13657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38445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1072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-63640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6679</v>
      </c>
      <c r="C3320" s="2" t="s">
        <v>594</v>
      </c>
      <c r="D3320" s="2" t="str">
        <f t="shared" si="50"/>
        <v>Error?</v>
      </c>
    </row>
    <row r="3321" spans="1:4" x14ac:dyDescent="0.2">
      <c r="A3321" s="5">
        <v>3260</v>
      </c>
      <c r="B3321" s="138">
        <f>'Acct Summary 7-8'!I79</f>
        <v>334260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340939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22191</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22191</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890068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90348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42297</v>
      </c>
      <c r="D3417" s="2" t="str">
        <f t="shared" si="52"/>
        <v>Error?</v>
      </c>
    </row>
    <row r="3418" spans="1:4" x14ac:dyDescent="0.2">
      <c r="A3418" s="10">
        <v>3357</v>
      </c>
      <c r="D3418" s="2" t="str">
        <f t="shared" si="52"/>
        <v>OK</v>
      </c>
    </row>
    <row r="3419" spans="1:4" x14ac:dyDescent="0.2">
      <c r="A3419" s="5">
        <v>3358</v>
      </c>
      <c r="B3419" s="138">
        <f>'Assets-Liab 5-6'!F4</f>
        <v>292323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65685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108565</v>
      </c>
      <c r="D3425" s="2" t="str">
        <f t="shared" si="52"/>
        <v>Error?</v>
      </c>
    </row>
    <row r="3426" spans="1:4" x14ac:dyDescent="0.2">
      <c r="A3426" s="10">
        <v>3365</v>
      </c>
      <c r="D3426" s="2" t="str">
        <f t="shared" si="52"/>
        <v>OK</v>
      </c>
    </row>
    <row r="3427" spans="1:4" x14ac:dyDescent="0.2">
      <c r="A3427" s="5">
        <v>3366</v>
      </c>
      <c r="B3427" s="138">
        <f>'Assets-Liab 5-6'!I4</f>
        <v>47215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66783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19827</v>
      </c>
      <c r="C3446" s="2" t="s">
        <v>594</v>
      </c>
      <c r="D3446" s="2" t="str">
        <f t="shared" si="52"/>
        <v>Error?</v>
      </c>
    </row>
    <row r="3447" spans="1:4" x14ac:dyDescent="0.2">
      <c r="A3447" s="5">
        <v>3386</v>
      </c>
      <c r="B3447" s="138">
        <f>'Tax Sched 23'!D16</f>
        <v>19827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20363</v>
      </c>
      <c r="C3449" s="2" t="s">
        <v>594</v>
      </c>
      <c r="D3449" s="2" t="str">
        <f t="shared" si="52"/>
        <v>Error?</v>
      </c>
    </row>
    <row r="3450" spans="1:4" x14ac:dyDescent="0.2">
      <c r="A3450" s="5">
        <v>3389</v>
      </c>
      <c r="B3450" s="138">
        <f>'Tax Sched 23'!E16</f>
        <v>20363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31361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31361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31361</v>
      </c>
      <c r="D3567" s="2" t="str">
        <f t="shared" si="54"/>
        <v>Error?</v>
      </c>
    </row>
    <row r="3568" spans="1:4" x14ac:dyDescent="0.2">
      <c r="A3568" s="5">
        <v>3507</v>
      </c>
      <c r="B3568" s="138">
        <f>'Assets-Liab 5-6'!K41</f>
        <v>31361</v>
      </c>
      <c r="C3568" s="2" t="s">
        <v>594</v>
      </c>
      <c r="D3568" s="2" t="str">
        <f t="shared" si="54"/>
        <v>Error?</v>
      </c>
    </row>
    <row r="3569" spans="1:4" x14ac:dyDescent="0.2">
      <c r="A3569" s="5">
        <v>3508</v>
      </c>
      <c r="B3569" s="138">
        <f>'Acct Summary 7-8'!K4</f>
        <v>10013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10013</v>
      </c>
      <c r="C3571" s="2" t="s">
        <v>594</v>
      </c>
      <c r="D3571" s="2" t="str">
        <f t="shared" si="54"/>
        <v>Error?</v>
      </c>
    </row>
    <row r="3572" spans="1:4" x14ac:dyDescent="0.2">
      <c r="A3572" s="5">
        <v>3511</v>
      </c>
      <c r="B3572" s="138">
        <f>'Acct Summary 7-8'!K13</f>
        <v>6849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6849</v>
      </c>
      <c r="C3575" s="2" t="s">
        <v>594</v>
      </c>
      <c r="D3575" s="2" t="str">
        <f t="shared" si="54"/>
        <v>Error?</v>
      </c>
    </row>
    <row r="3576" spans="1:4" x14ac:dyDescent="0.2">
      <c r="A3576" s="5">
        <v>3515</v>
      </c>
      <c r="B3576" s="138">
        <f>'Acct Summary 7-8'!K20</f>
        <v>3164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3164</v>
      </c>
      <c r="C3588" s="2" t="s">
        <v>594</v>
      </c>
      <c r="D3588" s="2" t="str">
        <f t="shared" si="55"/>
        <v>Error?</v>
      </c>
    </row>
    <row r="3589" spans="1:4" x14ac:dyDescent="0.2">
      <c r="A3589" s="5">
        <v>3528</v>
      </c>
      <c r="B3589" s="138">
        <f>'Acct Summary 7-8'!K79</f>
        <v>28197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31361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6249</v>
      </c>
      <c r="D3632" s="2" t="str">
        <f t="shared" si="55"/>
        <v>Error?</v>
      </c>
    </row>
    <row r="3633" spans="1:4" x14ac:dyDescent="0.2">
      <c r="A3633" s="5">
        <v>3572</v>
      </c>
      <c r="B3633" s="138">
        <f>'Expenditures 15-22'!E350</f>
        <v>6249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6249</v>
      </c>
      <c r="C3635" s="2" t="s">
        <v>594</v>
      </c>
      <c r="D3635" s="2" t="str">
        <f t="shared" si="55"/>
        <v>Error?</v>
      </c>
    </row>
    <row r="3636" spans="1:4" x14ac:dyDescent="0.2">
      <c r="A3636" s="5">
        <v>3575</v>
      </c>
      <c r="B3636" s="138">
        <f>'Expenditures 15-22'!E367</f>
        <v>6249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600</v>
      </c>
      <c r="D3639" s="2" t="str">
        <f t="shared" si="55"/>
        <v>Error?</v>
      </c>
    </row>
    <row r="3640" spans="1:4" x14ac:dyDescent="0.2">
      <c r="A3640" s="5">
        <v>3579</v>
      </c>
      <c r="B3640" s="138">
        <f>'Expenditures 15-22'!F350</f>
        <v>600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600</v>
      </c>
      <c r="C3642" s="2" t="s">
        <v>594</v>
      </c>
      <c r="D3642" s="2" t="str">
        <f t="shared" si="55"/>
        <v>Error?</v>
      </c>
    </row>
    <row r="3643" spans="1:4" x14ac:dyDescent="0.2">
      <c r="A3643" s="5">
        <v>3582</v>
      </c>
      <c r="B3643" s="138">
        <f>'Expenditures 15-22'!F367</f>
        <v>600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6849</v>
      </c>
      <c r="C3669" s="2" t="s">
        <v>594</v>
      </c>
      <c r="D3669" s="2" t="str">
        <f t="shared" si="56"/>
        <v>Error?</v>
      </c>
    </row>
    <row r="3670" spans="1:4" x14ac:dyDescent="0.2">
      <c r="A3670" s="5">
        <v>3609</v>
      </c>
      <c r="B3670" s="138">
        <f>'Expenditures 15-22'!K350</f>
        <v>6849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6849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6849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3164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3705</v>
      </c>
      <c r="C3725" s="2" t="s">
        <v>594</v>
      </c>
      <c r="D3725" s="2" t="str">
        <f t="shared" si="57"/>
        <v>Error?</v>
      </c>
    </row>
    <row r="3726" spans="1:4" x14ac:dyDescent="0.2">
      <c r="A3726" s="5">
        <v>3665</v>
      </c>
      <c r="B3726" s="138">
        <f>'Tax Sched 23'!D13</f>
        <v>3705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3808</v>
      </c>
      <c r="C3728" s="2" t="s">
        <v>594</v>
      </c>
      <c r="D3728" s="2" t="str">
        <f t="shared" si="57"/>
        <v>Error?</v>
      </c>
    </row>
    <row r="3729" spans="1:4" x14ac:dyDescent="0.2">
      <c r="A3729" s="5">
        <v>3668</v>
      </c>
      <c r="B3729" s="138">
        <f>'Tax Sched 23'!E13</f>
        <v>3808</v>
      </c>
      <c r="D3729" s="2" t="str">
        <f t="shared" si="57"/>
        <v>Error?</v>
      </c>
    </row>
    <row r="3730" spans="1:4" x14ac:dyDescent="0.2">
      <c r="A3730" s="5">
        <v>3669</v>
      </c>
      <c r="B3730" s="138">
        <f>'ICR Computation 30'!E10</f>
        <v>126809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279</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279</v>
      </c>
      <c r="D4111" s="2" t="str">
        <f t="shared" si="63"/>
        <v>Error?</v>
      </c>
    </row>
    <row r="4112" spans="1:4" x14ac:dyDescent="0.2">
      <c r="A4112" s="10">
        <v>4051</v>
      </c>
      <c r="D4112" s="2" t="str">
        <f t="shared" si="63"/>
        <v>OK</v>
      </c>
    </row>
    <row r="4113" spans="1:4" x14ac:dyDescent="0.2">
      <c r="A4113" s="5">
        <v>4052</v>
      </c>
      <c r="B4113" s="138">
        <f>'Acct Summary 7-8'!C9</f>
        <v>877841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3781173</v>
      </c>
      <c r="C4122" s="2" t="s">
        <v>594</v>
      </c>
      <c r="D4122" s="2" t="str">
        <f t="shared" si="63"/>
        <v>Error?</v>
      </c>
    </row>
    <row r="4123" spans="1:4" x14ac:dyDescent="0.2">
      <c r="A4123" s="5">
        <v>4062</v>
      </c>
      <c r="B4123" s="138">
        <f>'Acct Summary 7-8'!D10</f>
        <v>120384</v>
      </c>
      <c r="C4123" s="2" t="s">
        <v>594</v>
      </c>
      <c r="D4123" s="2" t="str">
        <f t="shared" si="63"/>
        <v>Error?</v>
      </c>
    </row>
    <row r="4124" spans="1:4" x14ac:dyDescent="0.2">
      <c r="A4124" s="5">
        <v>4063</v>
      </c>
      <c r="B4124" s="138">
        <f>'Acct Summary 7-8'!E10</f>
        <v>142239</v>
      </c>
      <c r="C4124" s="2" t="s">
        <v>594</v>
      </c>
      <c r="D4124" s="2" t="str">
        <f t="shared" si="63"/>
        <v>Error?</v>
      </c>
    </row>
    <row r="4125" spans="1:4" x14ac:dyDescent="0.2">
      <c r="A4125" s="5">
        <v>4064</v>
      </c>
      <c r="B4125" s="138">
        <f>'Acct Summary 7-8'!F10</f>
        <v>148491</v>
      </c>
      <c r="C4125" s="2" t="s">
        <v>594</v>
      </c>
      <c r="D4125" s="2" t="str">
        <f t="shared" si="63"/>
        <v>Error?</v>
      </c>
    </row>
    <row r="4126" spans="1:4" x14ac:dyDescent="0.2">
      <c r="A4126" s="5">
        <v>4065</v>
      </c>
      <c r="B4126" s="138">
        <f>'Acct Summary 7-8'!G10</f>
        <v>93927</v>
      </c>
      <c r="C4126" s="2" t="s">
        <v>594</v>
      </c>
      <c r="D4126" s="2" t="str">
        <f t="shared" si="63"/>
        <v>Error?</v>
      </c>
    </row>
    <row r="4127" spans="1:4" x14ac:dyDescent="0.2">
      <c r="A4127" s="5">
        <v>4066</v>
      </c>
      <c r="B4127" s="138">
        <f>'Acct Summary 7-8'!H10</f>
        <v>137431</v>
      </c>
      <c r="C4127" s="2" t="s">
        <v>594</v>
      </c>
      <c r="D4127" s="2" t="str">
        <f t="shared" si="63"/>
        <v>Error?</v>
      </c>
    </row>
    <row r="4128" spans="1:4" x14ac:dyDescent="0.2">
      <c r="A4128" s="5">
        <v>4067</v>
      </c>
      <c r="B4128" s="138">
        <f>'Acct Summary 7-8'!I10</f>
        <v>6679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10013</v>
      </c>
      <c r="C4130" s="2" t="s">
        <v>594</v>
      </c>
      <c r="D4130" s="2" t="str">
        <f t="shared" si="63"/>
        <v>Error?</v>
      </c>
    </row>
    <row r="4131" spans="1:4" x14ac:dyDescent="0.2">
      <c r="A4131" s="5">
        <v>4070</v>
      </c>
      <c r="B4131" s="138">
        <f>'Acct Summary 7-8'!C18</f>
        <v>877841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3352866</v>
      </c>
      <c r="C4136" s="2" t="s">
        <v>594</v>
      </c>
      <c r="D4136" s="2" t="str">
        <f t="shared" si="63"/>
        <v>Error?</v>
      </c>
    </row>
    <row r="4137" spans="1:4" x14ac:dyDescent="0.2">
      <c r="A4137" s="5">
        <v>4076</v>
      </c>
      <c r="B4137" s="138">
        <f>'Acct Summary 7-8'!D19</f>
        <v>106727</v>
      </c>
      <c r="C4137" s="2" t="s">
        <v>594</v>
      </c>
      <c r="D4137" s="2" t="str">
        <f t="shared" si="63"/>
        <v>Error?</v>
      </c>
    </row>
    <row r="4138" spans="1:4" x14ac:dyDescent="0.2">
      <c r="A4138" s="5">
        <v>4077</v>
      </c>
      <c r="B4138" s="138">
        <f>'Acct Summary 7-8'!E19</f>
        <v>142097</v>
      </c>
      <c r="C4138" s="2" t="s">
        <v>594</v>
      </c>
      <c r="D4138" s="2" t="str">
        <f t="shared" si="63"/>
        <v>Error?</v>
      </c>
    </row>
    <row r="4139" spans="1:4" x14ac:dyDescent="0.2">
      <c r="A4139" s="5">
        <v>4078</v>
      </c>
      <c r="B4139" s="138">
        <f>'Acct Summary 7-8'!F19</f>
        <v>110046</v>
      </c>
      <c r="C4139" s="2" t="s">
        <v>594</v>
      </c>
      <c r="D4139" s="2" t="str">
        <f t="shared" si="63"/>
        <v>Error?</v>
      </c>
    </row>
    <row r="4140" spans="1:4" x14ac:dyDescent="0.2">
      <c r="A4140" s="5">
        <v>4079</v>
      </c>
      <c r="B4140" s="138">
        <f>'Acct Summary 7-8'!G19</f>
        <v>92855</v>
      </c>
      <c r="C4140" s="2" t="s">
        <v>594</v>
      </c>
      <c r="D4140" s="2" t="str">
        <f t="shared" si="63"/>
        <v>Error?</v>
      </c>
    </row>
    <row r="4141" spans="1:4" x14ac:dyDescent="0.2">
      <c r="A4141" s="5">
        <v>4080</v>
      </c>
      <c r="B4141" s="138">
        <f>'Acct Summary 7-8'!H19</f>
        <v>201071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6849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1260000</v>
      </c>
      <c r="C4171" s="2" t="s">
        <v>594</v>
      </c>
      <c r="D4171" s="2" t="str">
        <f t="shared" si="64"/>
        <v>Error?</v>
      </c>
    </row>
    <row r="4172" spans="1:4" x14ac:dyDescent="0.2">
      <c r="A4172" s="5">
        <v>4111</v>
      </c>
      <c r="B4172" s="138">
        <f>'Short-Term Long-Term Debt 24'!J49</f>
        <v>1217703</v>
      </c>
      <c r="C4172" s="2" t="s">
        <v>594</v>
      </c>
      <c r="D4172" s="2" t="str">
        <f t="shared" si="64"/>
        <v>Error?</v>
      </c>
    </row>
    <row r="4173" spans="1:4" x14ac:dyDescent="0.2">
      <c r="A4173" s="5">
        <v>4112</v>
      </c>
      <c r="B4173" s="138">
        <f>'Short-Term Long-Term Debt 24'!H49</f>
        <v>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2728.4</v>
      </c>
      <c r="C4265" s="2" t="s">
        <v>594</v>
      </c>
      <c r="D4265" s="2" t="str">
        <f t="shared" si="65"/>
        <v>Error?</v>
      </c>
      <c r="E4265" s="128"/>
    </row>
    <row r="4266" spans="1:5" x14ac:dyDescent="0.2">
      <c r="A4266" s="12">
        <v>4205</v>
      </c>
      <c r="B4266" s="138">
        <f>('FP Info 3'!F10)*100000</f>
        <v>480.09999999999997</v>
      </c>
      <c r="C4266" s="2" t="s">
        <v>594</v>
      </c>
      <c r="D4266" s="2" t="str">
        <f t="shared" si="65"/>
        <v>Error?</v>
      </c>
      <c r="E4266" s="128"/>
    </row>
    <row r="4267" spans="1:5" x14ac:dyDescent="0.2">
      <c r="A4267" s="12">
        <v>4206</v>
      </c>
      <c r="B4267" s="138">
        <f>('FP Info 3'!H10)*100000</f>
        <v>303.3</v>
      </c>
      <c r="C4267" s="2" t="s">
        <v>594</v>
      </c>
      <c r="D4267" s="2" t="str">
        <f t="shared" si="65"/>
        <v>Error?</v>
      </c>
      <c r="E4267" s="128"/>
    </row>
    <row r="4268" spans="1:5" x14ac:dyDescent="0.2">
      <c r="A4268" s="12">
        <v>4207</v>
      </c>
      <c r="B4268" s="138">
        <f>('FP Info 3'!J10)*100000</f>
        <v>3512</v>
      </c>
      <c r="C4268" s="2" t="s">
        <v>594</v>
      </c>
      <c r="D4268" s="2" t="str">
        <f t="shared" si="65"/>
        <v>Error?</v>
      </c>
    </row>
    <row r="4269" spans="1:5" x14ac:dyDescent="0.2">
      <c r="A4269" s="12">
        <v>4208</v>
      </c>
      <c r="B4269" s="138">
        <f>'FP Info 3'!J16</f>
        <v>1613452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2035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23169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23169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18337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27.2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18637069</v>
      </c>
      <c r="D4995" s="2" t="str">
        <f t="shared" si="77"/>
        <v>Error?</v>
      </c>
    </row>
    <row r="4996" spans="1:4" x14ac:dyDescent="0.2">
      <c r="A4996" s="12">
        <v>4935</v>
      </c>
      <c r="B4996" s="138">
        <f>'FP Info 3'!H31</f>
        <v>2571915.5220000003</v>
      </c>
      <c r="D4996" s="2" t="str">
        <f t="shared" si="77"/>
        <v>Error?</v>
      </c>
    </row>
    <row r="4997" spans="1:4" x14ac:dyDescent="0.2">
      <c r="A4997" s="12">
        <v>4936</v>
      </c>
      <c r="B4997" s="138">
        <f>'FP Info 3'!H37</f>
        <v>1260000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3705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479013</v>
      </c>
      <c r="D5061" s="2" t="str">
        <f t="shared" si="78"/>
        <v>Error?</v>
      </c>
    </row>
    <row r="5062" spans="1:4" x14ac:dyDescent="0.2">
      <c r="A5062" s="10">
        <v>5001</v>
      </c>
      <c r="D5062" s="2" t="str">
        <f t="shared" si="78"/>
        <v>OK</v>
      </c>
    </row>
    <row r="5063" spans="1:4" x14ac:dyDescent="0.2">
      <c r="A5063" s="5">
        <v>5002</v>
      </c>
      <c r="B5063" s="138">
        <f>'Revenues 9-14'!C7</f>
        <v>10828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493546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1932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1932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2177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2177</v>
      </c>
      <c r="C5096" s="2" t="s">
        <v>594</v>
      </c>
      <c r="D5096" s="2" t="str">
        <f t="shared" si="78"/>
        <v>Error?</v>
      </c>
    </row>
    <row r="5097" spans="1:4" x14ac:dyDescent="0.2">
      <c r="A5097" s="5">
        <v>5036</v>
      </c>
      <c r="B5097" s="138">
        <f>'Revenues 9-14'!C77</f>
        <v>10223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11543</v>
      </c>
      <c r="C5102" s="2" t="s">
        <v>594</v>
      </c>
      <c r="D5102" s="2" t="str">
        <f t="shared" si="78"/>
        <v>Error?</v>
      </c>
    </row>
    <row r="5103" spans="1:4" x14ac:dyDescent="0.2">
      <c r="A5103" s="5">
        <v>5042</v>
      </c>
      <c r="B5103" s="138">
        <f>'Revenues 9-14'!C84</f>
        <v>7315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7315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4151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480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20317</v>
      </c>
      <c r="D5119" s="2" t="str">
        <f t="shared" ref="D5119:D5182" si="79">IF(ISBLANK(B5119),"OK",IF(A5119-B5119=0,"OK","Error?"))</f>
        <v>Error?</v>
      </c>
    </row>
    <row r="5120" spans="1:4" x14ac:dyDescent="0.2">
      <c r="A5120" s="5">
        <v>5059</v>
      </c>
      <c r="B5120" s="138">
        <f>'Revenues 9-14'!C108</f>
        <v>25628</v>
      </c>
      <c r="C5120" s="2" t="s">
        <v>594</v>
      </c>
      <c r="D5120" s="2" t="str">
        <f t="shared" si="79"/>
        <v>Error?</v>
      </c>
    </row>
    <row r="5121" spans="1:4" x14ac:dyDescent="0.2">
      <c r="A5121" s="5">
        <v>5060</v>
      </c>
      <c r="B5121" s="138">
        <f>'Revenues 9-14'!C109</f>
        <v>552141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1761420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1761420</v>
      </c>
      <c r="C5132" s="2" t="s">
        <v>594</v>
      </c>
      <c r="D5132" s="2" t="str">
        <f t="shared" si="79"/>
        <v>Error?</v>
      </c>
    </row>
    <row r="5133" spans="1:4" x14ac:dyDescent="0.2">
      <c r="A5133" s="5">
        <v>5072</v>
      </c>
      <c r="B5133" s="138">
        <f>'Revenues 9-14'!C124</f>
        <v>72340</v>
      </c>
      <c r="D5133" s="2" t="str">
        <f t="shared" si="79"/>
        <v>Error?</v>
      </c>
    </row>
    <row r="5134" spans="1:4" x14ac:dyDescent="0.2">
      <c r="A5134" s="5">
        <v>5073</v>
      </c>
      <c r="B5134" s="138">
        <f>'Revenues 9-14'!C125</f>
        <v>22542</v>
      </c>
      <c r="D5134" s="2" t="str">
        <f t="shared" si="79"/>
        <v>Error?</v>
      </c>
    </row>
    <row r="5135" spans="1:4" x14ac:dyDescent="0.2">
      <c r="A5135" s="5">
        <v>5074</v>
      </c>
      <c r="B5135" s="138">
        <f>'Revenues 9-14'!C126</f>
        <v>33474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128356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7409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7409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2330</v>
      </c>
      <c r="D5167" s="2" t="str">
        <f t="shared" si="79"/>
        <v>Error?</v>
      </c>
    </row>
    <row r="5168" spans="1:4" x14ac:dyDescent="0.2">
      <c r="A5168" s="5">
        <v>5107</v>
      </c>
      <c r="B5168" s="138">
        <f>'Revenues 9-14'!C147</f>
        <v>1732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125102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264929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2026349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102360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49463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151823</v>
      </c>
      <c r="C5246" s="2" t="s">
        <v>594</v>
      </c>
      <c r="D5246" s="2" t="str">
        <f t="shared" si="80"/>
        <v>Error?</v>
      </c>
    </row>
    <row r="5247" spans="1:4" x14ac:dyDescent="0.2">
      <c r="A5247" s="5">
        <v>5186</v>
      </c>
      <c r="B5247" s="138">
        <f>'Revenues 9-14'!C203</f>
        <v>129403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129403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324842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324842</v>
      </c>
      <c r="C5326" s="2" t="s">
        <v>594</v>
      </c>
      <c r="D5326" s="2" t="str">
        <f t="shared" si="82"/>
        <v>Error?</v>
      </c>
    </row>
    <row r="5327" spans="1:4" x14ac:dyDescent="0.2">
      <c r="A5327" s="5">
        <v>5266</v>
      </c>
      <c r="B5327" s="138">
        <f>'Revenues 9-14'!C275</f>
        <v>2903332</v>
      </c>
      <c r="C5327" s="2" t="s">
        <v>594</v>
      </c>
      <c r="D5327" s="2" t="str">
        <f t="shared" si="82"/>
        <v>Error?</v>
      </c>
    </row>
    <row r="5328" spans="1:4" x14ac:dyDescent="0.2">
      <c r="A5328" s="5">
        <v>5267</v>
      </c>
      <c r="B5328" s="138">
        <f>'Revenues 9-14'!D5</f>
        <v>87133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87133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1900</v>
      </c>
      <c r="D5354" s="2" t="str">
        <f t="shared" si="82"/>
        <v>Error?</v>
      </c>
    </row>
    <row r="5355" spans="1:4" x14ac:dyDescent="0.2">
      <c r="A5355" s="5">
        <v>5294</v>
      </c>
      <c r="B5355" s="138">
        <f>'Revenues 9-14'!D108</f>
        <v>1900</v>
      </c>
      <c r="C5355" s="2" t="s">
        <v>594</v>
      </c>
      <c r="D5355" s="2" t="str">
        <f t="shared" si="82"/>
        <v>Error?</v>
      </c>
    </row>
    <row r="5356" spans="1:4" x14ac:dyDescent="0.2">
      <c r="A5356" s="5">
        <v>5295</v>
      </c>
      <c r="B5356" s="138">
        <f>'Revenues 9-14'!D109</f>
        <v>89384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31000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31000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31000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120384</v>
      </c>
      <c r="C5508" s="2" t="s">
        <v>594</v>
      </c>
      <c r="D5508" s="2" t="str">
        <f t="shared" si="85"/>
        <v>Error?</v>
      </c>
    </row>
    <row r="5509" spans="1:4" x14ac:dyDescent="0.2">
      <c r="A5509" s="5">
        <v>5448</v>
      </c>
      <c r="B5509" s="138">
        <f>'Revenues 9-14'!E5</f>
        <v>139786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139786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140039</v>
      </c>
      <c r="C5527" s="2" t="s">
        <v>594</v>
      </c>
      <c r="D5527" s="2" t="str">
        <f t="shared" si="85"/>
        <v>Error?</v>
      </c>
    </row>
    <row r="5528" spans="1:4" x14ac:dyDescent="0.2">
      <c r="A5528" s="5">
        <v>5467</v>
      </c>
      <c r="B5528" s="138">
        <f>'Revenues 9-14'!E117</f>
        <v>2200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2200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2200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142239</v>
      </c>
      <c r="C5552" s="2" t="s">
        <v>594</v>
      </c>
      <c r="D5552" s="2" t="str">
        <f t="shared" si="85"/>
        <v>Error?</v>
      </c>
    </row>
    <row r="5553" spans="1:4" x14ac:dyDescent="0.2">
      <c r="A5553" s="5">
        <v>5492</v>
      </c>
      <c r="B5553" s="138">
        <f>'Revenues 9-14'!F5</f>
        <v>55035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55035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884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884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55919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18167</v>
      </c>
      <c r="D5615" s="2" t="str">
        <f t="shared" si="86"/>
        <v>Error?</v>
      </c>
    </row>
    <row r="5616" spans="1:4" x14ac:dyDescent="0.2">
      <c r="A5616" s="10">
        <v>5555</v>
      </c>
      <c r="D5616" s="2" t="str">
        <f t="shared" si="86"/>
        <v>OK</v>
      </c>
    </row>
    <row r="5617" spans="1:4" x14ac:dyDescent="0.2">
      <c r="A5617" s="5">
        <v>5556</v>
      </c>
      <c r="B5617" s="138">
        <f>'Revenues 9-14'!F152</f>
        <v>71405</v>
      </c>
      <c r="D5617" s="2" t="str">
        <f t="shared" si="86"/>
        <v>Error?</v>
      </c>
    </row>
    <row r="5618" spans="1:4" x14ac:dyDescent="0.2">
      <c r="A5618" s="5">
        <v>5557</v>
      </c>
      <c r="B5618" s="138">
        <f>'Revenues 9-14'!F154</f>
        <v>89572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92572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92572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148491</v>
      </c>
      <c r="C5720" s="2" t="s">
        <v>594</v>
      </c>
      <c r="D5720" s="2" t="str">
        <f t="shared" si="88"/>
        <v>Error?</v>
      </c>
    </row>
    <row r="5721" spans="1:4" x14ac:dyDescent="0.2">
      <c r="A5721" s="5">
        <v>5660</v>
      </c>
      <c r="B5721" s="138">
        <f>'Revenues 9-14'!G5</f>
        <v>20999</v>
      </c>
      <c r="D5721" s="2" t="str">
        <f t="shared" si="88"/>
        <v>Error?</v>
      </c>
    </row>
    <row r="5722" spans="1:4" x14ac:dyDescent="0.2">
      <c r="A5722" s="5">
        <v>5661</v>
      </c>
      <c r="B5722" s="138">
        <f>'Revenues 9-14'!G7</f>
        <v>0</v>
      </c>
      <c r="D5722" s="2" t="str">
        <f t="shared" si="88"/>
        <v>Error?</v>
      </c>
    </row>
    <row r="5723" spans="1:4" x14ac:dyDescent="0.2">
      <c r="A5723" s="5">
        <v>5662</v>
      </c>
      <c r="B5723" s="138">
        <f>'Revenues 9-14'!G8</f>
        <v>19827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40826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34143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34143</v>
      </c>
      <c r="C5730" s="2" t="s">
        <v>594</v>
      </c>
      <c r="D5730" s="2" t="str">
        <f t="shared" si="88"/>
        <v>Error?</v>
      </c>
    </row>
    <row r="5731" spans="1:4" x14ac:dyDescent="0.2">
      <c r="A5731" s="5">
        <v>5670</v>
      </c>
      <c r="B5731" s="138">
        <f>'Revenues 9-14'!G65</f>
        <v>208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18750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18750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18750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93927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232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137199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137431</v>
      </c>
      <c r="C5915" s="2" t="s">
        <v>594</v>
      </c>
      <c r="D5915" s="2" t="str">
        <f t="shared" si="91"/>
        <v>Error?</v>
      </c>
    </row>
    <row r="5916" spans="1:4" x14ac:dyDescent="0.2">
      <c r="A5916" s="5">
        <v>5855</v>
      </c>
      <c r="B5916" s="138">
        <f>'Revenues 9-14'!I5</f>
        <v>4925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4925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1754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6679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9918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9918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10013</v>
      </c>
      <c r="C6023" s="2" t="s">
        <v>594</v>
      </c>
      <c r="D6023" s="2" t="str">
        <f t="shared" si="93"/>
        <v>Error?</v>
      </c>
    </row>
    <row r="6024" spans="1:5" x14ac:dyDescent="0.2">
      <c r="A6024" s="5">
        <v>5963</v>
      </c>
      <c r="B6024" s="138">
        <f>'Revenues 9-14'!G109</f>
        <v>75177</v>
      </c>
      <c r="C6024" s="2" t="s">
        <v>594</v>
      </c>
      <c r="D6024" s="2" t="str">
        <f t="shared" si="93"/>
        <v>Error?</v>
      </c>
    </row>
    <row r="6025" spans="1:5" x14ac:dyDescent="0.2">
      <c r="A6025" s="5">
        <v>5964</v>
      </c>
      <c r="B6025" s="138">
        <f>'Revenues 9-14'!H109</f>
        <v>137431</v>
      </c>
      <c r="C6025" s="2" t="s">
        <v>594</v>
      </c>
      <c r="D6025" s="2" t="str">
        <f t="shared" si="93"/>
        <v>Error?</v>
      </c>
    </row>
    <row r="6026" spans="1:5" x14ac:dyDescent="0.2">
      <c r="A6026" s="5">
        <v>5965</v>
      </c>
      <c r="B6026" s="138">
        <f>'Revenues 9-14'!I109</f>
        <v>6679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10013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14804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283.61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13621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13621</v>
      </c>
      <c r="D6215" s="2" t="str">
        <f t="shared" si="96"/>
        <v>Error?</v>
      </c>
      <c r="E6215" s="2" t="s">
        <v>199</v>
      </c>
    </row>
    <row r="6216" spans="1:5" x14ac:dyDescent="0.2">
      <c r="A6216">
        <v>6155</v>
      </c>
      <c r="B6216" s="138">
        <f>'Assets-Liab 5-6'!J41</f>
        <v>13621</v>
      </c>
      <c r="D6216" s="2" t="str">
        <f t="shared" si="96"/>
        <v>Error?</v>
      </c>
      <c r="E6216" s="2" t="s">
        <v>199</v>
      </c>
    </row>
    <row r="6217" spans="1:5" x14ac:dyDescent="0.2">
      <c r="A6217">
        <v>6156</v>
      </c>
      <c r="B6217" s="138">
        <f>'Assets-Liab 5-6'!J4</f>
        <v>13621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34742</v>
      </c>
      <c r="D6220" s="2" t="str">
        <f t="shared" si="96"/>
        <v>Error?</v>
      </c>
      <c r="E6220" s="2" t="s">
        <v>199</v>
      </c>
    </row>
    <row r="6221" spans="1:5" x14ac:dyDescent="0.2">
      <c r="A6221">
        <v>6160</v>
      </c>
      <c r="B6221" s="138">
        <f>'Acct Summary 7-8'!J6</f>
        <v>30300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65042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65042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64699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64699</v>
      </c>
      <c r="D6229" s="2" t="str">
        <f t="shared" si="96"/>
        <v>Error?</v>
      </c>
      <c r="E6229" s="2" t="s">
        <v>199</v>
      </c>
    </row>
    <row r="6230" spans="1:5" x14ac:dyDescent="0.2">
      <c r="A6230">
        <v>6169</v>
      </c>
      <c r="B6230" s="138">
        <f>'Acct Summary 7-8'!J20</f>
        <v>343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343</v>
      </c>
      <c r="D6263" s="2" t="str">
        <f t="shared" si="96"/>
        <v>Error?</v>
      </c>
      <c r="E6263" s="2" t="s">
        <v>199</v>
      </c>
    </row>
    <row r="6264" spans="1:5" x14ac:dyDescent="0.2">
      <c r="A6264">
        <v>6203</v>
      </c>
      <c r="B6264" s="138">
        <f>'Acct Summary 7-8'!J79</f>
        <v>13278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13621</v>
      </c>
      <c r="D6266" s="2" t="str">
        <f t="shared" si="96"/>
        <v>Error?</v>
      </c>
      <c r="E6266" s="2" t="s">
        <v>199</v>
      </c>
    </row>
    <row r="6267" spans="1:5" x14ac:dyDescent="0.2">
      <c r="A6267">
        <v>6206</v>
      </c>
      <c r="B6267" s="138">
        <f>'Acct Summary 7-8'!C82</f>
        <v>428307</v>
      </c>
      <c r="D6267" s="2" t="str">
        <f t="shared" si="96"/>
        <v>Error?</v>
      </c>
      <c r="E6267" s="2" t="s">
        <v>199</v>
      </c>
    </row>
    <row r="6268" spans="1:5" x14ac:dyDescent="0.2">
      <c r="A6268">
        <v>6207</v>
      </c>
      <c r="B6268" s="138">
        <f>'Acct Summary 7-8'!D82</f>
        <v>13657</v>
      </c>
      <c r="D6268" s="2" t="str">
        <f t="shared" si="96"/>
        <v>Error?</v>
      </c>
      <c r="E6268" s="2" t="s">
        <v>199</v>
      </c>
    </row>
    <row r="6269" spans="1:5" x14ac:dyDescent="0.2">
      <c r="A6269">
        <v>6208</v>
      </c>
      <c r="B6269" s="138">
        <f>'Acct Summary 7-8'!E82</f>
        <v>142</v>
      </c>
      <c r="D6269" s="2" t="str">
        <f t="shared" si="96"/>
        <v>Error?</v>
      </c>
      <c r="E6269" s="2" t="s">
        <v>199</v>
      </c>
    </row>
    <row r="6270" spans="1:5" x14ac:dyDescent="0.2">
      <c r="A6270">
        <v>6209</v>
      </c>
      <c r="B6270" s="138">
        <f>'Acct Summary 7-8'!F82</f>
        <v>38445</v>
      </c>
      <c r="D6270" s="2" t="str">
        <f t="shared" si="96"/>
        <v>Error?</v>
      </c>
      <c r="E6270" s="2" t="s">
        <v>199</v>
      </c>
    </row>
    <row r="6271" spans="1:5" x14ac:dyDescent="0.2">
      <c r="A6271">
        <v>6210</v>
      </c>
      <c r="B6271" s="138">
        <f>'Acct Summary 7-8'!G82</f>
        <v>1072</v>
      </c>
      <c r="D6271" s="2" t="str">
        <f t="shared" ref="D6271:D6334" si="97">IF(ISBLANK(B6271),"OK",IF(A6271-B6271=0,"OK","Error?"))</f>
        <v>Error?</v>
      </c>
      <c r="E6271" s="2" t="s">
        <v>199</v>
      </c>
    </row>
    <row r="6272" spans="1:5" x14ac:dyDescent="0.2">
      <c r="A6272">
        <v>6211</v>
      </c>
      <c r="B6272" s="138">
        <f>'Acct Summary 7-8'!H82</f>
        <v>-63640</v>
      </c>
      <c r="D6272" s="2" t="str">
        <f t="shared" si="97"/>
        <v>Error?</v>
      </c>
      <c r="E6272" s="2" t="s">
        <v>199</v>
      </c>
    </row>
    <row r="6273" spans="1:5" x14ac:dyDescent="0.2">
      <c r="A6273">
        <v>6212</v>
      </c>
      <c r="B6273" s="138">
        <f>'Acct Summary 7-8'!I82</f>
        <v>6679</v>
      </c>
      <c r="D6273" s="2" t="str">
        <f t="shared" si="97"/>
        <v>Error?</v>
      </c>
      <c r="E6273" s="2" t="s">
        <v>199</v>
      </c>
    </row>
    <row r="6274" spans="1:5" x14ac:dyDescent="0.2">
      <c r="A6274">
        <v>6213</v>
      </c>
      <c r="B6274" s="138">
        <f>'Acct Summary 7-8'!J82</f>
        <v>343</v>
      </c>
      <c r="D6274" s="2" t="str">
        <f t="shared" si="97"/>
        <v>Error?</v>
      </c>
      <c r="E6274" s="2" t="s">
        <v>199</v>
      </c>
    </row>
    <row r="6275" spans="1:5" x14ac:dyDescent="0.2">
      <c r="A6275">
        <v>6214</v>
      </c>
      <c r="B6275" s="138">
        <f>'Acct Summary 7-8'!K82</f>
        <v>3164</v>
      </c>
      <c r="D6275" s="2" t="str">
        <f t="shared" si="97"/>
        <v>Error?</v>
      </c>
      <c r="E6275" s="2" t="s">
        <v>199</v>
      </c>
    </row>
    <row r="6276" spans="1:5" x14ac:dyDescent="0.2">
      <c r="A6276">
        <v>6215</v>
      </c>
      <c r="B6276" s="138">
        <f>'Acct Summary 7-8'!C83</f>
        <v>0.4813097975228065</v>
      </c>
      <c r="D6276" s="2" t="str">
        <f t="shared" si="97"/>
        <v>Error?</v>
      </c>
      <c r="E6276" s="2" t="s">
        <v>199</v>
      </c>
    </row>
    <row r="6277" spans="1:5" x14ac:dyDescent="0.2">
      <c r="A6277">
        <v>6216</v>
      </c>
      <c r="B6277" s="138">
        <f>'Acct Summary 7-8'!D83</f>
        <v>0.15115995926860584</v>
      </c>
      <c r="D6277" s="2" t="str">
        <f t="shared" si="97"/>
        <v>Error?</v>
      </c>
      <c r="E6277" s="2" t="s">
        <v>199</v>
      </c>
    </row>
    <row r="6278" spans="1:5" x14ac:dyDescent="0.2">
      <c r="A6278">
        <v>6217</v>
      </c>
      <c r="B6278" s="138">
        <f>'Acct Summary 7-8'!E83</f>
        <v>3.3572120954204789E-3</v>
      </c>
      <c r="D6278" s="2" t="str">
        <f t="shared" si="97"/>
        <v>Error?</v>
      </c>
      <c r="E6278" s="2" t="s">
        <v>199</v>
      </c>
    </row>
    <row r="6279" spans="1:5" x14ac:dyDescent="0.2">
      <c r="A6279">
        <v>6218</v>
      </c>
      <c r="B6279" s="138">
        <f>'Acct Summary 7-8'!F83</f>
        <v>0.13153167947941577</v>
      </c>
      <c r="D6279" s="2" t="str">
        <f t="shared" si="97"/>
        <v>Error?</v>
      </c>
      <c r="E6279" s="2" t="s">
        <v>199</v>
      </c>
    </row>
    <row r="6280" spans="1:5" x14ac:dyDescent="0.2">
      <c r="A6280">
        <v>6219</v>
      </c>
      <c r="B6280" s="138">
        <f>'Acct Summary 7-8'!G83</f>
        <v>1.6320316662860622E-2</v>
      </c>
      <c r="D6280" s="2" t="str">
        <f t="shared" si="97"/>
        <v>Error?</v>
      </c>
      <c r="E6280" s="2" t="s">
        <v>199</v>
      </c>
    </row>
    <row r="6281" spans="1:5" x14ac:dyDescent="0.2">
      <c r="A6281">
        <v>6220</v>
      </c>
      <c r="B6281" s="138">
        <f>'Acct Summary 7-8'!H83</f>
        <v>-0.58619260350941838</v>
      </c>
      <c r="D6281" s="2" t="str">
        <f t="shared" si="97"/>
        <v>Error?</v>
      </c>
      <c r="E6281" s="2" t="s">
        <v>199</v>
      </c>
    </row>
    <row r="6282" spans="1:5" x14ac:dyDescent="0.2">
      <c r="A6282">
        <v>6221</v>
      </c>
      <c r="B6282" s="138">
        <f>'Acct Summary 7-8'!I83</f>
        <v>1.9590014636049265E-2</v>
      </c>
      <c r="D6282" s="2" t="str">
        <f t="shared" si="97"/>
        <v>Error?</v>
      </c>
      <c r="E6282" s="2" t="s">
        <v>199</v>
      </c>
    </row>
    <row r="6283" spans="1:5" x14ac:dyDescent="0.2">
      <c r="A6283">
        <v>6222</v>
      </c>
      <c r="B6283" s="138">
        <f>'Acct Summary 7-8'!J83</f>
        <v>2.5181704720651933E-2</v>
      </c>
      <c r="D6283" s="2" t="str">
        <f t="shared" si="97"/>
        <v>Error?</v>
      </c>
      <c r="E6283" s="2" t="s">
        <v>199</v>
      </c>
    </row>
    <row r="6284" spans="1:5" x14ac:dyDescent="0.2">
      <c r="A6284">
        <v>6223</v>
      </c>
      <c r="B6284" s="138">
        <f>'Acct Summary 7-8'!K83</f>
        <v>0.10088963999872454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34694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34694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680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34742</v>
      </c>
      <c r="D6352" s="2" t="str">
        <f t="shared" si="98"/>
        <v>Error?</v>
      </c>
      <c r="E6352" s="2" t="s">
        <v>199</v>
      </c>
    </row>
    <row r="6353" spans="1:5" x14ac:dyDescent="0.2">
      <c r="A6353">
        <v>6292</v>
      </c>
      <c r="B6353" s="138">
        <f>'Revenues 9-14'!J117</f>
        <v>30300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30300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30300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68413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92158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11406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69696</v>
      </c>
      <c r="D6880" s="2" t="str">
        <f t="shared" si="106"/>
        <v>Error?</v>
      </c>
    </row>
    <row r="6881" spans="1:4" x14ac:dyDescent="0.2">
      <c r="A6881">
        <v>6820</v>
      </c>
      <c r="B6881" s="138">
        <f>'Expenditures 15-22'!K22</f>
        <v>69696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64699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65042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5744</v>
      </c>
      <c r="D7073" s="2" t="str">
        <f t="shared" si="109"/>
        <v>Error?</v>
      </c>
    </row>
    <row r="7074" spans="1:4" x14ac:dyDescent="0.2">
      <c r="A7074">
        <v>7013</v>
      </c>
      <c r="B7074" s="138">
        <f>'Expenditures 15-22'!K216</f>
        <v>5744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96</v>
      </c>
      <c r="D7079" s="2" t="str">
        <f t="shared" si="109"/>
        <v>Error?</v>
      </c>
    </row>
    <row r="7080" spans="1:4" x14ac:dyDescent="0.2">
      <c r="A7080">
        <v>7019</v>
      </c>
      <c r="B7080" s="138">
        <f>'Expenditures 15-22'!K226</f>
        <v>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24670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24670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39202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39202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64699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64699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64699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64699</v>
      </c>
      <c r="D7224" s="2" t="str">
        <f t="shared" si="111"/>
        <v>Error?</v>
      </c>
    </row>
    <row r="7225" spans="1:4" x14ac:dyDescent="0.2">
      <c r="A7225">
        <v>7164</v>
      </c>
      <c r="B7225" s="138">
        <f>'Expenditures 15-22'!K343</f>
        <v>343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6601</v>
      </c>
      <c r="D7246" s="2" t="str">
        <f t="shared" si="112"/>
        <v>Error?</v>
      </c>
    </row>
    <row r="7247" spans="1:4" x14ac:dyDescent="0.2">
      <c r="A7247">
        <f t="shared" si="113"/>
        <v>7186</v>
      </c>
      <c r="B7247" s="138">
        <f>'Expenditures 15-22'!E7</f>
        <v>2634</v>
      </c>
      <c r="D7247" s="2" t="str">
        <f t="shared" si="112"/>
        <v>Error?</v>
      </c>
    </row>
    <row r="7248" spans="1:4" x14ac:dyDescent="0.2">
      <c r="A7248">
        <f t="shared" si="113"/>
        <v>7187</v>
      </c>
      <c r="B7248" s="138">
        <f>'Expenditures 15-22'!F7</f>
        <v>14510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9800</v>
      </c>
      <c r="D7263" s="2" t="str">
        <f t="shared" si="112"/>
        <v>Error?</v>
      </c>
    </row>
    <row r="7264" spans="1:4" x14ac:dyDescent="0.2">
      <c r="A7264">
        <f t="shared" si="113"/>
        <v>7203</v>
      </c>
      <c r="B7264" s="138">
        <f>'Expenditures 15-22'!D17</f>
        <v>731</v>
      </c>
      <c r="D7264" s="2" t="str">
        <f t="shared" si="112"/>
        <v>Error?</v>
      </c>
    </row>
    <row r="7265" spans="1:5" x14ac:dyDescent="0.2">
      <c r="A7265">
        <f t="shared" si="113"/>
        <v>7204</v>
      </c>
      <c r="B7265" s="138">
        <f>'Expenditures 15-22'!E17</f>
        <v>162</v>
      </c>
      <c r="D7265" s="2" t="str">
        <f t="shared" si="112"/>
        <v>Error?</v>
      </c>
    </row>
    <row r="7266" spans="1:5" x14ac:dyDescent="0.2">
      <c r="A7266">
        <f t="shared" si="113"/>
        <v>7205</v>
      </c>
      <c r="B7266" s="138">
        <f>'Expenditures 15-22'!F17</f>
        <v>703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5981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5981</v>
      </c>
      <c r="D7618" s="2" t="str">
        <f t="shared" si="124"/>
        <v>Error?</v>
      </c>
      <c r="E7618" s="2" t="s">
        <v>19</v>
      </c>
    </row>
    <row r="7619" spans="1:5" x14ac:dyDescent="0.2">
      <c r="A7619">
        <f t="shared" si="123"/>
        <v>7558</v>
      </c>
      <c r="B7619" s="138">
        <f>'Cap Outlay Deprec 26'!H14</f>
        <v>5673</v>
      </c>
      <c r="D7619" s="2" t="str">
        <f t="shared" si="124"/>
        <v>Error?</v>
      </c>
      <c r="E7619" s="2" t="s">
        <v>19</v>
      </c>
    </row>
    <row r="7620" spans="1:5" x14ac:dyDescent="0.2">
      <c r="A7620">
        <f t="shared" si="123"/>
        <v>7559</v>
      </c>
      <c r="B7620" s="138">
        <f>'Cap Outlay Deprec 26'!I14</f>
        <v>309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5982</v>
      </c>
      <c r="D7622" s="2" t="str">
        <f t="shared" si="124"/>
        <v>Error?</v>
      </c>
      <c r="E7622" s="2" t="s">
        <v>19</v>
      </c>
    </row>
    <row r="7623" spans="1:5" x14ac:dyDescent="0.2">
      <c r="A7623">
        <f t="shared" si="123"/>
        <v>7562</v>
      </c>
      <c r="B7623" s="138">
        <f>'Cap Outlay Deprec 26'!L14</f>
        <v>-1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152014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122331</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680</v>
      </c>
      <c r="D7712" s="2" t="str">
        <f t="shared" si="126"/>
        <v>Error?</v>
      </c>
      <c r="E7712" s="2" t="s">
        <v>881</v>
      </c>
    </row>
    <row r="7713" spans="1:6" x14ac:dyDescent="0.2">
      <c r="A7713">
        <v>7652</v>
      </c>
      <c r="B7713" s="138">
        <f>'Rest Tax Levies-Tort Im 25'!J8</f>
        <v>137199</v>
      </c>
      <c r="D7713" s="2" t="str">
        <f t="shared" si="126"/>
        <v>Error?</v>
      </c>
      <c r="E7713" s="2" t="s">
        <v>881</v>
      </c>
    </row>
    <row r="7714" spans="1:6" x14ac:dyDescent="0.2">
      <c r="A7714">
        <v>7653</v>
      </c>
      <c r="B7714" s="138">
        <f>'Rest Tax Levies-Tort Im 25'!K9</f>
        <v>1732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137199</v>
      </c>
      <c r="D7718" s="2" t="str">
        <f t="shared" si="126"/>
        <v>Error?</v>
      </c>
      <c r="E7718" s="2" t="s">
        <v>881</v>
      </c>
    </row>
    <row r="7719" spans="1:6" x14ac:dyDescent="0.2">
      <c r="A7719">
        <v>7658</v>
      </c>
      <c r="B7719" s="138">
        <f>'Rest Tax Levies-Tort Im 25'!K12</f>
        <v>2412</v>
      </c>
      <c r="D7719" s="2" t="str">
        <f t="shared" si="126"/>
        <v>Error?</v>
      </c>
      <c r="E7719" s="2" t="s">
        <v>881</v>
      </c>
    </row>
    <row r="7720" spans="1:6" x14ac:dyDescent="0.2">
      <c r="A7720">
        <v>7659</v>
      </c>
      <c r="B7720" s="138">
        <f>'Rest Tax Levies-Tort Im 25'!H14</f>
        <v>10828</v>
      </c>
      <c r="D7720" s="2" t="str">
        <f t="shared" si="126"/>
        <v>Error?</v>
      </c>
      <c r="E7720" s="2" t="s">
        <v>881</v>
      </c>
    </row>
    <row r="7721" spans="1:6" x14ac:dyDescent="0.2">
      <c r="A7721">
        <v>7660</v>
      </c>
      <c r="B7721" s="138">
        <f>'Rest Tax Levies-Tort Im 25'!K14</f>
        <v>2412</v>
      </c>
      <c r="D7721" s="2" t="str">
        <f t="shared" si="126"/>
        <v>Error?</v>
      </c>
      <c r="E7721" s="2" t="s">
        <v>881</v>
      </c>
    </row>
    <row r="7722" spans="1:6" x14ac:dyDescent="0.2">
      <c r="A7722">
        <v>7661</v>
      </c>
      <c r="B7722" s="138">
        <f>'Rest Tax Levies-Tort Im 25'!J15</f>
        <v>196976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196976</v>
      </c>
      <c r="D7730" s="2" t="str">
        <f t="shared" si="126"/>
        <v>Error?</v>
      </c>
      <c r="E7730" s="2" t="s">
        <v>881</v>
      </c>
    </row>
    <row r="7731" spans="1:6" x14ac:dyDescent="0.2">
      <c r="A7731">
        <v>7670</v>
      </c>
      <c r="B7731" s="138">
        <f>'Revenues 9-14'!H103</f>
        <v>137199</v>
      </c>
      <c r="D7731" s="2" t="str">
        <f t="shared" si="126"/>
        <v>Error?</v>
      </c>
      <c r="E7731" s="2" t="s">
        <v>881</v>
      </c>
    </row>
    <row r="7732" spans="1:6" x14ac:dyDescent="0.2">
      <c r="A7732">
        <v>7671</v>
      </c>
      <c r="B7732" s="138">
        <f>'Rest Tax Levies-Tort Im 25'!J24</f>
        <v>62554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62554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36" t="s">
        <v>1253</v>
      </c>
      <c r="B2" s="2436"/>
      <c r="C2" s="2436"/>
      <c r="D2" s="2436"/>
      <c r="E2" s="2436"/>
      <c r="F2" s="2436"/>
      <c r="G2" s="2436"/>
      <c r="H2" s="2436"/>
      <c r="I2" s="2436"/>
      <c r="J2" s="2436"/>
      <c r="K2" s="2436"/>
      <c r="L2" s="2436"/>
    </row>
    <row r="3" spans="1:29" ht="13.5" customHeight="1" x14ac:dyDescent="0.2">
      <c r="A3" s="2467" t="s">
        <v>1252</v>
      </c>
      <c r="B3" s="2467"/>
      <c r="C3" s="2467"/>
      <c r="D3" s="2467"/>
      <c r="E3" s="2467"/>
      <c r="F3" s="2467"/>
      <c r="G3" s="2467"/>
      <c r="H3" s="2467"/>
      <c r="I3" s="2467"/>
      <c r="J3" s="2467"/>
      <c r="K3" s="2467"/>
      <c r="L3" s="2467"/>
    </row>
    <row r="4" spans="1:29" ht="13.5" customHeight="1" x14ac:dyDescent="0.2">
      <c r="A4" s="2436" t="s">
        <v>1799</v>
      </c>
      <c r="B4" s="2457"/>
      <c r="C4" s="2457"/>
      <c r="D4" s="2457"/>
      <c r="E4" s="2457"/>
      <c r="F4" s="2457"/>
      <c r="G4" s="2457"/>
      <c r="H4" s="2457"/>
      <c r="I4" s="2457"/>
      <c r="J4" s="2457"/>
      <c r="K4" s="2457"/>
      <c r="L4" s="2457"/>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58" t="str">
        <f>COVER!A17</f>
        <v>South Fork Community Unit School District No. 14</v>
      </c>
      <c r="B7" s="2459"/>
      <c r="C7" s="2459"/>
      <c r="D7" s="2460"/>
      <c r="E7" s="2461">
        <f>COVER!A13</f>
        <v>3011014024</v>
      </c>
      <c r="F7" s="2462"/>
      <c r="G7" s="2468" t="str">
        <f>COVER!T23</f>
        <v>066-003847</v>
      </c>
      <c r="H7" s="2469"/>
      <c r="I7" s="2469"/>
      <c r="J7" s="2469"/>
      <c r="K7" s="2469"/>
      <c r="L7" s="2470"/>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71"/>
      <c r="B9" s="2472"/>
      <c r="C9" s="2472"/>
      <c r="D9" s="2472"/>
      <c r="E9" s="2472"/>
      <c r="F9" s="2473"/>
      <c r="G9" s="2442" t="str">
        <f>COVER!T13</f>
        <v>LMHN, Ltd.</v>
      </c>
      <c r="H9" s="2474"/>
      <c r="I9" s="2474"/>
      <c r="J9" s="2474"/>
      <c r="K9" s="2474"/>
      <c r="L9" s="2475"/>
    </row>
    <row r="10" spans="1:29" ht="13.5" customHeight="1" x14ac:dyDescent="0.2">
      <c r="A10" s="2448" t="str">
        <f>COVER!A38</f>
        <v>Ron Graham</v>
      </c>
      <c r="B10" s="2449"/>
      <c r="C10" s="2449"/>
      <c r="D10" s="2449"/>
      <c r="E10" s="2449"/>
      <c r="F10" s="2450"/>
      <c r="G10" s="2442" t="str">
        <f>COVER!T17</f>
        <v>900 N. Webster Street</v>
      </c>
      <c r="H10" s="2443"/>
      <c r="I10" s="2443"/>
      <c r="J10" s="2443"/>
      <c r="K10" s="2443"/>
      <c r="L10" s="2444"/>
    </row>
    <row r="11" spans="1:29" ht="13.5" customHeight="1" x14ac:dyDescent="0.2">
      <c r="A11" s="1182" t="s">
        <v>1599</v>
      </c>
      <c r="B11" s="1183"/>
      <c r="C11" s="1184"/>
      <c r="D11" s="1189"/>
      <c r="E11" s="1184"/>
      <c r="F11" s="1188"/>
      <c r="G11" s="2442" t="str">
        <f>COVER!T19</f>
        <v>Taylorville</v>
      </c>
      <c r="H11" s="2443"/>
      <c r="I11" s="2443"/>
      <c r="J11" s="2443"/>
      <c r="K11" s="2443"/>
      <c r="L11" s="2444"/>
    </row>
    <row r="12" spans="1:29" ht="13.5" customHeight="1" x14ac:dyDescent="0.2">
      <c r="A12" s="2451" t="s">
        <v>1598</v>
      </c>
      <c r="B12" s="2452"/>
      <c r="C12" s="2452"/>
      <c r="D12" s="2452"/>
      <c r="E12" s="2452"/>
      <c r="F12" s="2453"/>
      <c r="G12" s="2445"/>
      <c r="H12" s="2446"/>
      <c r="I12" s="2446"/>
      <c r="J12" s="2446"/>
      <c r="K12" s="2446"/>
      <c r="L12" s="2447"/>
    </row>
    <row r="13" spans="1:29" ht="13.5" customHeight="1" x14ac:dyDescent="0.2">
      <c r="A13" s="2442"/>
      <c r="B13" s="2443"/>
      <c r="C13" s="2443"/>
      <c r="D13" s="2443"/>
      <c r="E13" s="2443"/>
      <c r="F13" s="2444"/>
      <c r="G13" s="2437" t="s">
        <v>1600</v>
      </c>
      <c r="H13" s="2438"/>
      <c r="I13" s="2454" t="str">
        <f>COVER!T25</f>
        <v>lmhncpas@yahoo.com</v>
      </c>
      <c r="J13" s="2455"/>
      <c r="K13" s="2455"/>
      <c r="L13" s="2456"/>
    </row>
    <row r="14" spans="1:29" ht="13.5" customHeight="1" x14ac:dyDescent="0.2">
      <c r="A14" s="2442" t="str">
        <f>COVER!A19</f>
        <v>612 Dial Street - P.O. Box 20</v>
      </c>
      <c r="B14" s="2443"/>
      <c r="C14" s="2443"/>
      <c r="D14" s="2443"/>
      <c r="E14" s="2443"/>
      <c r="F14" s="2444"/>
      <c r="G14" s="1193" t="s">
        <v>1247</v>
      </c>
      <c r="H14" s="1191"/>
      <c r="I14" s="1191"/>
      <c r="J14" s="1191"/>
      <c r="K14" s="1191"/>
      <c r="L14" s="1192"/>
    </row>
    <row r="15" spans="1:29" ht="13.5" customHeight="1" x14ac:dyDescent="0.2">
      <c r="A15" s="2442" t="str">
        <f>COVER!A21</f>
        <v>Kincaid</v>
      </c>
      <c r="B15" s="2443"/>
      <c r="C15" s="2443"/>
      <c r="D15" s="2443"/>
      <c r="E15" s="2443"/>
      <c r="F15" s="2444"/>
      <c r="G15" s="2439" t="str">
        <f>COVER!T15</f>
        <v>M. Adam Mathias, CPA, PFS, CVA</v>
      </c>
      <c r="H15" s="2440"/>
      <c r="I15" s="2440"/>
      <c r="J15" s="2440"/>
      <c r="K15" s="2440"/>
      <c r="L15" s="2441"/>
    </row>
    <row r="16" spans="1:29" ht="12.2" customHeight="1" x14ac:dyDescent="0.2">
      <c r="A16" s="2464">
        <f>COVER!A25</f>
        <v>62540</v>
      </c>
      <c r="B16" s="2465"/>
      <c r="C16" s="2465"/>
      <c r="D16" s="2465"/>
      <c r="E16" s="2465"/>
      <c r="F16" s="2466"/>
      <c r="G16" s="2476"/>
      <c r="H16" s="2477"/>
      <c r="I16" s="2477"/>
      <c r="J16" s="2477"/>
      <c r="K16" s="2477"/>
      <c r="L16" s="2478"/>
    </row>
    <row r="17" spans="1:13" ht="12.2" customHeight="1" x14ac:dyDescent="0.2">
      <c r="A17" s="2479"/>
      <c r="B17" s="2465"/>
      <c r="C17" s="2465"/>
      <c r="D17" s="2465"/>
      <c r="E17" s="2465"/>
      <c r="F17" s="2466"/>
      <c r="G17" s="1193" t="s">
        <v>1246</v>
      </c>
      <c r="H17" s="1191"/>
      <c r="I17" s="1191"/>
      <c r="J17" s="1191"/>
      <c r="K17" s="1195" t="s">
        <v>1245</v>
      </c>
      <c r="L17" s="1188"/>
      <c r="M17" s="1181"/>
    </row>
    <row r="18" spans="1:13" ht="12.2" customHeight="1" x14ac:dyDescent="0.2">
      <c r="A18" s="2448"/>
      <c r="B18" s="2449"/>
      <c r="C18" s="2449"/>
      <c r="D18" s="2449"/>
      <c r="E18" s="2449"/>
      <c r="F18" s="2450"/>
      <c r="G18" s="2458" t="str">
        <f>COVER!T21</f>
        <v>217-824-9661</v>
      </c>
      <c r="H18" s="2459"/>
      <c r="I18" s="2459"/>
      <c r="J18" s="2459"/>
      <c r="K18" s="2458" t="str">
        <f>COVER!X21</f>
        <v>217-824-2415</v>
      </c>
      <c r="L18" s="2463"/>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6" t="s">
        <v>1230</v>
      </c>
      <c r="B2" s="2106"/>
      <c r="C2" s="2106"/>
      <c r="D2" s="2106"/>
      <c r="E2" s="2106"/>
      <c r="F2" s="2106"/>
      <c r="G2" s="2106"/>
      <c r="H2" s="2106"/>
      <c r="I2" s="2106"/>
      <c r="J2" s="210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0" t="s">
        <v>1731</v>
      </c>
      <c r="B35" s="2121"/>
      <c r="C35" s="2121"/>
      <c r="D35" s="2121"/>
      <c r="E35" s="2122"/>
      <c r="F35" s="2122"/>
      <c r="G35" s="2122"/>
      <c r="H35" s="2122"/>
      <c r="I35" s="212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0" t="s">
        <v>331</v>
      </c>
      <c r="B47" s="2123"/>
      <c r="C47" s="2123"/>
      <c r="D47" s="2123"/>
      <c r="E47" s="2124"/>
      <c r="F47" s="2124"/>
      <c r="G47" s="2124"/>
      <c r="H47" s="2124"/>
      <c r="I47" s="212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2123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2123</v>
      </c>
      <c r="C53" s="179">
        <v>22</v>
      </c>
      <c r="D53" s="247" t="s">
        <v>1537</v>
      </c>
      <c r="E53" s="248"/>
      <c r="F53" s="249"/>
      <c r="G53" s="249" t="s">
        <v>1536</v>
      </c>
      <c r="H53" s="250">
        <v>35370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7"/>
      <c r="C57" s="2128"/>
      <c r="D57" s="2128"/>
      <c r="E57" s="2128"/>
      <c r="F57" s="2128"/>
      <c r="G57" s="2128"/>
      <c r="H57" s="2128"/>
      <c r="I57" s="2128"/>
      <c r="J57" s="2129"/>
    </row>
    <row r="58" spans="1:10" s="181" customFormat="1" x14ac:dyDescent="0.2">
      <c r="A58" s="253"/>
      <c r="B58" s="2130"/>
      <c r="C58" s="2131"/>
      <c r="D58" s="2131"/>
      <c r="E58" s="2131"/>
      <c r="F58" s="2131"/>
      <c r="G58" s="2131"/>
      <c r="H58" s="2131"/>
      <c r="I58" s="2131"/>
      <c r="J58" s="2132"/>
    </row>
    <row r="59" spans="1:10" s="181" customFormat="1" x14ac:dyDescent="0.2">
      <c r="A59" s="253"/>
      <c r="B59" s="2130"/>
      <c r="C59" s="2131"/>
      <c r="D59" s="2131"/>
      <c r="E59" s="2131"/>
      <c r="F59" s="2131"/>
      <c r="G59" s="2131"/>
      <c r="H59" s="2131"/>
      <c r="I59" s="2131"/>
      <c r="J59" s="2132"/>
    </row>
    <row r="60" spans="1:10" s="181" customFormat="1" x14ac:dyDescent="0.2">
      <c r="A60" s="253"/>
      <c r="B60" s="2130"/>
      <c r="C60" s="2131"/>
      <c r="D60" s="2131"/>
      <c r="E60" s="2131"/>
      <c r="F60" s="2131"/>
      <c r="G60" s="2131"/>
      <c r="H60" s="2131"/>
      <c r="I60" s="2131"/>
      <c r="J60" s="2132"/>
    </row>
    <row r="61" spans="1:10" s="181" customFormat="1" x14ac:dyDescent="0.2">
      <c r="A61" s="253"/>
      <c r="B61" s="2130"/>
      <c r="C61" s="2131"/>
      <c r="D61" s="2131"/>
      <c r="E61" s="2131"/>
      <c r="F61" s="2131"/>
      <c r="G61" s="2131"/>
      <c r="H61" s="2131"/>
      <c r="I61" s="2131"/>
      <c r="J61" s="2132"/>
    </row>
    <row r="62" spans="1:10" s="181" customFormat="1" x14ac:dyDescent="0.2">
      <c r="A62" s="253"/>
      <c r="B62" s="2130"/>
      <c r="C62" s="2131"/>
      <c r="D62" s="2131"/>
      <c r="E62" s="2131"/>
      <c r="F62" s="2131"/>
      <c r="G62" s="2131"/>
      <c r="H62" s="2131"/>
      <c r="I62" s="2131"/>
      <c r="J62" s="2132"/>
    </row>
    <row r="63" spans="1:10" s="181" customFormat="1" x14ac:dyDescent="0.2">
      <c r="A63" s="253"/>
      <c r="B63" s="2130"/>
      <c r="C63" s="2131"/>
      <c r="D63" s="2131"/>
      <c r="E63" s="2131"/>
      <c r="F63" s="2131"/>
      <c r="G63" s="2131"/>
      <c r="H63" s="2131"/>
      <c r="I63" s="2131"/>
      <c r="J63" s="2132"/>
    </row>
    <row r="64" spans="1:10" s="181" customFormat="1" x14ac:dyDescent="0.2">
      <c r="A64" s="253"/>
      <c r="B64" s="2130"/>
      <c r="C64" s="2131"/>
      <c r="D64" s="2131"/>
      <c r="E64" s="2131"/>
      <c r="F64" s="2131"/>
      <c r="G64" s="2131"/>
      <c r="H64" s="2131"/>
      <c r="I64" s="2131"/>
      <c r="J64" s="2132"/>
    </row>
    <row r="65" spans="1:10" s="181" customFormat="1" x14ac:dyDescent="0.2">
      <c r="A65" s="253"/>
      <c r="B65" s="2130"/>
      <c r="C65" s="2131"/>
      <c r="D65" s="2131"/>
      <c r="E65" s="2131"/>
      <c r="F65" s="2131"/>
      <c r="G65" s="2131"/>
      <c r="H65" s="2131"/>
      <c r="I65" s="2131"/>
      <c r="J65" s="2132"/>
    </row>
    <row r="66" spans="1:10" s="181" customFormat="1" x14ac:dyDescent="0.2">
      <c r="A66" s="253"/>
      <c r="B66" s="2130"/>
      <c r="C66" s="2131"/>
      <c r="D66" s="2131"/>
      <c r="E66" s="2131"/>
      <c r="F66" s="2131"/>
      <c r="G66" s="2131"/>
      <c r="H66" s="2131"/>
      <c r="I66" s="2131"/>
      <c r="J66" s="2132"/>
    </row>
    <row r="67" spans="1:10" s="181" customFormat="1" ht="9" customHeight="1" x14ac:dyDescent="0.2">
      <c r="A67" s="254"/>
      <c r="B67" s="2133"/>
      <c r="C67" s="2134"/>
      <c r="D67" s="2134"/>
      <c r="E67" s="2134"/>
      <c r="F67" s="2134"/>
      <c r="G67" s="2134"/>
      <c r="H67" s="2134"/>
      <c r="I67" s="2134"/>
      <c r="J67" s="213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0" t="s">
        <v>1390</v>
      </c>
      <c r="B70" s="2123"/>
      <c r="C70" s="2123"/>
      <c r="D70" s="2123"/>
      <c r="E70" s="2124"/>
      <c r="F70" s="2124"/>
      <c r="G70" s="2124"/>
      <c r="H70" s="2124"/>
      <c r="I70" s="212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5" t="s">
        <v>1387</v>
      </c>
      <c r="B83" s="2125"/>
      <c r="C83" s="2125"/>
      <c r="D83" s="212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7"/>
      <c r="C102" s="2108"/>
      <c r="D102" s="2108"/>
      <c r="E102" s="2108"/>
      <c r="F102" s="2108"/>
      <c r="G102" s="2108"/>
      <c r="H102" s="2108"/>
      <c r="I102" s="2109"/>
    </row>
    <row r="103" spans="1:9" s="181" customFormat="1" ht="11.25" customHeight="1" x14ac:dyDescent="0.2">
      <c r="A103" s="316"/>
      <c r="B103" s="2110"/>
      <c r="C103" s="2111"/>
      <c r="D103" s="2111"/>
      <c r="E103" s="2111"/>
      <c r="F103" s="2111"/>
      <c r="G103" s="2111"/>
      <c r="H103" s="2111"/>
      <c r="I103" s="2112"/>
    </row>
    <row r="104" spans="1:9" s="181" customFormat="1" ht="11.25" customHeight="1" x14ac:dyDescent="0.2">
      <c r="A104" s="316"/>
      <c r="B104" s="2110"/>
      <c r="C104" s="2111"/>
      <c r="D104" s="2111"/>
      <c r="E104" s="2111"/>
      <c r="F104" s="2111"/>
      <c r="G104" s="2111"/>
      <c r="H104" s="2111"/>
      <c r="I104" s="2112"/>
    </row>
    <row r="105" spans="1:9" s="181" customFormat="1" x14ac:dyDescent="0.2">
      <c r="A105" s="316"/>
      <c r="B105" s="2110"/>
      <c r="C105" s="2111"/>
      <c r="D105" s="2111"/>
      <c r="E105" s="2111"/>
      <c r="F105" s="2111"/>
      <c r="G105" s="2111"/>
      <c r="H105" s="2111"/>
      <c r="I105" s="2112"/>
    </row>
    <row r="106" spans="1:9" s="181" customFormat="1" ht="11.25" customHeight="1" x14ac:dyDescent="0.2">
      <c r="A106" s="316"/>
      <c r="B106" s="2110"/>
      <c r="C106" s="2111"/>
      <c r="D106" s="2111"/>
      <c r="E106" s="2111"/>
      <c r="F106" s="2111"/>
      <c r="G106" s="2111"/>
      <c r="H106" s="2111"/>
      <c r="I106" s="2112"/>
    </row>
    <row r="107" spans="1:9" s="181" customFormat="1" ht="11.25" customHeight="1" x14ac:dyDescent="0.2">
      <c r="A107" s="316"/>
      <c r="B107" s="2110"/>
      <c r="C107" s="2111"/>
      <c r="D107" s="2111"/>
      <c r="E107" s="2111"/>
      <c r="F107" s="2111"/>
      <c r="G107" s="2111"/>
      <c r="H107" s="2111"/>
      <c r="I107" s="2112"/>
    </row>
    <row r="108" spans="1:9" s="181" customFormat="1" ht="11.25" customHeight="1" x14ac:dyDescent="0.2">
      <c r="A108" s="316"/>
      <c r="B108" s="2110"/>
      <c r="C108" s="2111"/>
      <c r="D108" s="2111"/>
      <c r="E108" s="2111"/>
      <c r="F108" s="2111"/>
      <c r="G108" s="2111"/>
      <c r="H108" s="2111"/>
      <c r="I108" s="2112"/>
    </row>
    <row r="109" spans="1:9" s="181" customFormat="1" ht="11.25" customHeight="1" x14ac:dyDescent="0.2">
      <c r="A109" s="316"/>
      <c r="B109" s="2110"/>
      <c r="C109" s="2111"/>
      <c r="D109" s="2111"/>
      <c r="E109" s="2111"/>
      <c r="F109" s="2111"/>
      <c r="G109" s="2111"/>
      <c r="H109" s="2111"/>
      <c r="I109" s="2112"/>
    </row>
    <row r="110" spans="1:9" s="181" customFormat="1" ht="11.25" customHeight="1" x14ac:dyDescent="0.2">
      <c r="A110" s="316"/>
      <c r="B110" s="2110"/>
      <c r="C110" s="2111"/>
      <c r="D110" s="2111"/>
      <c r="E110" s="2111"/>
      <c r="F110" s="2111"/>
      <c r="G110" s="2111"/>
      <c r="H110" s="2111"/>
      <c r="I110" s="2112"/>
    </row>
    <row r="111" spans="1:9" s="181" customFormat="1" ht="11.25" customHeight="1" x14ac:dyDescent="0.2">
      <c r="A111" s="316"/>
      <c r="B111" s="2110"/>
      <c r="C111" s="2111"/>
      <c r="D111" s="2111"/>
      <c r="E111" s="2111"/>
      <c r="F111" s="2111"/>
      <c r="G111" s="2111"/>
      <c r="H111" s="2111"/>
      <c r="I111" s="2112"/>
    </row>
    <row r="112" spans="1:9" s="181" customFormat="1" ht="11.25" customHeight="1" x14ac:dyDescent="0.2">
      <c r="A112" s="316"/>
      <c r="B112" s="2113"/>
      <c r="C112" s="2114"/>
      <c r="D112" s="2114"/>
      <c r="E112" s="2114"/>
      <c r="F112" s="2114"/>
      <c r="G112" s="2114"/>
      <c r="H112" s="2114"/>
      <c r="I112" s="211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6" t="s">
        <v>2132</v>
      </c>
      <c r="D114" s="211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7" t="s">
        <v>1397</v>
      </c>
      <c r="D117" s="2118"/>
      <c r="E117" s="2119"/>
      <c r="F117" s="2119"/>
      <c r="G117" s="2119"/>
      <c r="H117" s="2119"/>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1" right="0.75" top="1.25" bottom="0.75" header="1" footer="0.25"/>
  <pageSetup scale="70" firstPageNumber="2" fitToHeight="2" orientation="portrait" useFirstPageNumber="1" r:id="rId1"/>
  <headerFooter differentOddEven="1" alignWithMargins="0">
    <oddHeader>&amp;L&amp;8Page &amp;P&amp;C &amp;R&amp;8Page &amp;P</oddHeader>
    <oddFooter>&amp;L&amp;8Printed: &amp;D  &amp;F&amp;CReference should be made to the accountant's report regarding this information.
51</oddFooter>
    <evenFooter>&amp;CReference should be made to the accountant's report regarding this information.
52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80" t="str">
        <f>'Single Audit Cover'!A7</f>
        <v>South Fork Community Unit School District No. 14</v>
      </c>
      <c r="B1" s="2457"/>
      <c r="C1" s="2457"/>
      <c r="D1" s="2457"/>
    </row>
    <row r="2" spans="1:11" s="1212" customFormat="1" ht="12.75" x14ac:dyDescent="0.2">
      <c r="A2" s="2481">
        <f>'Single Audit Cover'!E7</f>
        <v>3011014024</v>
      </c>
      <c r="B2" s="2482"/>
      <c r="C2" s="2482"/>
      <c r="D2" s="2482"/>
    </row>
    <row r="3" spans="1:11" s="1212" customFormat="1" ht="12.75" x14ac:dyDescent="0.2">
      <c r="A3" s="2480" t="s">
        <v>1593</v>
      </c>
      <c r="B3" s="2457"/>
      <c r="C3" s="2457"/>
      <c r="D3" s="2457"/>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84" t="str">
        <f>'Single Audit Cover'!A7</f>
        <v>South Fork Community Unit School District No. 14</v>
      </c>
      <c r="B1" s="2484"/>
      <c r="C1" s="2484"/>
      <c r="D1" s="2484"/>
      <c r="E1" s="2484"/>
    </row>
    <row r="2" spans="1:5" x14ac:dyDescent="0.2">
      <c r="A2" s="2485">
        <f>'Single Audit Cover'!E7</f>
        <v>3011014024</v>
      </c>
      <c r="B2" s="2485"/>
      <c r="C2" s="2485"/>
      <c r="D2" s="2485"/>
      <c r="E2" s="2485"/>
    </row>
    <row r="3" spans="1:5" ht="4.5" customHeight="1" x14ac:dyDescent="0.2"/>
    <row r="4" spans="1:5" x14ac:dyDescent="0.2">
      <c r="A4" s="2484" t="s">
        <v>1307</v>
      </c>
      <c r="B4" s="2484"/>
      <c r="C4" s="2484"/>
      <c r="D4" s="2484"/>
      <c r="E4" s="2484"/>
    </row>
    <row r="5" spans="1:5" x14ac:dyDescent="0.2">
      <c r="A5" s="2487" t="str">
        <f>'Single Audit Cover'!A4</f>
        <v>Year Ending June 30, 2018</v>
      </c>
      <c r="B5" s="2487"/>
      <c r="C5" s="2487"/>
      <c r="D5" s="2487"/>
      <c r="E5" s="2487"/>
    </row>
    <row r="6" spans="1:5" x14ac:dyDescent="0.2">
      <c r="A6" s="2484" t="s">
        <v>1306</v>
      </c>
      <c r="B6" s="2484"/>
      <c r="C6" s="2484"/>
      <c r="D6" s="2484"/>
      <c r="E6" s="2484"/>
    </row>
    <row r="8" spans="1:5" x14ac:dyDescent="0.2">
      <c r="A8" s="1257" t="s">
        <v>1305</v>
      </c>
    </row>
    <row r="10" spans="1:5" x14ac:dyDescent="0.2">
      <c r="A10" s="1258" t="s">
        <v>1304</v>
      </c>
      <c r="B10" s="1259" t="s">
        <v>1303</v>
      </c>
      <c r="C10" s="1259"/>
      <c r="D10" s="1260">
        <f>SUM('Acct Summary 7-8'!C7:K7)</f>
        <v>324842</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14804</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0</v>
      </c>
    </row>
    <row r="19" spans="1:4" ht="13.5" thickBot="1" x14ac:dyDescent="0.25">
      <c r="A19" s="1262" t="s">
        <v>1297</v>
      </c>
      <c r="D19" s="1263">
        <f>SUM(D10:D17)</f>
        <v>339646</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86"/>
      <c r="B24" s="2486"/>
      <c r="D24" s="1265"/>
    </row>
    <row r="25" spans="1:4" x14ac:dyDescent="0.2">
      <c r="A25" s="2483"/>
      <c r="B25" s="2483"/>
      <c r="D25" s="1265"/>
    </row>
    <row r="26" spans="1:4" x14ac:dyDescent="0.2">
      <c r="A26" s="2483"/>
      <c r="B26" s="2483"/>
      <c r="D26" s="1265"/>
    </row>
    <row r="27" spans="1:4" x14ac:dyDescent="0.2">
      <c r="A27" s="2483"/>
      <c r="B27" s="2483"/>
      <c r="D27" s="1265"/>
    </row>
    <row r="28" spans="1:4" x14ac:dyDescent="0.2">
      <c r="A28" s="2483"/>
      <c r="B28" s="2483"/>
      <c r="D28" s="1265"/>
    </row>
    <row r="29" spans="1:4" x14ac:dyDescent="0.2">
      <c r="A29" s="2483"/>
      <c r="B29" s="2483"/>
      <c r="D29" s="1265"/>
    </row>
    <row r="30" spans="1:4" x14ac:dyDescent="0.2">
      <c r="A30" s="2483"/>
      <c r="B30" s="2483"/>
      <c r="D30" s="1265"/>
    </row>
    <row r="32" spans="1:4" x14ac:dyDescent="0.2">
      <c r="A32" s="1257" t="s">
        <v>1295</v>
      </c>
      <c r="D32" s="1260">
        <f>SUM(D19:D30)</f>
        <v>339646</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83"/>
      <c r="B40" s="2483"/>
      <c r="D40" s="1265"/>
    </row>
    <row r="41" spans="1:4" x14ac:dyDescent="0.2">
      <c r="A41" s="2483"/>
      <c r="B41" s="2483"/>
      <c r="D41" s="1268"/>
    </row>
    <row r="42" spans="1:4" x14ac:dyDescent="0.2">
      <c r="A42" s="2483"/>
      <c r="B42" s="2483"/>
      <c r="D42" s="1268"/>
    </row>
    <row r="43" spans="1:4" x14ac:dyDescent="0.2">
      <c r="A43" s="2483"/>
      <c r="B43" s="2483"/>
      <c r="D43" s="1268"/>
    </row>
    <row r="44" spans="1:4" x14ac:dyDescent="0.2">
      <c r="A44" s="2483"/>
      <c r="B44" s="2483"/>
      <c r="D44" s="1268"/>
    </row>
    <row r="45" spans="1:4" x14ac:dyDescent="0.2">
      <c r="A45" s="2483"/>
      <c r="B45" s="2483"/>
      <c r="D45" s="1268"/>
    </row>
    <row r="47" spans="1:4" x14ac:dyDescent="0.2">
      <c r="B47" s="1269" t="s">
        <v>1289</v>
      </c>
      <c r="C47" s="1269"/>
      <c r="D47" s="1270">
        <f>SUM(D35:D45)</f>
        <v>0</v>
      </c>
    </row>
    <row r="49" spans="2:4" x14ac:dyDescent="0.2">
      <c r="B49" s="1269" t="s">
        <v>1288</v>
      </c>
      <c r="C49" s="1269"/>
      <c r="D49" s="1270">
        <f>D32-D47</f>
        <v>339646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97" t="str">
        <f>'Single Audit Cover'!A7</f>
        <v>South Fork Community Unit School District No. 14</v>
      </c>
      <c r="B1" s="2497"/>
      <c r="C1" s="2497"/>
      <c r="D1" s="2497"/>
      <c r="E1" s="2497"/>
      <c r="F1" s="2497"/>
    </row>
    <row r="2" spans="1:7" ht="13.5" customHeight="1" x14ac:dyDescent="0.2">
      <c r="A2" s="2498">
        <f>'Single Audit Cover'!E7</f>
        <v>3011014024</v>
      </c>
      <c r="B2" s="2498"/>
      <c r="C2" s="2498"/>
      <c r="D2" s="2498"/>
      <c r="E2" s="2498"/>
      <c r="F2" s="2498"/>
      <c r="G2" s="1272"/>
    </row>
    <row r="3" spans="1:7" ht="15.75" customHeight="1" x14ac:dyDescent="0.2">
      <c r="A3" s="2499" t="s">
        <v>1333</v>
      </c>
      <c r="B3" s="2499"/>
      <c r="C3" s="2499"/>
      <c r="D3" s="2499"/>
      <c r="E3" s="2499"/>
      <c r="F3" s="2499"/>
    </row>
    <row r="4" spans="1:7" ht="13.5" customHeight="1" x14ac:dyDescent="0.2">
      <c r="A4" s="2500" t="str">
        <f>'Single Audit Cover'!A4</f>
        <v>Year Ending June 30, 2018</v>
      </c>
      <c r="B4" s="2500"/>
      <c r="C4" s="2500"/>
      <c r="D4" s="2500"/>
      <c r="E4" s="2500"/>
      <c r="F4" s="2500"/>
    </row>
    <row r="5" spans="1:7" ht="8.25" customHeight="1" x14ac:dyDescent="0.2">
      <c r="C5" s="317"/>
      <c r="D5" s="317"/>
    </row>
    <row r="6" spans="1:7" ht="13.5" customHeight="1" x14ac:dyDescent="0.2">
      <c r="A6" s="1273" t="s">
        <v>1831</v>
      </c>
      <c r="C6" s="317"/>
      <c r="D6" s="317"/>
    </row>
    <row r="7" spans="1:7" ht="60.95" customHeight="1" x14ac:dyDescent="0.2">
      <c r="A7" s="2496" t="s">
        <v>1832</v>
      </c>
      <c r="B7" s="2496"/>
      <c r="C7" s="2496"/>
      <c r="D7" s="2496"/>
      <c r="E7" s="2496"/>
      <c r="F7" s="2496"/>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96" t="s">
        <v>1834</v>
      </c>
      <c r="B13" s="2496"/>
      <c r="C13" s="2496"/>
      <c r="D13" s="2496"/>
      <c r="E13" s="2496"/>
      <c r="F13" s="2496"/>
    </row>
    <row r="14" spans="1:7" ht="9.75" customHeight="1" x14ac:dyDescent="0.2">
      <c r="C14" s="1257"/>
      <c r="D14" s="1257"/>
    </row>
    <row r="15" spans="1:7" ht="13.5" customHeight="1" x14ac:dyDescent="0.2">
      <c r="C15" s="1868" t="s">
        <v>1332</v>
      </c>
      <c r="D15" s="2494" t="s">
        <v>1331</v>
      </c>
      <c r="E15" s="2494"/>
      <c r="F15" s="2494"/>
    </row>
    <row r="16" spans="1:7" ht="13.5" customHeight="1" x14ac:dyDescent="0.2">
      <c r="A16" s="1279"/>
      <c r="B16" s="1273" t="s">
        <v>1330</v>
      </c>
      <c r="C16" s="1868" t="s">
        <v>1329</v>
      </c>
      <c r="D16" s="2495" t="s">
        <v>1670</v>
      </c>
      <c r="E16" s="2495"/>
      <c r="F16" s="2495"/>
    </row>
    <row r="17" spans="1:6" ht="20.45" customHeight="1" x14ac:dyDescent="0.2">
      <c r="A17" s="1280"/>
      <c r="B17" s="1281"/>
      <c r="C17" s="1282"/>
      <c r="D17" s="2489"/>
      <c r="E17" s="2489"/>
      <c r="F17" s="2489"/>
    </row>
    <row r="18" spans="1:6" ht="20.65" customHeight="1" x14ac:dyDescent="0.2">
      <c r="A18" s="1280"/>
      <c r="B18" s="1281"/>
      <c r="C18" s="1282"/>
      <c r="D18" s="2489"/>
      <c r="E18" s="2489"/>
      <c r="F18" s="2489"/>
    </row>
    <row r="19" spans="1:6" ht="20.65" customHeight="1" x14ac:dyDescent="0.2">
      <c r="A19" s="1280"/>
      <c r="B19" s="1281"/>
      <c r="C19" s="1282"/>
      <c r="D19" s="2489"/>
      <c r="E19" s="2489"/>
      <c r="F19" s="2489"/>
    </row>
    <row r="20" spans="1:6" ht="20.65" customHeight="1" x14ac:dyDescent="0.2">
      <c r="A20" s="1280"/>
      <c r="B20" s="1281"/>
      <c r="C20" s="1282"/>
      <c r="D20" s="2489"/>
      <c r="E20" s="2489"/>
      <c r="F20" s="2489"/>
    </row>
    <row r="21" spans="1:6" ht="20.65" customHeight="1" x14ac:dyDescent="0.2">
      <c r="A21" s="1280"/>
      <c r="B21" s="1281"/>
      <c r="C21" s="1282"/>
      <c r="D21" s="2489"/>
      <c r="E21" s="2489"/>
      <c r="F21" s="2489"/>
    </row>
    <row r="22" spans="1:6" ht="20.65" customHeight="1" x14ac:dyDescent="0.2">
      <c r="A22" s="1280"/>
      <c r="B22" s="1281"/>
      <c r="C22" s="1282"/>
      <c r="D22" s="2489"/>
      <c r="E22" s="2489"/>
      <c r="F22" s="2489"/>
    </row>
    <row r="23" spans="1:6" ht="20.65" customHeight="1" x14ac:dyDescent="0.2">
      <c r="A23" s="1280"/>
      <c r="B23" s="1281"/>
      <c r="C23" s="1282"/>
      <c r="D23" s="2489"/>
      <c r="E23" s="2489"/>
      <c r="F23" s="2489"/>
    </row>
    <row r="24" spans="1:6" ht="20.65" customHeight="1" x14ac:dyDescent="0.2">
      <c r="A24" s="1280"/>
      <c r="B24" s="1281"/>
      <c r="C24" s="1282"/>
      <c r="D24" s="2489"/>
      <c r="E24" s="2489"/>
      <c r="F24" s="2489"/>
    </row>
    <row r="25" spans="1:6" ht="20.65" customHeight="1" x14ac:dyDescent="0.2">
      <c r="A25" s="1280"/>
      <c r="B25" s="1281"/>
      <c r="C25" s="1282"/>
      <c r="D25" s="2489"/>
      <c r="E25" s="2489"/>
      <c r="F25" s="2489"/>
    </row>
    <row r="26" spans="1:6" ht="20.65" customHeight="1" x14ac:dyDescent="0.2">
      <c r="A26" s="1280"/>
      <c r="B26" s="1281"/>
      <c r="C26" s="1282"/>
      <c r="D26" s="2489"/>
      <c r="E26" s="2489"/>
      <c r="F26" s="2489"/>
    </row>
    <row r="27" spans="1:6" ht="20.65" customHeight="1" x14ac:dyDescent="0.2">
      <c r="A27" s="1280"/>
      <c r="B27" s="1281"/>
      <c r="C27" s="1282"/>
      <c r="D27" s="2489"/>
      <c r="E27" s="2489"/>
      <c r="F27" s="2489"/>
    </row>
    <row r="28" spans="1:6" ht="20.65" customHeight="1" x14ac:dyDescent="0.2">
      <c r="A28" s="1280"/>
      <c r="B28" s="1281"/>
      <c r="C28" s="1282"/>
      <c r="D28" s="2489"/>
      <c r="E28" s="2489"/>
      <c r="F28" s="2489"/>
    </row>
    <row r="29" spans="1:6" ht="20.65" customHeight="1" x14ac:dyDescent="0.2">
      <c r="A29" s="1280"/>
      <c r="B29" s="1281"/>
      <c r="C29" s="1282"/>
      <c r="D29" s="2489"/>
      <c r="E29" s="2489"/>
      <c r="F29" s="2489"/>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490" t="s">
        <v>1835</v>
      </c>
      <c r="B32" s="2490"/>
      <c r="C32" s="2490"/>
      <c r="D32" s="2490"/>
      <c r="E32" s="2490"/>
      <c r="F32" s="2490"/>
    </row>
    <row r="33" spans="1:6" ht="13.5" customHeight="1" x14ac:dyDescent="0.2">
      <c r="A33" s="328" t="s">
        <v>1509</v>
      </c>
      <c r="B33" s="328"/>
      <c r="C33" s="1285">
        <v>0</v>
      </c>
      <c r="D33" s="1925"/>
      <c r="E33" s="1283"/>
    </row>
    <row r="34" spans="1:6" ht="13.5" customHeight="1" x14ac:dyDescent="0.2">
      <c r="A34" s="328" t="s">
        <v>1948</v>
      </c>
      <c r="B34" s="328"/>
      <c r="C34" s="1286">
        <v>0</v>
      </c>
      <c r="D34" s="1925" t="s">
        <v>1671</v>
      </c>
      <c r="E34" s="2491">
        <f>+C33+C34</f>
        <v>0</v>
      </c>
      <c r="F34" s="2492"/>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93" t="s">
        <v>1672</v>
      </c>
      <c r="C49" s="2493"/>
      <c r="D49" s="2493"/>
      <c r="E49" s="1396"/>
    </row>
    <row r="50" spans="1:5" s="1297" customFormat="1" ht="3.75" customHeight="1" x14ac:dyDescent="0.2">
      <c r="A50" s="1296"/>
      <c r="B50" s="1867"/>
      <c r="C50" s="1867"/>
      <c r="D50" s="1867"/>
      <c r="E50" s="1396"/>
    </row>
    <row r="51" spans="1:5" s="1297" customFormat="1" ht="20.25" customHeight="1" x14ac:dyDescent="0.2">
      <c r="A51" s="1298">
        <v>6</v>
      </c>
      <c r="B51" s="2488" t="s">
        <v>1632</v>
      </c>
      <c r="C51" s="2488"/>
      <c r="D51" s="2488"/>
    </row>
    <row r="52" spans="1:5" ht="14.25" customHeight="1" x14ac:dyDescent="0.2">
      <c r="A52" s="1298"/>
      <c r="B52" s="2488"/>
      <c r="C52" s="2488"/>
      <c r="D52" s="248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7" t="str">
        <f>'Single Audit Cover'!A7</f>
        <v>South Fork Community Unit School District No. 14</v>
      </c>
      <c r="C1" s="2501"/>
      <c r="D1" s="2501"/>
      <c r="E1" s="2501"/>
      <c r="F1" s="2501"/>
      <c r="G1" s="2501"/>
      <c r="H1" s="2501"/>
      <c r="I1" s="2501"/>
      <c r="J1" s="2501"/>
      <c r="K1" s="2501"/>
      <c r="L1" s="2501"/>
      <c r="M1" s="2501"/>
    </row>
    <row r="2" spans="2:14" ht="15" x14ac:dyDescent="0.2">
      <c r="B2" s="2498">
        <f>'Single Audit Cover'!E7</f>
        <v>3011014024</v>
      </c>
      <c r="C2" s="2498"/>
      <c r="D2" s="2498"/>
      <c r="E2" s="2498"/>
      <c r="F2" s="2498"/>
      <c r="G2" s="2498"/>
      <c r="H2" s="2498"/>
      <c r="I2" s="2498"/>
      <c r="J2" s="2498"/>
      <c r="K2" s="2498"/>
      <c r="L2" s="2498"/>
      <c r="M2" s="2498"/>
      <c r="N2" s="1299"/>
    </row>
    <row r="3" spans="2:14" ht="15" x14ac:dyDescent="0.2">
      <c r="B3" s="2502" t="s">
        <v>1281</v>
      </c>
      <c r="C3" s="2502"/>
      <c r="D3" s="2502"/>
      <c r="E3" s="2502"/>
      <c r="F3" s="2502"/>
      <c r="G3" s="2502"/>
      <c r="H3" s="2502"/>
      <c r="I3" s="2502"/>
      <c r="J3" s="2502"/>
      <c r="K3" s="2502"/>
      <c r="L3" s="2502"/>
      <c r="M3" s="2502"/>
      <c r="N3" s="1299"/>
    </row>
    <row r="4" spans="2:14" ht="15" x14ac:dyDescent="0.2">
      <c r="B4" s="2503" t="str">
        <f>'Single Audit Cover'!A4</f>
        <v>Year Ending June 30, 2018</v>
      </c>
      <c r="C4" s="2503"/>
      <c r="D4" s="2503"/>
      <c r="E4" s="2503"/>
      <c r="F4" s="2503"/>
      <c r="G4" s="2503"/>
      <c r="H4" s="2503"/>
      <c r="I4" s="2503"/>
      <c r="J4" s="2503"/>
      <c r="K4" s="2503"/>
      <c r="L4" s="2503"/>
      <c r="M4" s="2503"/>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5" t="str">
        <f>'Single Audit Cover'!A7</f>
        <v>South Fork Community Unit School District No. 14</v>
      </c>
      <c r="C1" s="2516"/>
      <c r="D1" s="2516"/>
      <c r="E1" s="2516"/>
      <c r="F1" s="2516"/>
      <c r="G1" s="2516"/>
      <c r="H1" s="2516"/>
      <c r="I1" s="2516"/>
      <c r="J1" s="1419"/>
    </row>
    <row r="2" spans="2:10" s="317" customFormat="1" ht="12.75" customHeight="1" x14ac:dyDescent="0.2">
      <c r="B2" s="2517">
        <f>'Single Audit Cover'!E7</f>
        <v>3011014024</v>
      </c>
      <c r="C2" s="2518"/>
      <c r="D2" s="2518"/>
      <c r="E2" s="2518"/>
      <c r="F2" s="2518"/>
      <c r="G2" s="2518"/>
      <c r="H2" s="2518"/>
      <c r="I2" s="2518"/>
      <c r="J2" s="1419"/>
    </row>
    <row r="3" spans="2:10" s="317" customFormat="1" ht="12.75" customHeight="1" x14ac:dyDescent="0.2">
      <c r="B3" s="2519" t="s">
        <v>1347</v>
      </c>
      <c r="C3" s="2520"/>
      <c r="D3" s="2520"/>
      <c r="E3" s="2520"/>
      <c r="F3" s="2520"/>
      <c r="G3" s="2520"/>
      <c r="H3" s="2520"/>
      <c r="I3" s="2520"/>
      <c r="J3" s="1420"/>
    </row>
    <row r="4" spans="2:10" s="317" customFormat="1" ht="12.75" customHeight="1" x14ac:dyDescent="0.2">
      <c r="B4" s="2519" t="str">
        <f>'Single Audit Cover'!A4</f>
        <v>Year Ending June 30, 2018</v>
      </c>
      <c r="C4" s="2520"/>
      <c r="D4" s="2520"/>
      <c r="E4" s="2520"/>
      <c r="F4" s="2520"/>
      <c r="G4" s="2520"/>
      <c r="H4" s="2520"/>
      <c r="I4" s="2520"/>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19" t="s">
        <v>1346</v>
      </c>
      <c r="C7" s="2520"/>
      <c r="D7" s="2520"/>
      <c r="E7" s="2520"/>
      <c r="F7" s="2520"/>
      <c r="G7" s="2520"/>
      <c r="H7" s="2520"/>
      <c r="I7" s="2520"/>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521"/>
      <c r="D11" s="2521"/>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522"/>
      <c r="E29" s="2522"/>
      <c r="F29" s="2522"/>
      <c r="G29" s="2522"/>
      <c r="H29" s="2522"/>
      <c r="I29" s="2522"/>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523" t="s">
        <v>1854</v>
      </c>
      <c r="D37" s="2524"/>
      <c r="E37" s="2524"/>
      <c r="F37" s="2525"/>
      <c r="G37" s="2523" t="s">
        <v>1674</v>
      </c>
      <c r="H37" s="2524"/>
      <c r="I37" s="2525"/>
    </row>
    <row r="38" spans="2:9" ht="16.5" customHeight="1" x14ac:dyDescent="0.2">
      <c r="B38" s="1441"/>
      <c r="C38" s="2511"/>
      <c r="D38" s="2512"/>
      <c r="E38" s="2512"/>
      <c r="F38" s="2513"/>
      <c r="G38" s="2526"/>
      <c r="H38" s="2527"/>
      <c r="I38" s="2528"/>
    </row>
    <row r="39" spans="2:9" ht="16.5" customHeight="1" x14ac:dyDescent="0.2">
      <c r="B39" s="1441"/>
      <c r="C39" s="2511"/>
      <c r="D39" s="2512"/>
      <c r="E39" s="2512"/>
      <c r="F39" s="2513"/>
      <c r="G39" s="2514"/>
      <c r="H39" s="2514"/>
      <c r="I39" s="2514"/>
    </row>
    <row r="40" spans="2:9" ht="16.5" customHeight="1" x14ac:dyDescent="0.2">
      <c r="B40" s="1441"/>
      <c r="C40" s="2511"/>
      <c r="D40" s="2512"/>
      <c r="E40" s="2512"/>
      <c r="F40" s="2513"/>
      <c r="G40" s="2514"/>
      <c r="H40" s="2514"/>
      <c r="I40" s="2514"/>
    </row>
    <row r="41" spans="2:9" ht="16.5" customHeight="1" x14ac:dyDescent="0.2">
      <c r="B41" s="1441"/>
      <c r="C41" s="2511"/>
      <c r="D41" s="2512"/>
      <c r="E41" s="2512"/>
      <c r="F41" s="2513"/>
      <c r="G41" s="2514"/>
      <c r="H41" s="2514"/>
      <c r="I41" s="2514"/>
    </row>
    <row r="42" spans="2:9" ht="16.5" customHeight="1" x14ac:dyDescent="0.2">
      <c r="B42" s="1441"/>
      <c r="C42" s="2511"/>
      <c r="D42" s="2512"/>
      <c r="E42" s="2512"/>
      <c r="F42" s="2513"/>
      <c r="G42" s="2514"/>
      <c r="H42" s="2514"/>
      <c r="I42" s="2514"/>
    </row>
    <row r="43" spans="2:9" ht="16.5" customHeight="1" x14ac:dyDescent="0.2">
      <c r="B43" s="1441"/>
      <c r="C43" s="2504" t="s">
        <v>1675</v>
      </c>
      <c r="D43" s="2505"/>
      <c r="E43" s="2505"/>
      <c r="F43" s="2506"/>
      <c r="G43" s="2507">
        <f>SUM(G38:I42)</f>
        <v>0</v>
      </c>
      <c r="H43" s="2507"/>
      <c r="I43" s="2507"/>
    </row>
    <row r="44" spans="2:9" ht="12.75" customHeight="1" x14ac:dyDescent="0.2"/>
    <row r="45" spans="2:9" ht="12.75" customHeight="1" x14ac:dyDescent="0.2">
      <c r="B45" s="1432" t="s">
        <v>1951</v>
      </c>
      <c r="D45" s="2508">
        <v>0</v>
      </c>
      <c r="E45" s="2509"/>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510"/>
      <c r="F49" s="2510"/>
      <c r="G49" s="2510"/>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South Fork Community Unit School District No. 14</v>
      </c>
      <c r="C1" s="2515"/>
      <c r="D1" s="2515"/>
      <c r="E1" s="2515"/>
      <c r="F1" s="2515"/>
      <c r="G1" s="2515"/>
      <c r="H1" s="2515"/>
      <c r="I1" s="2515"/>
      <c r="J1" s="2515"/>
      <c r="K1" s="2515"/>
      <c r="L1" s="1371"/>
      <c r="M1" s="1371"/>
    </row>
    <row r="2" spans="1:13" ht="12" customHeight="1" x14ac:dyDescent="0.2">
      <c r="B2" s="2517">
        <f>'Single Audit Cover'!E7</f>
        <v>3011014024</v>
      </c>
      <c r="C2" s="2517"/>
      <c r="D2" s="2517"/>
      <c r="E2" s="2517"/>
      <c r="F2" s="2517"/>
      <c r="G2" s="2517"/>
      <c r="H2" s="2517"/>
      <c r="I2" s="2517"/>
      <c r="J2" s="2517"/>
      <c r="K2" s="2517"/>
      <c r="L2" s="1372"/>
      <c r="M2" s="1373"/>
    </row>
    <row r="3" spans="1:13" ht="10.35" customHeight="1" x14ac:dyDescent="0.2">
      <c r="B3" s="2531" t="s">
        <v>1347</v>
      </c>
      <c r="C3" s="2531"/>
      <c r="D3" s="2531"/>
      <c r="E3" s="2531"/>
      <c r="F3" s="2531"/>
      <c r="G3" s="2531"/>
      <c r="H3" s="2531"/>
      <c r="I3" s="2531"/>
      <c r="J3" s="2531"/>
      <c r="K3" s="2531"/>
      <c r="L3" s="1374"/>
      <c r="M3" s="1374"/>
    </row>
    <row r="4" spans="1:13" ht="14.25" customHeight="1" x14ac:dyDescent="0.2">
      <c r="B4" s="2532" t="str">
        <f>'Single Audit Cover'!A4</f>
        <v>Year Ending June 30, 2018</v>
      </c>
      <c r="C4" s="2532"/>
      <c r="D4" s="2532"/>
      <c r="E4" s="2532"/>
      <c r="F4" s="2532"/>
      <c r="G4" s="2532"/>
      <c r="H4" s="2532"/>
      <c r="I4" s="2532"/>
      <c r="J4" s="2532"/>
      <c r="K4" s="2532"/>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32" t="s">
        <v>1363</v>
      </c>
      <c r="C7" s="2532"/>
      <c r="D7" s="2533"/>
      <c r="E7" s="2533"/>
      <c r="F7" s="2533"/>
      <c r="G7" s="2533"/>
      <c r="H7" s="2533"/>
      <c r="I7" s="2533"/>
      <c r="J7" s="2533"/>
      <c r="K7" s="253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530"/>
      <c r="C14" s="2530"/>
      <c r="D14" s="2530"/>
      <c r="E14" s="2530"/>
      <c r="F14" s="2530"/>
      <c r="G14" s="2530"/>
      <c r="H14" s="2530"/>
      <c r="I14" s="2530"/>
      <c r="J14" s="2530"/>
      <c r="K14" s="253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530"/>
      <c r="C17" s="2530"/>
      <c r="D17" s="2530"/>
      <c r="E17" s="2530"/>
      <c r="F17" s="2530"/>
      <c r="G17" s="2530"/>
      <c r="H17" s="2530"/>
      <c r="I17" s="2530"/>
      <c r="J17" s="2530"/>
      <c r="K17" s="2530"/>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534"/>
      <c r="C20" s="2534"/>
      <c r="D20" s="2530"/>
      <c r="E20" s="2530"/>
      <c r="F20" s="2530"/>
      <c r="G20" s="2530"/>
      <c r="H20" s="2530"/>
      <c r="I20" s="2530"/>
      <c r="J20" s="2530"/>
      <c r="K20" s="2530"/>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530"/>
      <c r="C23" s="2530"/>
      <c r="D23" s="2530"/>
      <c r="E23" s="2530"/>
      <c r="F23" s="2530"/>
      <c r="G23" s="2530"/>
      <c r="H23" s="2530"/>
      <c r="I23" s="2530"/>
      <c r="J23" s="2530"/>
      <c r="K23" s="2530"/>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530"/>
      <c r="C26" s="2530"/>
      <c r="D26" s="2530"/>
      <c r="E26" s="2530"/>
      <c r="F26" s="2530"/>
      <c r="G26" s="2530"/>
      <c r="H26" s="2530"/>
      <c r="I26" s="2530"/>
      <c r="J26" s="2530"/>
      <c r="K26" s="2530"/>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529"/>
      <c r="C29" s="2529"/>
      <c r="D29" s="2530"/>
      <c r="E29" s="2530"/>
      <c r="F29" s="2530"/>
      <c r="G29" s="2530"/>
      <c r="H29" s="2530"/>
      <c r="I29" s="2530"/>
      <c r="J29" s="2530"/>
      <c r="K29" s="253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529"/>
      <c r="C32" s="2529"/>
      <c r="D32" s="2530"/>
      <c r="E32" s="2530"/>
      <c r="F32" s="2530"/>
      <c r="G32" s="2530"/>
      <c r="H32" s="2530"/>
      <c r="I32" s="2530"/>
      <c r="J32" s="2530"/>
      <c r="K32" s="2530"/>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8" t="str">
        <f>'Single Audit Cover'!A7</f>
        <v>South Fork Community Unit School District No. 14</v>
      </c>
      <c r="C1" s="2538"/>
      <c r="D1" s="2538"/>
      <c r="E1" s="2538"/>
      <c r="F1" s="2538"/>
      <c r="G1" s="2538"/>
      <c r="H1" s="2538"/>
      <c r="I1" s="2538"/>
      <c r="J1" s="2538"/>
      <c r="K1" s="2538"/>
      <c r="L1" s="1462"/>
    </row>
    <row r="2" spans="1:12" ht="12.75" customHeight="1" x14ac:dyDescent="0.2">
      <c r="B2" s="2539">
        <f>'Single Audit Cover'!E7</f>
        <v>3011014024</v>
      </c>
      <c r="C2" s="2539"/>
      <c r="D2" s="2539"/>
      <c r="E2" s="2539"/>
      <c r="F2" s="2539"/>
      <c r="G2" s="2539"/>
      <c r="H2" s="2539"/>
      <c r="I2" s="2539"/>
      <c r="J2" s="2539"/>
      <c r="K2" s="2539"/>
      <c r="L2" s="1463"/>
    </row>
    <row r="3" spans="1:12" ht="12.75" customHeight="1" x14ac:dyDescent="0.2">
      <c r="B3" s="2531" t="s">
        <v>1347</v>
      </c>
      <c r="C3" s="2531"/>
      <c r="D3" s="2531"/>
      <c r="E3" s="2531"/>
      <c r="F3" s="2531"/>
      <c r="G3" s="2531"/>
      <c r="H3" s="2531"/>
      <c r="I3" s="2531"/>
      <c r="J3" s="2531"/>
      <c r="K3" s="2531"/>
      <c r="L3" s="1374"/>
    </row>
    <row r="4" spans="1:12" ht="12.75" customHeight="1" x14ac:dyDescent="0.2">
      <c r="B4" s="2531" t="str">
        <f>'Single Audit Cover'!A4</f>
        <v>Year Ending June 30, 2018</v>
      </c>
      <c r="C4" s="2531"/>
      <c r="D4" s="2531"/>
      <c r="E4" s="2531"/>
      <c r="F4" s="2531"/>
      <c r="G4" s="2531"/>
      <c r="H4" s="2531"/>
      <c r="I4" s="2531"/>
      <c r="J4" s="2531"/>
      <c r="K4" s="2531"/>
      <c r="L4" s="1374"/>
    </row>
    <row r="5" spans="1:12" ht="5.25" customHeight="1" x14ac:dyDescent="0.2">
      <c r="B5" s="1257" t="s">
        <v>1231</v>
      </c>
      <c r="C5" s="1257"/>
      <c r="L5" s="322"/>
    </row>
    <row r="6" spans="1:12" ht="30.75" customHeight="1" x14ac:dyDescent="0.2">
      <c r="A6" s="322"/>
      <c r="B6" s="2540" t="s">
        <v>1375</v>
      </c>
      <c r="C6" s="2540"/>
      <c r="D6" s="2540"/>
      <c r="E6" s="2540"/>
      <c r="F6" s="2540"/>
      <c r="G6" s="2540"/>
      <c r="H6" s="2540"/>
      <c r="I6" s="2540"/>
      <c r="J6" s="2540"/>
      <c r="K6" s="2540"/>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522"/>
      <c r="G12" s="2522"/>
      <c r="H12" s="2522"/>
      <c r="I12" s="2522"/>
      <c r="J12" s="2522"/>
      <c r="K12" s="2522"/>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35"/>
      <c r="E14" s="2535"/>
      <c r="F14" s="2535"/>
      <c r="H14" s="1472" t="s">
        <v>1370</v>
      </c>
      <c r="I14" s="2536"/>
      <c r="J14" s="2536"/>
      <c r="K14" s="2536"/>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36"/>
      <c r="E16" s="2536"/>
      <c r="F16" s="2536"/>
      <c r="G16" s="2536"/>
      <c r="H16" s="2536"/>
      <c r="I16" s="2536"/>
      <c r="J16" s="2536"/>
      <c r="K16" s="2536"/>
      <c r="L16" s="322"/>
    </row>
    <row r="17" spans="2:12" ht="13.5" customHeight="1" x14ac:dyDescent="0.2">
      <c r="B17" s="1384" t="s">
        <v>1368</v>
      </c>
      <c r="C17" s="1384"/>
      <c r="D17" s="2537"/>
      <c r="E17" s="2537"/>
      <c r="F17" s="2537"/>
      <c r="G17" s="2537"/>
      <c r="H17" s="2537"/>
      <c r="I17" s="2537"/>
      <c r="J17" s="2537"/>
      <c r="K17" s="2537"/>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530"/>
      <c r="C20" s="2530"/>
      <c r="D20" s="2530"/>
      <c r="E20" s="2530"/>
      <c r="F20" s="2530"/>
      <c r="G20" s="2530"/>
      <c r="H20" s="2530"/>
      <c r="I20" s="2530"/>
      <c r="J20" s="2530"/>
      <c r="K20" s="2530"/>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530"/>
      <c r="C23" s="2530"/>
      <c r="D23" s="2530"/>
      <c r="E23" s="2530"/>
      <c r="F23" s="2530"/>
      <c r="G23" s="2530"/>
      <c r="H23" s="2530"/>
      <c r="I23" s="2530"/>
      <c r="J23" s="2530"/>
      <c r="K23" s="2530"/>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530"/>
      <c r="C26" s="2530"/>
      <c r="D26" s="2530"/>
      <c r="E26" s="2530"/>
      <c r="F26" s="2530"/>
      <c r="G26" s="2530"/>
      <c r="H26" s="2530"/>
      <c r="I26" s="2530"/>
      <c r="J26" s="2530"/>
      <c r="K26" s="2530"/>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530"/>
      <c r="C29" s="2530"/>
      <c r="D29" s="2530"/>
      <c r="E29" s="2530"/>
      <c r="F29" s="2530"/>
      <c r="G29" s="2530"/>
      <c r="H29" s="2530"/>
      <c r="I29" s="2530"/>
      <c r="J29" s="2530"/>
      <c r="K29" s="2530"/>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530"/>
      <c r="C32" s="2530"/>
      <c r="D32" s="2530"/>
      <c r="E32" s="2530"/>
      <c r="F32" s="2530"/>
      <c r="G32" s="2530"/>
      <c r="H32" s="2530"/>
      <c r="I32" s="2530"/>
      <c r="J32" s="2530"/>
      <c r="K32" s="2530"/>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530"/>
      <c r="C35" s="2530"/>
      <c r="D35" s="2530"/>
      <c r="E35" s="2530"/>
      <c r="F35" s="2530"/>
      <c r="G35" s="2530"/>
      <c r="H35" s="2530"/>
      <c r="I35" s="2530"/>
      <c r="J35" s="2530"/>
      <c r="K35" s="2530"/>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530"/>
      <c r="C38" s="2530"/>
      <c r="D38" s="2530"/>
      <c r="E38" s="2530"/>
      <c r="F38" s="2530"/>
      <c r="G38" s="2530"/>
      <c r="H38" s="2530"/>
      <c r="I38" s="2530"/>
      <c r="J38" s="2530"/>
      <c r="K38" s="253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530"/>
      <c r="C41" s="2530"/>
      <c r="D41" s="2530"/>
      <c r="E41" s="2530"/>
      <c r="F41" s="2530"/>
      <c r="G41" s="2530"/>
      <c r="H41" s="2530"/>
      <c r="I41" s="2530"/>
      <c r="J41" s="2530"/>
      <c r="K41" s="2530"/>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15" t="str">
        <f>'Single Audit Cover'!A7</f>
        <v>South Fork Community Unit School District No. 14</v>
      </c>
      <c r="C1" s="2515"/>
      <c r="D1" s="2515"/>
      <c r="E1" s="1488"/>
    </row>
    <row r="2" spans="2:5" s="1279" customFormat="1" ht="12.75" customHeight="1" x14ac:dyDescent="0.2">
      <c r="B2" s="2517">
        <f>'Single Audit Cover'!E7</f>
        <v>3011014024</v>
      </c>
      <c r="C2" s="2517"/>
      <c r="D2" s="2517"/>
      <c r="E2" s="1489"/>
    </row>
    <row r="3" spans="2:5" ht="12.75" customHeight="1" x14ac:dyDescent="0.2">
      <c r="B3" s="2531" t="s">
        <v>1869</v>
      </c>
      <c r="C3" s="2531"/>
      <c r="D3" s="2531"/>
      <c r="E3" s="1271"/>
    </row>
    <row r="4" spans="2:5" s="1279" customFormat="1" ht="12.75" customHeight="1" x14ac:dyDescent="0.2">
      <c r="B4" s="2541" t="str">
        <f>'Single Audit Cover'!A4</f>
        <v>Year Ending June 30, 2018</v>
      </c>
      <c r="C4" s="2541"/>
      <c r="D4" s="2541"/>
      <c r="E4" s="1490"/>
    </row>
    <row r="5" spans="2:5" s="1279" customFormat="1" ht="40.15" customHeight="1" x14ac:dyDescent="0.2">
      <c r="B5" s="1491" t="s">
        <v>1870</v>
      </c>
      <c r="C5" s="328"/>
      <c r="D5" s="328"/>
      <c r="E5" s="328"/>
    </row>
    <row r="6" spans="2:5" s="1279" customFormat="1" ht="13.5" customHeight="1" x14ac:dyDescent="0.2">
      <c r="B6" s="1492" t="s">
        <v>1382</v>
      </c>
      <c r="C6" s="1492" t="s">
        <v>1381</v>
      </c>
      <c r="D6" s="1492" t="s">
        <v>1871</v>
      </c>
    </row>
    <row r="7" spans="2:5" ht="13.5" customHeight="1" x14ac:dyDescent="0.2">
      <c r="B7" s="1493"/>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1872</v>
      </c>
    </row>
    <row r="46" spans="2:5" ht="12.2" customHeight="1" x14ac:dyDescent="0.2">
      <c r="B46" s="1502" t="s">
        <v>1873</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D34" sqref="D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6" t="s">
        <v>404</v>
      </c>
      <c r="B1" s="2136"/>
      <c r="C1" s="2136"/>
      <c r="D1" s="2136"/>
      <c r="E1" s="2136"/>
      <c r="F1" s="2136"/>
      <c r="G1" s="2136"/>
      <c r="H1" s="2136"/>
      <c r="I1" s="2136"/>
      <c r="J1" s="2136"/>
      <c r="K1" s="2136"/>
      <c r="L1" s="2136"/>
      <c r="M1" s="213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18637069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2.7283999999999999E-2</v>
      </c>
      <c r="E10" s="356" t="s">
        <v>1062</v>
      </c>
      <c r="F10" s="355">
        <v>4.8009999999999997E-3</v>
      </c>
      <c r="G10" s="356" t="s">
        <v>1062</v>
      </c>
      <c r="H10" s="355">
        <v>3.0330000000000001E-3</v>
      </c>
      <c r="I10" s="356" t="s">
        <v>1063</v>
      </c>
      <c r="J10" s="1751">
        <f>ROUND(D10+F10+H10,5)</f>
        <v>3.5119999999999998E-2</v>
      </c>
      <c r="K10" s="222"/>
      <c r="L10" s="355">
        <v>2.72E-4</v>
      </c>
      <c r="M10" s="222"/>
    </row>
    <row r="11" spans="1:14" ht="7.5" customHeight="1" x14ac:dyDescent="0.2">
      <c r="B11" s="222"/>
      <c r="C11" s="222"/>
      <c r="D11" s="2146" t="str">
        <f>IF(SUM(J10)&lt;=0.0999999,"","Enter the Tax Rates by moving the decimal two places to the left.")</f>
        <v/>
      </c>
      <c r="E11" s="2147"/>
      <c r="F11" s="2147"/>
      <c r="G11" s="2147"/>
      <c r="H11" s="2147"/>
      <c r="I11" s="2147"/>
      <c r="J11" s="214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3178886</v>
      </c>
      <c r="E16" s="356"/>
      <c r="F16" s="1752">
        <f>SUM('Acct Summary 7-8'!C17,'Acct Summary 7-8'!D17,'Acct Summary 7-8'!F17)</f>
        <v>2691798</v>
      </c>
      <c r="G16" s="356"/>
      <c r="H16" s="1752">
        <f>SUM(D16-F16)</f>
        <v>487088</v>
      </c>
      <c r="I16" s="222"/>
      <c r="J16" s="1752">
        <f>SUM('Acct Summary 7-8'!C81,'Acct Summary 7-8'!D81,'Acct Summary 7-8'!F81,'Acct Summary 7-8'!I81)</f>
        <v>1613452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2571915.5220000003</v>
      </c>
      <c r="I31" s="368"/>
      <c r="J31" s="222"/>
      <c r="K31" s="222"/>
      <c r="L31" s="222"/>
      <c r="M31" s="222"/>
    </row>
    <row r="32" spans="1:13" ht="13.35" customHeight="1" x14ac:dyDescent="0.2">
      <c r="B32" s="369" t="s">
        <v>2123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1260000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7"/>
      <c r="C54" s="2138"/>
      <c r="D54" s="2138"/>
      <c r="E54" s="2138"/>
      <c r="F54" s="2138"/>
      <c r="G54" s="2138"/>
      <c r="H54" s="2138"/>
      <c r="I54" s="2138"/>
      <c r="J54" s="2138"/>
      <c r="K54" s="2138"/>
      <c r="L54" s="2139"/>
      <c r="M54" s="380"/>
    </row>
    <row r="55" spans="1:13" ht="12.75" customHeight="1" x14ac:dyDescent="0.2">
      <c r="B55" s="2140"/>
      <c r="C55" s="2141"/>
      <c r="D55" s="2141"/>
      <c r="E55" s="2141"/>
      <c r="F55" s="2141"/>
      <c r="G55" s="2141"/>
      <c r="H55" s="2141"/>
      <c r="I55" s="2141"/>
      <c r="J55" s="2141"/>
      <c r="K55" s="2141"/>
      <c r="L55" s="2142"/>
      <c r="M55" s="380"/>
    </row>
    <row r="56" spans="1:13" ht="12.75" customHeight="1" x14ac:dyDescent="0.2">
      <c r="B56" s="2140"/>
      <c r="C56" s="2141"/>
      <c r="D56" s="2141"/>
      <c r="E56" s="2141"/>
      <c r="F56" s="2141"/>
      <c r="G56" s="2141"/>
      <c r="H56" s="2141"/>
      <c r="I56" s="2141"/>
      <c r="J56" s="2141"/>
      <c r="K56" s="2141"/>
      <c r="L56" s="2142"/>
      <c r="M56" s="222"/>
    </row>
    <row r="57" spans="1:13" ht="12.75" customHeight="1" x14ac:dyDescent="0.2">
      <c r="B57" s="2140"/>
      <c r="C57" s="2141"/>
      <c r="D57" s="2141"/>
      <c r="E57" s="2141"/>
      <c r="F57" s="2141"/>
      <c r="G57" s="2141"/>
      <c r="H57" s="2141"/>
      <c r="I57" s="2141"/>
      <c r="J57" s="2141"/>
      <c r="K57" s="2141"/>
      <c r="L57" s="2142"/>
      <c r="M57" s="222"/>
    </row>
    <row r="58" spans="1:13" x14ac:dyDescent="0.2">
      <c r="B58" s="2143"/>
      <c r="C58" s="2144"/>
      <c r="D58" s="2144"/>
      <c r="E58" s="2144"/>
      <c r="F58" s="2144"/>
      <c r="G58" s="2144"/>
      <c r="H58" s="2144"/>
      <c r="I58" s="2144"/>
      <c r="J58" s="2144"/>
      <c r="K58" s="2144"/>
      <c r="L58" s="214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8"/>
      <c r="D61" s="214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1" right="0.75" top="1.25" bottom="0.75" header="1" footer="0.25"/>
  <pageSetup scale="85" firstPageNumber="3" orientation="portrait" useFirstPageNumber="1" r:id="rId1"/>
  <headerFooter alignWithMargins="0">
    <oddHeader>&amp;L&amp;8Page &amp;P&amp;C &amp;R&amp;8Page &amp;P</oddHeader>
    <oddFooter>&amp;L&amp;8Printed: &amp;D
&amp;F&amp;CReference should be made to the accountant's report regarding this information.
53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110" zoomScaleNormal="110" workbookViewId="0">
      <selection activeCell="T31" sqref="T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1"/>
      <c r="B1" s="2152"/>
      <c r="C1" s="2152"/>
      <c r="D1" s="384"/>
      <c r="E1" s="384"/>
      <c r="F1" s="384"/>
      <c r="G1" s="384"/>
      <c r="H1" s="384"/>
      <c r="I1" s="384"/>
      <c r="J1" s="384"/>
      <c r="K1" s="384"/>
      <c r="L1" s="384"/>
      <c r="M1" s="384"/>
      <c r="N1" s="384"/>
      <c r="O1" s="2151"/>
      <c r="P1" s="2152"/>
      <c r="Q1" s="2152"/>
    </row>
    <row r="2" spans="1:18" ht="15" x14ac:dyDescent="0.2">
      <c r="A2" s="2155" t="s">
        <v>577</v>
      </c>
      <c r="B2" s="2155"/>
      <c r="C2" s="2155"/>
      <c r="D2" s="2155"/>
      <c r="E2" s="2155"/>
      <c r="F2" s="2155"/>
      <c r="G2" s="2155"/>
      <c r="H2" s="2155"/>
      <c r="I2" s="2155"/>
      <c r="J2" s="2155"/>
      <c r="K2" s="2155"/>
      <c r="L2" s="2155"/>
      <c r="M2" s="2155"/>
      <c r="N2" s="2155"/>
      <c r="O2" s="2155"/>
      <c r="P2" s="2155"/>
      <c r="Q2" s="2155"/>
      <c r="R2" s="2155"/>
    </row>
    <row r="3" spans="1:18" ht="12.75" x14ac:dyDescent="0.2">
      <c r="A3" s="2156" t="s">
        <v>1480</v>
      </c>
      <c r="B3" s="2156"/>
      <c r="C3" s="2156"/>
      <c r="D3" s="2156"/>
      <c r="E3" s="2156"/>
      <c r="F3" s="2156"/>
      <c r="G3" s="2156"/>
      <c r="H3" s="2156"/>
      <c r="I3" s="2156"/>
      <c r="J3" s="2156"/>
      <c r="K3" s="2156"/>
      <c r="L3" s="2156"/>
      <c r="M3" s="2156"/>
      <c r="N3" s="2156"/>
      <c r="O3" s="2156"/>
      <c r="P3" s="2156"/>
      <c r="Q3" s="2156"/>
      <c r="R3" s="2156"/>
    </row>
    <row r="4" spans="1:18" x14ac:dyDescent="0.2">
      <c r="A4" s="2157" t="s">
        <v>1635</v>
      </c>
      <c r="B4" s="2157"/>
      <c r="C4" s="2157"/>
      <c r="D4" s="2157"/>
      <c r="E4" s="2157"/>
      <c r="F4" s="2157"/>
      <c r="G4" s="2157"/>
      <c r="H4" s="2157"/>
      <c r="I4" s="2157"/>
      <c r="J4" s="2157"/>
      <c r="K4" s="2157"/>
      <c r="L4" s="2157"/>
      <c r="M4" s="2157"/>
      <c r="N4" s="2157"/>
      <c r="O4" s="2157"/>
      <c r="P4" s="2157"/>
      <c r="Q4" s="2157"/>
      <c r="R4" s="215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 Fork Community Unit School District No. 14</v>
      </c>
      <c r="E7" s="391"/>
      <c r="G7" s="252"/>
      <c r="H7" s="387"/>
      <c r="I7" s="387"/>
      <c r="J7" s="387"/>
      <c r="K7" s="387"/>
      <c r="L7" s="329"/>
      <c r="M7" s="329"/>
      <c r="N7" s="329"/>
      <c r="O7" s="329"/>
      <c r="P7" s="329"/>
    </row>
    <row r="8" spans="1:18" ht="12.75" x14ac:dyDescent="0.2">
      <c r="A8" s="329"/>
      <c r="B8" s="329"/>
      <c r="C8" s="389" t="s">
        <v>1187</v>
      </c>
      <c r="D8" s="392">
        <f>COVER!A13</f>
        <v>3011014024</v>
      </c>
      <c r="E8" s="393"/>
      <c r="G8" s="329"/>
      <c r="H8" s="329"/>
      <c r="I8" s="329"/>
      <c r="J8" s="329"/>
      <c r="K8" s="329"/>
      <c r="L8" s="329"/>
      <c r="M8" s="329"/>
      <c r="N8" s="329"/>
      <c r="O8" s="329"/>
      <c r="P8" s="329"/>
    </row>
    <row r="9" spans="1:18" ht="12.75" x14ac:dyDescent="0.2">
      <c r="A9" s="329"/>
      <c r="B9" s="329"/>
      <c r="C9" s="389" t="s">
        <v>737</v>
      </c>
      <c r="D9" s="394" t="str">
        <f>COVER!A15</f>
        <v>Christian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1613452</v>
      </c>
      <c r="I12" s="404"/>
      <c r="J12" s="404"/>
      <c r="K12" s="405">
        <f>TRUNC((H12/H13*100000),5)/100000</f>
        <v>0.50755264580000004</v>
      </c>
      <c r="L12" s="406"/>
      <c r="M12" s="360" t="s">
        <v>1206</v>
      </c>
      <c r="N12" s="360"/>
      <c r="O12" s="407">
        <v>0.35</v>
      </c>
      <c r="P12" s="218"/>
      <c r="Q12" s="218"/>
    </row>
    <row r="13" spans="1:18" s="408" customFormat="1" ht="12.75" x14ac:dyDescent="0.2">
      <c r="A13" s="218"/>
      <c r="B13" s="401"/>
      <c r="C13" s="2153" t="s">
        <v>1391</v>
      </c>
      <c r="D13" s="2154"/>
      <c r="E13" s="218"/>
      <c r="F13" s="409" t="s">
        <v>826</v>
      </c>
      <c r="G13" s="402"/>
      <c r="H13" s="403">
        <f>SUM('Acct Summary 7-8'!C8+'Acct Summary 7-8'!D8+'Acct Summary 7-8'!F8+'Acct Summary 7-8'!I8)+H14</f>
        <v>3178886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2691798</v>
      </c>
      <c r="I17" s="404"/>
      <c r="J17" s="416"/>
      <c r="K17" s="405">
        <f>TRUNC((H17/H18*100000),5)/100000</f>
        <v>0.84677399560000011</v>
      </c>
      <c r="L17" s="406"/>
      <c r="M17" s="417" t="s">
        <v>1233</v>
      </c>
      <c r="O17" s="418" t="str">
        <f>IF(AND(O16="2", J20 &gt; 2),"1",IF(AND(O16 = "1", J20 &gt; 2),"2",IF(AND(O16="1", J20 &gt;1),"1","0")))</f>
        <v>0</v>
      </c>
      <c r="P17" s="218"/>
    </row>
    <row r="18" spans="1:18" s="408" customFormat="1" ht="11.25" x14ac:dyDescent="0.2">
      <c r="A18" s="218"/>
      <c r="B18" s="401"/>
      <c r="C18" s="2153" t="s">
        <v>1384</v>
      </c>
      <c r="D18" s="2154"/>
      <c r="E18" s="218"/>
      <c r="F18" s="419" t="s">
        <v>827</v>
      </c>
      <c r="G18" s="402"/>
      <c r="H18" s="403">
        <f>SUM('Acct Summary 7-8'!C8+'Acct Summary 7-8'!D8+'Acct Summary 7-8'!F8+'Acct Summary 7-8'!I8)+H19</f>
        <v>3178886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50" t="s">
        <v>1479</v>
      </c>
      <c r="D24" s="2150"/>
      <c r="E24" s="218"/>
      <c r="F24" s="218" t="s">
        <v>465</v>
      </c>
      <c r="G24" s="402"/>
      <c r="H24" s="403">
        <f>SUM('Assets-Liab 5-6'!C4+'Assets-Liab 5-6'!D4+'Assets-Liab 5-6'!F4+'Assets-Liab 5-6'!I4+'Assets-Liab 5-6'!C5+'Assets-Liab 5-6'!D5+'Assets-Liab 5-6'!F5+'Assets-Liab 5-6'!I5)</f>
        <v>1613678</v>
      </c>
      <c r="I24" s="422"/>
      <c r="J24" s="422"/>
      <c r="K24" s="423">
        <f>TRUNC(((H24/H25*100000)/100000),2)</f>
        <v>215.81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7477.2166699999998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556353.78379000002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1260000</v>
      </c>
      <c r="I32" s="420"/>
      <c r="J32" s="420"/>
      <c r="K32" s="423">
        <f>TRUNC(100-((((H32/H33*100))*100)/100),2)</f>
        <v>51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2571915.5220000003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5" right="0.5" top="1.4" bottom="0.75" header="1" footer="0.5"/>
  <pageSetup scale="82" firstPageNumber="4" orientation="landscape" useFirstPageNumber="1" r:id="rId3"/>
  <headerFooter alignWithMargins="0">
    <oddHeader>&amp;L&amp;8Page &amp;P&amp;C &amp;R&amp;8Page &amp;P</oddHeader>
    <oddFooter>&amp;L&amp;8Printed: &amp;D
&amp;F&amp;CReference should be made to the accountant's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47" sqref="A47"/>
      <selection pane="bottomLeft" activeCell="A40" sqref="A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60" t="s">
        <v>1030</v>
      </c>
      <c r="B3" s="2161"/>
      <c r="C3" s="1578"/>
      <c r="D3" s="1579"/>
      <c r="E3" s="1579"/>
      <c r="F3" s="1579"/>
      <c r="G3" s="1579"/>
      <c r="H3" s="1579"/>
      <c r="I3" s="1579"/>
      <c r="J3" s="1579"/>
      <c r="K3" s="1579"/>
      <c r="L3" s="1579"/>
      <c r="M3" s="1580"/>
      <c r="N3" s="1581"/>
    </row>
    <row r="4" spans="1:14" ht="13.5" customHeight="1" x14ac:dyDescent="0.2">
      <c r="A4" s="463" t="s">
        <v>1750</v>
      </c>
      <c r="B4" s="464"/>
      <c r="C4" s="465">
        <v>890068</v>
      </c>
      <c r="D4" s="466">
        <v>90348</v>
      </c>
      <c r="E4" s="466">
        <v>42297</v>
      </c>
      <c r="F4" s="466">
        <v>292323</v>
      </c>
      <c r="G4" s="466">
        <v>65685</v>
      </c>
      <c r="H4" s="466">
        <v>108565</v>
      </c>
      <c r="I4" s="466">
        <v>47215</v>
      </c>
      <c r="J4" s="467">
        <v>13621</v>
      </c>
      <c r="K4" s="466">
        <v>31361</v>
      </c>
      <c r="L4" s="466">
        <v>66783</v>
      </c>
      <c r="M4" s="468"/>
      <c r="N4" s="469"/>
    </row>
    <row r="5" spans="1:14" x14ac:dyDescent="0.2">
      <c r="A5" s="463" t="s">
        <v>1049</v>
      </c>
      <c r="B5" s="470">
        <v>120</v>
      </c>
      <c r="C5" s="465"/>
      <c r="D5" s="466"/>
      <c r="E5" s="466"/>
      <c r="F5" s="466"/>
      <c r="G5" s="466"/>
      <c r="H5" s="466"/>
      <c r="I5" s="466">
        <v>293724</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890068</v>
      </c>
      <c r="D13" s="1756">
        <f t="shared" ref="D13:L13" si="0">SUM(D4:D12)</f>
        <v>90348</v>
      </c>
      <c r="E13" s="1756">
        <f t="shared" si="0"/>
        <v>42297</v>
      </c>
      <c r="F13" s="1756">
        <f t="shared" si="0"/>
        <v>292323</v>
      </c>
      <c r="G13" s="1756">
        <f t="shared" si="0"/>
        <v>65685</v>
      </c>
      <c r="H13" s="1756">
        <f t="shared" si="0"/>
        <v>108565</v>
      </c>
      <c r="I13" s="1756">
        <f t="shared" si="0"/>
        <v>340939</v>
      </c>
      <c r="J13" s="1756">
        <f t="shared" si="0"/>
        <v>13621</v>
      </c>
      <c r="K13" s="1756">
        <f t="shared" si="0"/>
        <v>31361</v>
      </c>
      <c r="L13" s="1756">
        <f t="shared" si="0"/>
        <v>66783</v>
      </c>
      <c r="M13" s="468"/>
      <c r="N13" s="469"/>
    </row>
    <row r="14" spans="1:14" ht="18" customHeight="1" thickTop="1" x14ac:dyDescent="0.2">
      <c r="A14" s="2162" t="s">
        <v>149</v>
      </c>
      <c r="B14" s="2163"/>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28500</v>
      </c>
      <c r="N16" s="484"/>
    </row>
    <row r="17" spans="1:14" s="485" customFormat="1" ht="12.75" customHeight="1" x14ac:dyDescent="0.2">
      <c r="A17" s="482" t="s">
        <v>1470</v>
      </c>
      <c r="B17" s="483">
        <v>230</v>
      </c>
      <c r="C17" s="477"/>
      <c r="D17" s="477"/>
      <c r="E17" s="477"/>
      <c r="F17" s="477"/>
      <c r="G17" s="477"/>
      <c r="H17" s="477"/>
      <c r="I17" s="477"/>
      <c r="J17" s="477"/>
      <c r="K17" s="477"/>
      <c r="L17" s="477"/>
      <c r="M17" s="467">
        <v>4159395</v>
      </c>
      <c r="N17" s="484"/>
    </row>
    <row r="18" spans="1:14" s="485" customFormat="1" ht="12.75" customHeight="1" x14ac:dyDescent="0.2">
      <c r="A18" s="482" t="s">
        <v>1471</v>
      </c>
      <c r="B18" s="483">
        <v>240</v>
      </c>
      <c r="C18" s="477"/>
      <c r="D18" s="477"/>
      <c r="E18" s="477"/>
      <c r="F18" s="477"/>
      <c r="G18" s="477"/>
      <c r="H18" s="477"/>
      <c r="I18" s="477"/>
      <c r="J18" s="477"/>
      <c r="K18" s="477"/>
      <c r="L18" s="477"/>
      <c r="M18" s="467">
        <v>24084</v>
      </c>
      <c r="N18" s="484"/>
    </row>
    <row r="19" spans="1:14" s="485" customFormat="1" ht="12.75" customHeight="1" x14ac:dyDescent="0.2">
      <c r="A19" s="482" t="s">
        <v>1472</v>
      </c>
      <c r="B19" s="483">
        <v>250</v>
      </c>
      <c r="C19" s="477"/>
      <c r="D19" s="477"/>
      <c r="E19" s="477"/>
      <c r="F19" s="477"/>
      <c r="G19" s="477"/>
      <c r="H19" s="477"/>
      <c r="I19" s="477"/>
      <c r="J19" s="477"/>
      <c r="K19" s="477"/>
      <c r="L19" s="477"/>
      <c r="M19" s="467">
        <v>687240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42297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1217703</v>
      </c>
    </row>
    <row r="23" spans="1:14" ht="13.5" customHeight="1" thickBot="1" x14ac:dyDescent="0.25">
      <c r="A23" s="1755" t="s">
        <v>664</v>
      </c>
      <c r="B23" s="1760"/>
      <c r="C23" s="468"/>
      <c r="D23" s="468"/>
      <c r="E23" s="468"/>
      <c r="F23" s="468"/>
      <c r="G23" s="468"/>
      <c r="H23" s="468"/>
      <c r="I23" s="468"/>
      <c r="J23" s="468"/>
      <c r="K23" s="468"/>
      <c r="L23" s="468"/>
      <c r="M23" s="1707">
        <f>SUM(M15:M22)</f>
        <v>4899219</v>
      </c>
      <c r="N23" s="1707">
        <f>SUM(N21:N22)</f>
        <v>1260000</v>
      </c>
    </row>
    <row r="24" spans="1:14" ht="18" customHeight="1" thickTop="1" x14ac:dyDescent="0.2">
      <c r="A24" s="2164" t="s">
        <v>619</v>
      </c>
      <c r="B24" s="2165"/>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190</v>
      </c>
      <c r="D31" s="467"/>
      <c r="E31" s="467"/>
      <c r="F31" s="466">
        <v>36</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66783</v>
      </c>
      <c r="M33" s="468"/>
      <c r="N33" s="469"/>
    </row>
    <row r="34" spans="1:14" ht="13.5" customHeight="1" thickBot="1" x14ac:dyDescent="0.25">
      <c r="A34" s="1757" t="s">
        <v>675</v>
      </c>
      <c r="B34" s="1758"/>
      <c r="C34" s="1759">
        <f>SUM(C25:C33)</f>
        <v>190</v>
      </c>
      <c r="D34" s="1759">
        <f t="shared" ref="D34:K34" si="1">SUM(D25:D33)</f>
        <v>0</v>
      </c>
      <c r="E34" s="1759">
        <f t="shared" si="1"/>
        <v>0</v>
      </c>
      <c r="F34" s="1759">
        <f t="shared" si="1"/>
        <v>36</v>
      </c>
      <c r="G34" s="1759">
        <f t="shared" si="1"/>
        <v>0</v>
      </c>
      <c r="H34" s="1759">
        <f t="shared" si="1"/>
        <v>0</v>
      </c>
      <c r="I34" s="1759">
        <f t="shared" si="1"/>
        <v>0</v>
      </c>
      <c r="J34" s="1759">
        <f t="shared" si="1"/>
        <v>0</v>
      </c>
      <c r="K34" s="1759">
        <f t="shared" si="1"/>
        <v>0</v>
      </c>
      <c r="L34" s="1740">
        <f>SUM(L33)</f>
        <v>66783</v>
      </c>
      <c r="M34" s="468"/>
      <c r="N34" s="480"/>
    </row>
    <row r="35" spans="1:14" ht="18" customHeight="1" thickTop="1" x14ac:dyDescent="0.2">
      <c r="A35" s="2166" t="s">
        <v>550</v>
      </c>
      <c r="B35" s="2167"/>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1260000</v>
      </c>
    </row>
    <row r="37" spans="1:14" ht="13.5" thickBot="1" x14ac:dyDescent="0.25">
      <c r="A37" s="1755" t="s">
        <v>674</v>
      </c>
      <c r="B37" s="1760"/>
      <c r="C37" s="477"/>
      <c r="D37" s="477"/>
      <c r="E37" s="477"/>
      <c r="F37" s="477"/>
      <c r="G37" s="477"/>
      <c r="H37" s="477"/>
      <c r="I37" s="477"/>
      <c r="J37" s="477"/>
      <c r="K37" s="477"/>
      <c r="L37" s="480"/>
      <c r="M37" s="468"/>
      <c r="N37" s="1707">
        <f>SUM(N36:N36)</f>
        <v>1260000</v>
      </c>
    </row>
    <row r="38" spans="1:14" s="329" customFormat="1" ht="13.5" customHeight="1" thickTop="1" x14ac:dyDescent="0.2">
      <c r="A38" s="496" t="s">
        <v>440</v>
      </c>
      <c r="B38" s="483">
        <v>714</v>
      </c>
      <c r="C38" s="466"/>
      <c r="D38" s="466"/>
      <c r="E38" s="466"/>
      <c r="F38" s="466"/>
      <c r="G38" s="466"/>
      <c r="H38" s="466">
        <v>62554</v>
      </c>
      <c r="I38" s="466"/>
      <c r="J38" s="467"/>
      <c r="K38" s="466"/>
      <c r="L38" s="481"/>
      <c r="M38" s="497"/>
      <c r="N38" s="497"/>
    </row>
    <row r="39" spans="1:14" s="329" customFormat="1" ht="13.5" customHeight="1" x14ac:dyDescent="0.2">
      <c r="A39" s="496" t="s">
        <v>360</v>
      </c>
      <c r="B39" s="483">
        <v>730</v>
      </c>
      <c r="C39" s="466">
        <v>889878</v>
      </c>
      <c r="D39" s="466">
        <v>90348</v>
      </c>
      <c r="E39" s="466">
        <v>42297</v>
      </c>
      <c r="F39" s="466">
        <v>292287</v>
      </c>
      <c r="G39" s="466">
        <v>65685</v>
      </c>
      <c r="H39" s="466">
        <f>108565-62554</f>
        <v>46011</v>
      </c>
      <c r="I39" s="466">
        <v>340939</v>
      </c>
      <c r="J39" s="467">
        <v>13621</v>
      </c>
      <c r="K39" s="466">
        <v>31361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4899219</v>
      </c>
      <c r="N40" s="497"/>
    </row>
    <row r="41" spans="1:14" ht="13.5" customHeight="1" thickBot="1" x14ac:dyDescent="0.25">
      <c r="A41" s="1755" t="s">
        <v>676</v>
      </c>
      <c r="B41" s="1725"/>
      <c r="C41" s="1707">
        <f>(SUM(C34,C37,C38,C39))</f>
        <v>890068</v>
      </c>
      <c r="D41" s="1707">
        <f t="shared" ref="D41:L41" si="2">SUM(D34,D37,D38:D39)</f>
        <v>90348</v>
      </c>
      <c r="E41" s="1707">
        <f t="shared" si="2"/>
        <v>42297</v>
      </c>
      <c r="F41" s="1707">
        <f t="shared" si="2"/>
        <v>292323</v>
      </c>
      <c r="G41" s="1707">
        <f t="shared" si="2"/>
        <v>65685</v>
      </c>
      <c r="H41" s="1707">
        <f t="shared" si="2"/>
        <v>108565</v>
      </c>
      <c r="I41" s="1707">
        <f t="shared" si="2"/>
        <v>340939</v>
      </c>
      <c r="J41" s="1707">
        <f t="shared" si="2"/>
        <v>13621</v>
      </c>
      <c r="K41" s="1707">
        <f t="shared" si="2"/>
        <v>31361</v>
      </c>
      <c r="L41" s="1707">
        <f t="shared" si="2"/>
        <v>66783</v>
      </c>
      <c r="M41" s="1707">
        <f>SUM(M40)</f>
        <v>4899219</v>
      </c>
      <c r="N41" s="1707">
        <f>SUM(N37)</f>
        <v>1260000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0.5" right="0.5" top="1.4" bottom="0.75" header="1" footer="0.5"/>
  <pageSetup scale="71"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85" zoomScaleNormal="110" zoomScaleSheetLayoutView="85" workbookViewId="0">
      <pane ySplit="2" topLeftCell="A21" activePane="bottomLeft" state="frozenSplit"/>
      <selection activeCell="A47" sqref="A47"/>
      <selection pane="bottomLeft" activeCell="A51" sqref="A5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8" t="s">
        <v>1237</v>
      </c>
      <c r="B3" s="2189"/>
      <c r="C3" s="1592"/>
      <c r="D3" s="1593"/>
      <c r="E3" s="1593"/>
      <c r="F3" s="1593"/>
      <c r="G3" s="1593"/>
      <c r="H3" s="1593"/>
      <c r="I3" s="1593"/>
      <c r="J3" s="1593"/>
      <c r="K3" s="1594"/>
      <c r="L3" s="506"/>
    </row>
    <row r="4" spans="1:13" ht="15.75" customHeight="1" x14ac:dyDescent="0.2">
      <c r="A4" s="1951" t="s">
        <v>1579</v>
      </c>
      <c r="B4" s="1952">
        <v>1000</v>
      </c>
      <c r="C4" s="1761">
        <f>'Revenues 9-14'!C109</f>
        <v>552141</v>
      </c>
      <c r="D4" s="1761">
        <f>'Revenues 9-14'!D109</f>
        <v>89384</v>
      </c>
      <c r="E4" s="1761">
        <f>'Revenues 9-14'!E109</f>
        <v>140039</v>
      </c>
      <c r="F4" s="1761">
        <f>'Revenues 9-14'!F109</f>
        <v>55919</v>
      </c>
      <c r="G4" s="1761">
        <f>'Revenues 9-14'!G109</f>
        <v>75177</v>
      </c>
      <c r="H4" s="1761">
        <f>'Revenues 9-14'!H109</f>
        <v>137431</v>
      </c>
      <c r="I4" s="1761">
        <f>'Revenues 9-14'!I109</f>
        <v>6679</v>
      </c>
      <c r="J4" s="1761">
        <f>'Revenues 9-14'!J109</f>
        <v>34742</v>
      </c>
      <c r="K4" s="1761">
        <f>'Revenues 9-14'!K109</f>
        <v>10013</v>
      </c>
      <c r="L4" s="347"/>
    </row>
    <row r="5" spans="1:13" ht="15.75" customHeight="1" x14ac:dyDescent="0.2">
      <c r="A5" s="1595" t="s">
        <v>1580</v>
      </c>
      <c r="B5" s="1596">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1581</v>
      </c>
      <c r="B6" s="1597">
        <v>3000</v>
      </c>
      <c r="C6" s="1762">
        <f>'Revenues 9-14'!C173</f>
        <v>2026349</v>
      </c>
      <c r="D6" s="1762">
        <f>'Revenues 9-14'!D173</f>
        <v>31000</v>
      </c>
      <c r="E6" s="1762">
        <f>'Revenues 9-14'!E173</f>
        <v>2200</v>
      </c>
      <c r="F6" s="1762">
        <f>'Revenues 9-14'!F173</f>
        <v>92572</v>
      </c>
      <c r="G6" s="1762">
        <f>'Revenues 9-14'!G173</f>
        <v>18750</v>
      </c>
      <c r="H6" s="1762">
        <f>'Revenues 9-14'!H173</f>
        <v>0</v>
      </c>
      <c r="I6" s="1762">
        <f>'Revenues 9-14'!I173</f>
        <v>0</v>
      </c>
      <c r="J6" s="1762">
        <f>'Revenues 9-14'!J173</f>
        <v>30300</v>
      </c>
      <c r="K6" s="1762">
        <f>'Revenues 9-14'!K173</f>
        <v>0</v>
      </c>
      <c r="L6" s="347"/>
      <c r="M6" s="513"/>
    </row>
    <row r="7" spans="1:13" ht="15.75" customHeight="1" x14ac:dyDescent="0.2">
      <c r="A7" s="1595" t="s">
        <v>1582</v>
      </c>
      <c r="B7" s="1597">
        <v>4000</v>
      </c>
      <c r="C7" s="1762">
        <f>'Revenues 9-14'!C274</f>
        <v>324842</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2903332</v>
      </c>
      <c r="D8" s="1707">
        <f t="shared" ref="D8:K8" si="0">SUM(D4:D7)</f>
        <v>120384</v>
      </c>
      <c r="E8" s="1707">
        <f t="shared" si="0"/>
        <v>142239</v>
      </c>
      <c r="F8" s="1707">
        <f t="shared" si="0"/>
        <v>148491</v>
      </c>
      <c r="G8" s="1707">
        <f t="shared" si="0"/>
        <v>93927</v>
      </c>
      <c r="H8" s="1707">
        <f t="shared" si="0"/>
        <v>137431</v>
      </c>
      <c r="I8" s="1707">
        <f t="shared" si="0"/>
        <v>6679</v>
      </c>
      <c r="J8" s="1707">
        <f t="shared" si="0"/>
        <v>65042</v>
      </c>
      <c r="K8" s="1707">
        <f t="shared" si="0"/>
        <v>10013</v>
      </c>
      <c r="L8" s="347"/>
    </row>
    <row r="9" spans="1:13" ht="15.75" thickTop="1" x14ac:dyDescent="0.2">
      <c r="A9" s="514" t="s">
        <v>1752</v>
      </c>
      <c r="B9" s="515">
        <v>3998</v>
      </c>
      <c r="C9" s="481">
        <v>877841</v>
      </c>
      <c r="D9" s="516"/>
      <c r="E9" s="481"/>
      <c r="F9" s="481"/>
      <c r="G9" s="517"/>
      <c r="H9" s="481"/>
      <c r="I9" s="509" t="s">
        <v>1231</v>
      </c>
      <c r="J9" s="478"/>
      <c r="K9" s="481"/>
      <c r="L9" s="347"/>
    </row>
    <row r="10" spans="1:13" s="519" customFormat="1" ht="13.5" thickBot="1" x14ac:dyDescent="0.25">
      <c r="A10" s="1755" t="s">
        <v>1235</v>
      </c>
      <c r="B10" s="1728"/>
      <c r="C10" s="1707">
        <f>SUM(C8:C9)</f>
        <v>3781173</v>
      </c>
      <c r="D10" s="1707">
        <f t="shared" ref="D10:K10" si="1">SUM(D8:D9)</f>
        <v>120384</v>
      </c>
      <c r="E10" s="1707">
        <f t="shared" si="1"/>
        <v>142239</v>
      </c>
      <c r="F10" s="1707">
        <f t="shared" si="1"/>
        <v>148491</v>
      </c>
      <c r="G10" s="1707">
        <f t="shared" si="1"/>
        <v>93927</v>
      </c>
      <c r="H10" s="1707">
        <f t="shared" si="1"/>
        <v>137431</v>
      </c>
      <c r="I10" s="1707">
        <f t="shared" si="1"/>
        <v>6679</v>
      </c>
      <c r="J10" s="1707">
        <f t="shared" si="1"/>
        <v>65042</v>
      </c>
      <c r="K10" s="1707">
        <f t="shared" si="1"/>
        <v>10013</v>
      </c>
      <c r="L10" s="518"/>
    </row>
    <row r="11" spans="1:13" s="519" customFormat="1" ht="16.7" customHeight="1" thickTop="1" x14ac:dyDescent="0.2">
      <c r="A11" s="2162" t="s">
        <v>1238</v>
      </c>
      <c r="B11" s="2163"/>
      <c r="C11" s="1589"/>
      <c r="D11" s="1590"/>
      <c r="E11" s="1590"/>
      <c r="F11" s="1590"/>
      <c r="G11" s="1590"/>
      <c r="H11" s="1590"/>
      <c r="I11" s="1590"/>
      <c r="J11" s="1590"/>
      <c r="K11" s="1591"/>
      <c r="L11" s="518"/>
    </row>
    <row r="12" spans="1:13" ht="15.75" customHeight="1" x14ac:dyDescent="0.2">
      <c r="A12" s="1595" t="s">
        <v>476</v>
      </c>
      <c r="B12" s="1597">
        <v>1000</v>
      </c>
      <c r="C12" s="1761">
        <f>'Expenditures 15-22'!K33</f>
        <v>1445266</v>
      </c>
      <c r="D12" s="520" t="s">
        <v>1231</v>
      </c>
      <c r="E12" s="468" t="s">
        <v>1231</v>
      </c>
      <c r="F12" s="468" t="s">
        <v>1231</v>
      </c>
      <c r="G12" s="1761">
        <f>'Expenditures 15-22'!K229</f>
        <v>34989</v>
      </c>
      <c r="H12" s="521"/>
      <c r="I12" s="468" t="s">
        <v>1231</v>
      </c>
      <c r="J12" s="468" t="s">
        <v>1231</v>
      </c>
      <c r="K12" s="521" t="s">
        <v>1231</v>
      </c>
      <c r="L12" s="347"/>
    </row>
    <row r="13" spans="1:13" ht="15.75" customHeight="1" x14ac:dyDescent="0.2">
      <c r="A13" s="1595" t="s">
        <v>477</v>
      </c>
      <c r="B13" s="1597">
        <v>2000</v>
      </c>
      <c r="C13" s="1762">
        <f>'Expenditures 15-22'!K74</f>
        <v>693928</v>
      </c>
      <c r="D13" s="1762">
        <f>'Expenditures 15-22'!K129</f>
        <v>106727</v>
      </c>
      <c r="E13" s="469" t="s">
        <v>1231</v>
      </c>
      <c r="F13" s="1762">
        <f>'Expenditures 15-22'!K184</f>
        <v>110046</v>
      </c>
      <c r="G13" s="1762">
        <f>'Expenditures 15-22'!K279</f>
        <v>57866</v>
      </c>
      <c r="H13" s="1762">
        <f>'Expenditures 15-22'!K303</f>
        <v>201071</v>
      </c>
      <c r="I13" s="468" t="s">
        <v>1231</v>
      </c>
      <c r="J13" s="1762">
        <f>'Expenditures 15-22'!K330</f>
        <v>64699</v>
      </c>
      <c r="K13" s="1766">
        <f>'Expenditures 15-22'!K352</f>
        <v>6849</v>
      </c>
      <c r="L13" s="347"/>
    </row>
    <row r="14" spans="1:13" ht="15.75" customHeight="1" x14ac:dyDescent="0.2">
      <c r="A14" s="1595" t="s">
        <v>469</v>
      </c>
      <c r="B14" s="1597">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5" t="s">
        <v>109</v>
      </c>
      <c r="B15" s="1597">
        <v>4000</v>
      </c>
      <c r="C15" s="1762">
        <f>'Expenditures 15-22'!K102</f>
        <v>335831</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142097</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2475025</v>
      </c>
      <c r="D17" s="1707">
        <f t="shared" si="2"/>
        <v>106727</v>
      </c>
      <c r="E17" s="1707">
        <f t="shared" si="2"/>
        <v>142097</v>
      </c>
      <c r="F17" s="1707">
        <f t="shared" si="2"/>
        <v>110046</v>
      </c>
      <c r="G17" s="1707">
        <f t="shared" si="2"/>
        <v>92855</v>
      </c>
      <c r="H17" s="1707">
        <f t="shared" si="2"/>
        <v>201071</v>
      </c>
      <c r="I17" s="468"/>
      <c r="J17" s="1707">
        <f>SUM(J12:J16)</f>
        <v>64699</v>
      </c>
      <c r="K17" s="1707">
        <f>SUM(K12:K16)</f>
        <v>6849</v>
      </c>
      <c r="L17" s="347"/>
    </row>
    <row r="18" spans="1:12" ht="15" customHeight="1" thickTop="1" x14ac:dyDescent="0.2">
      <c r="A18" s="1763" t="s">
        <v>1753</v>
      </c>
      <c r="B18" s="1764">
        <v>4180</v>
      </c>
      <c r="C18" s="1761">
        <f t="shared" ref="C18:H18" si="3">C9</f>
        <v>877841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3352866</v>
      </c>
      <c r="D19" s="1707">
        <f t="shared" si="4"/>
        <v>106727</v>
      </c>
      <c r="E19" s="1707">
        <f t="shared" si="4"/>
        <v>142097</v>
      </c>
      <c r="F19" s="1707">
        <f t="shared" si="4"/>
        <v>110046</v>
      </c>
      <c r="G19" s="1707">
        <f t="shared" si="4"/>
        <v>92855</v>
      </c>
      <c r="H19" s="1707">
        <f t="shared" si="4"/>
        <v>201071</v>
      </c>
      <c r="I19" s="468"/>
      <c r="J19" s="1707">
        <f>SUM(J17:J18)</f>
        <v>64699</v>
      </c>
      <c r="K19" s="1707">
        <f>SUM(K17:K18)</f>
        <v>6849</v>
      </c>
      <c r="L19" s="347"/>
    </row>
    <row r="20" spans="1:12" ht="16.5" thickTop="1" thickBot="1" x14ac:dyDescent="0.25">
      <c r="A20" s="2178" t="s">
        <v>1754</v>
      </c>
      <c r="B20" s="2179"/>
      <c r="C20" s="1765">
        <f>C8-C17</f>
        <v>428307</v>
      </c>
      <c r="D20" s="1765">
        <f t="shared" ref="D20:K20" si="5">D8-D17</f>
        <v>13657</v>
      </c>
      <c r="E20" s="1765">
        <f t="shared" si="5"/>
        <v>142</v>
      </c>
      <c r="F20" s="1765">
        <f t="shared" si="5"/>
        <v>38445</v>
      </c>
      <c r="G20" s="1765">
        <f t="shared" si="5"/>
        <v>1072</v>
      </c>
      <c r="H20" s="1765">
        <f t="shared" si="5"/>
        <v>-63640</v>
      </c>
      <c r="I20" s="1765">
        <f t="shared" si="5"/>
        <v>6679</v>
      </c>
      <c r="J20" s="1765">
        <f t="shared" si="5"/>
        <v>343</v>
      </c>
      <c r="K20" s="1765">
        <f t="shared" si="5"/>
        <v>3164</v>
      </c>
      <c r="L20" s="347"/>
    </row>
    <row r="21" spans="1:12" ht="16.7" customHeight="1" thickTop="1" x14ac:dyDescent="0.2">
      <c r="A21" s="2190" t="s">
        <v>616</v>
      </c>
      <c r="B21" s="2191"/>
      <c r="C21" s="1589"/>
      <c r="D21" s="1590"/>
      <c r="E21" s="1590"/>
      <c r="F21" s="1590"/>
      <c r="G21" s="1590"/>
      <c r="H21" s="1590"/>
      <c r="I21" s="1590"/>
      <c r="J21" s="1590"/>
      <c r="K21" s="1591"/>
      <c r="L21" s="524"/>
    </row>
    <row r="22" spans="1:12" ht="15.75" customHeight="1" collapsed="1" x14ac:dyDescent="0.2">
      <c r="A22" s="2186" t="s">
        <v>617</v>
      </c>
      <c r="B22" s="2187"/>
      <c r="C22" s="477"/>
      <c r="D22" s="477"/>
      <c r="E22" s="477"/>
      <c r="F22" s="477"/>
      <c r="G22" s="477"/>
      <c r="H22" s="477"/>
      <c r="I22" s="477"/>
      <c r="J22" s="477"/>
      <c r="K22" s="477"/>
      <c r="L22" s="347"/>
    </row>
    <row r="23" spans="1:12" s="485" customFormat="1" ht="15.75" customHeight="1" x14ac:dyDescent="0.2">
      <c r="A23" s="2182" t="s">
        <v>311</v>
      </c>
      <c r="B23" s="2183"/>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1897</v>
      </c>
      <c r="B30" s="527">
        <v>7160</v>
      </c>
      <c r="C30" s="477"/>
      <c r="D30" s="467"/>
      <c r="E30" s="477"/>
      <c r="F30" s="477"/>
      <c r="G30" s="477"/>
      <c r="H30" s="477"/>
      <c r="I30" s="477"/>
      <c r="J30" s="477"/>
      <c r="K30" s="477"/>
      <c r="L30" s="524"/>
    </row>
    <row r="31" spans="1:12" s="485" customFormat="1" ht="26.25" x14ac:dyDescent="0.2">
      <c r="A31" s="1508" t="s">
        <v>1901</v>
      </c>
      <c r="B31" s="527">
        <v>7170</v>
      </c>
      <c r="C31" s="477"/>
      <c r="D31" s="477"/>
      <c r="E31" s="474"/>
      <c r="F31" s="477"/>
      <c r="G31" s="477"/>
      <c r="H31" s="477"/>
      <c r="I31" s="477"/>
      <c r="J31" s="477"/>
      <c r="K31" s="477"/>
      <c r="L31" s="524"/>
    </row>
    <row r="32" spans="1:12" s="485" customFormat="1" ht="15.75" customHeight="1" x14ac:dyDescent="0.2">
      <c r="A32" s="2184" t="s">
        <v>1038</v>
      </c>
      <c r="B32" s="2185"/>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0</v>
      </c>
      <c r="F39" s="477"/>
      <c r="G39" s="477"/>
      <c r="H39" s="477"/>
      <c r="I39" s="477"/>
      <c r="J39" s="477"/>
      <c r="K39" s="477"/>
      <c r="L39" s="524"/>
    </row>
    <row r="40" spans="1:12" s="485" customFormat="1" ht="13.5" customHeight="1" x14ac:dyDescent="0.2">
      <c r="A40" s="1508" t="s">
        <v>663</v>
      </c>
      <c r="B40" s="483">
        <v>7700</v>
      </c>
      <c r="C40" s="477"/>
      <c r="D40" s="477"/>
      <c r="E40" s="1762">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92" t="s">
        <v>392</v>
      </c>
      <c r="B44" s="2193"/>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86" t="s">
        <v>110</v>
      </c>
      <c r="B45" s="2187"/>
      <c r="C45" s="528"/>
      <c r="D45" s="528"/>
      <c r="E45" s="528"/>
      <c r="F45" s="528"/>
      <c r="G45" s="528"/>
      <c r="H45" s="528"/>
      <c r="I45" s="528"/>
      <c r="J45" s="528"/>
      <c r="K45" s="528"/>
      <c r="L45" s="347"/>
    </row>
    <row r="46" spans="1:12" s="485" customFormat="1" ht="15.75" customHeight="1" x14ac:dyDescent="0.2">
      <c r="A46" s="2194" t="s">
        <v>111</v>
      </c>
      <c r="B46" s="2195"/>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2">
        <f>SUM(C24,C25:H25,J25:K25)</f>
        <v>0</v>
      </c>
      <c r="J47" s="477"/>
      <c r="K47" s="477"/>
      <c r="L47" s="529"/>
    </row>
    <row r="48" spans="1:12" s="485" customFormat="1" ht="15" x14ac:dyDescent="0.2">
      <c r="A48" s="1509" t="s">
        <v>1759</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1900</v>
      </c>
      <c r="B52" s="483">
        <v>8160</v>
      </c>
      <c r="C52" s="477"/>
      <c r="D52" s="477"/>
      <c r="E52" s="477"/>
      <c r="F52" s="477"/>
      <c r="G52" s="477"/>
      <c r="H52" s="477"/>
      <c r="I52" s="477"/>
      <c r="J52" s="477"/>
      <c r="K52" s="1762">
        <f>D30</f>
        <v>0</v>
      </c>
      <c r="L52" s="524"/>
    </row>
    <row r="53" spans="1:12" s="485" customFormat="1" ht="26.25" x14ac:dyDescent="0.2">
      <c r="A53" s="1509" t="s">
        <v>1899</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68" t="s">
        <v>460</v>
      </c>
      <c r="B76" s="2169"/>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70" t="s">
        <v>1239</v>
      </c>
      <c r="B77" s="2171"/>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74" t="s">
        <v>618</v>
      </c>
      <c r="B78" s="2175"/>
      <c r="C78" s="1721">
        <f t="shared" ref="C78:K78" si="9">C20+C77</f>
        <v>428307</v>
      </c>
      <c r="D78" s="1721">
        <f t="shared" si="9"/>
        <v>13657</v>
      </c>
      <c r="E78" s="1721">
        <f t="shared" si="9"/>
        <v>142</v>
      </c>
      <c r="F78" s="1721">
        <f t="shared" si="9"/>
        <v>38445</v>
      </c>
      <c r="G78" s="1721">
        <f t="shared" si="9"/>
        <v>1072</v>
      </c>
      <c r="H78" s="1721">
        <f t="shared" si="9"/>
        <v>-63640</v>
      </c>
      <c r="I78" s="1721">
        <f t="shared" si="9"/>
        <v>6679</v>
      </c>
      <c r="J78" s="1721">
        <f t="shared" si="9"/>
        <v>343</v>
      </c>
      <c r="K78" s="1721">
        <f t="shared" si="9"/>
        <v>3164</v>
      </c>
      <c r="L78" s="533"/>
    </row>
    <row r="79" spans="1:12" ht="13.5" thickTop="1" x14ac:dyDescent="0.2">
      <c r="A79" s="1513" t="s">
        <v>2071</v>
      </c>
      <c r="B79" s="534"/>
      <c r="C79" s="478">
        <v>461571</v>
      </c>
      <c r="D79" s="535">
        <v>76691</v>
      </c>
      <c r="E79" s="535">
        <v>42155</v>
      </c>
      <c r="F79" s="535">
        <v>253842</v>
      </c>
      <c r="G79" s="535">
        <v>64613</v>
      </c>
      <c r="H79" s="535">
        <v>172205</v>
      </c>
      <c r="I79" s="535">
        <v>334260</v>
      </c>
      <c r="J79" s="535">
        <v>13278</v>
      </c>
      <c r="K79" s="535">
        <v>28197</v>
      </c>
      <c r="L79" s="347"/>
    </row>
    <row r="80" spans="1:12" x14ac:dyDescent="0.2">
      <c r="A80" s="2180" t="s">
        <v>1898</v>
      </c>
      <c r="B80" s="2181"/>
      <c r="C80" s="467"/>
      <c r="D80" s="467"/>
      <c r="E80" s="467"/>
      <c r="F80" s="467"/>
      <c r="G80" s="467"/>
      <c r="H80" s="467"/>
      <c r="I80" s="467"/>
      <c r="J80" s="467"/>
      <c r="K80" s="467"/>
      <c r="L80" s="347"/>
    </row>
    <row r="81" spans="1:12" ht="13.5" thickBot="1" x14ac:dyDescent="0.25">
      <c r="A81" s="2172" t="s">
        <v>2072</v>
      </c>
      <c r="B81" s="2173"/>
      <c r="C81" s="1707">
        <f>(SUM(C78:C80))</f>
        <v>889878</v>
      </c>
      <c r="D81" s="1707">
        <f>SUM(D78:D80)</f>
        <v>90348</v>
      </c>
      <c r="E81" s="1707">
        <f t="shared" ref="E81:K81" si="10">SUM(E78:E80)</f>
        <v>42297</v>
      </c>
      <c r="F81" s="1707">
        <f t="shared" si="10"/>
        <v>292287</v>
      </c>
      <c r="G81" s="1707">
        <f t="shared" si="10"/>
        <v>65685</v>
      </c>
      <c r="H81" s="1707">
        <f t="shared" si="10"/>
        <v>108565</v>
      </c>
      <c r="I81" s="1707">
        <f t="shared" si="10"/>
        <v>340939</v>
      </c>
      <c r="J81" s="1707">
        <f t="shared" si="10"/>
        <v>13621</v>
      </c>
      <c r="K81" s="1707">
        <f t="shared" si="10"/>
        <v>31361</v>
      </c>
      <c r="L81" s="347"/>
    </row>
    <row r="82" spans="1:12" ht="0.75" customHeight="1" thickTop="1" thickBot="1" x14ac:dyDescent="0.25">
      <c r="A82" s="536" t="s">
        <v>361</v>
      </c>
      <c r="B82" s="537"/>
      <c r="C82" s="538">
        <f>(C81-C79)</f>
        <v>428307</v>
      </c>
      <c r="D82" s="538">
        <f t="shared" ref="D82:K82" si="11">(D81-D79)</f>
        <v>13657</v>
      </c>
      <c r="E82" s="538">
        <f t="shared" si="11"/>
        <v>142</v>
      </c>
      <c r="F82" s="538">
        <f t="shared" si="11"/>
        <v>38445</v>
      </c>
      <c r="G82" s="538">
        <f t="shared" si="11"/>
        <v>1072</v>
      </c>
      <c r="H82" s="538">
        <f t="shared" si="11"/>
        <v>-63640</v>
      </c>
      <c r="I82" s="538">
        <f t="shared" si="11"/>
        <v>6679</v>
      </c>
      <c r="J82" s="538">
        <f t="shared" si="11"/>
        <v>343</v>
      </c>
      <c r="K82" s="538">
        <f t="shared" si="11"/>
        <v>3164</v>
      </c>
    </row>
    <row r="83" spans="1:12" ht="14.25" hidden="1" thickTop="1" thickBot="1" x14ac:dyDescent="0.25">
      <c r="A83" s="539" t="s">
        <v>362</v>
      </c>
      <c r="B83" s="464"/>
      <c r="C83" s="540">
        <f>C82/C81</f>
        <v>0.4813097975228065</v>
      </c>
      <c r="D83" s="540">
        <f t="shared" ref="D83:K83" si="12">D82/D81</f>
        <v>0.15115995926860584</v>
      </c>
      <c r="E83" s="540">
        <f t="shared" si="12"/>
        <v>3.3572120954204789E-3</v>
      </c>
      <c r="F83" s="540">
        <f t="shared" si="12"/>
        <v>0.13153167947941577</v>
      </c>
      <c r="G83" s="540">
        <f t="shared" si="12"/>
        <v>1.6320316662860622E-2</v>
      </c>
      <c r="H83" s="540">
        <f t="shared" si="12"/>
        <v>-0.58619260350941838</v>
      </c>
      <c r="I83" s="540">
        <f t="shared" si="12"/>
        <v>1.9590014636049265E-2</v>
      </c>
      <c r="J83" s="540">
        <f t="shared" si="12"/>
        <v>2.5181704720651933E-2</v>
      </c>
      <c r="K83" s="540">
        <f t="shared" si="12"/>
        <v>0.10088963999872454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5" right="0.5" top="1.5" bottom="0.75" header="1" footer="0.5"/>
  <pageSetup scale="68"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00" workbookViewId="0">
      <pane ySplit="2" topLeftCell="A108" activePane="bottomLeft" state="frozen"/>
      <selection activeCell="A47" sqref="A47"/>
      <selection pane="bottomLeft" activeCell="E118" sqref="E11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6" t="s">
        <v>1905</v>
      </c>
      <c r="B1" s="452"/>
      <c r="C1" s="453" t="s">
        <v>445</v>
      </c>
      <c r="D1" s="453" t="s">
        <v>446</v>
      </c>
      <c r="E1" s="453" t="s">
        <v>447</v>
      </c>
      <c r="F1" s="453" t="s">
        <v>448</v>
      </c>
      <c r="G1" s="453" t="s">
        <v>449</v>
      </c>
      <c r="H1" s="453" t="s">
        <v>450</v>
      </c>
      <c r="I1" s="453" t="s">
        <v>451</v>
      </c>
      <c r="J1" s="453" t="s">
        <v>452</v>
      </c>
      <c r="K1" s="453" t="s">
        <v>780</v>
      </c>
    </row>
    <row r="2" spans="1:12" ht="36" x14ac:dyDescent="0.2">
      <c r="A2" s="217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479013</v>
      </c>
      <c r="D5" s="481">
        <v>87133</v>
      </c>
      <c r="E5" s="466">
        <v>139786</v>
      </c>
      <c r="F5" s="548">
        <v>55035</v>
      </c>
      <c r="G5" s="466">
        <v>20999</v>
      </c>
      <c r="H5" s="466"/>
      <c r="I5" s="466">
        <v>4925</v>
      </c>
      <c r="J5" s="467">
        <v>34694</v>
      </c>
      <c r="K5" s="466">
        <v>9918</v>
      </c>
    </row>
    <row r="6" spans="1:12" ht="15" x14ac:dyDescent="0.2">
      <c r="A6" s="463" t="s">
        <v>1761</v>
      </c>
      <c r="B6" s="470">
        <v>1130</v>
      </c>
      <c r="C6" s="466">
        <v>3705</v>
      </c>
      <c r="D6" s="466"/>
      <c r="E6" s="475"/>
      <c r="F6" s="475"/>
      <c r="G6" s="468"/>
      <c r="H6" s="468"/>
      <c r="I6" s="468"/>
      <c r="J6" s="468"/>
      <c r="K6" s="468"/>
    </row>
    <row r="7" spans="1:12" x14ac:dyDescent="0.2">
      <c r="A7" s="463" t="s">
        <v>112</v>
      </c>
      <c r="B7" s="549">
        <v>1140</v>
      </c>
      <c r="C7" s="466">
        <v>10828</v>
      </c>
      <c r="D7" s="466"/>
      <c r="E7" s="468"/>
      <c r="F7" s="467"/>
      <c r="G7" s="467"/>
      <c r="H7" s="467"/>
      <c r="I7" s="468"/>
      <c r="J7" s="468"/>
      <c r="K7" s="468"/>
    </row>
    <row r="8" spans="1:12" x14ac:dyDescent="0.2">
      <c r="A8" s="463" t="s">
        <v>433</v>
      </c>
      <c r="B8" s="470">
        <v>1150</v>
      </c>
      <c r="C8" s="475"/>
      <c r="D8" s="475"/>
      <c r="E8" s="477"/>
      <c r="F8" s="477"/>
      <c r="G8" s="481">
        <v>19827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493546</v>
      </c>
      <c r="D12" s="1726">
        <f t="shared" si="0"/>
        <v>87133</v>
      </c>
      <c r="E12" s="1726">
        <f t="shared" si="0"/>
        <v>139786</v>
      </c>
      <c r="F12" s="1726">
        <f t="shared" si="0"/>
        <v>55035</v>
      </c>
      <c r="G12" s="1726">
        <f t="shared" si="0"/>
        <v>40826</v>
      </c>
      <c r="H12" s="1726">
        <f t="shared" si="0"/>
        <v>0</v>
      </c>
      <c r="I12" s="1726">
        <f t="shared" si="0"/>
        <v>4925</v>
      </c>
      <c r="J12" s="1726">
        <f t="shared" si="0"/>
        <v>34694</v>
      </c>
      <c r="K12" s="1707">
        <f t="shared" si="0"/>
        <v>9918</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10000</v>
      </c>
      <c r="D16" s="466"/>
      <c r="E16" s="466"/>
      <c r="F16" s="466"/>
      <c r="G16" s="466">
        <v>34143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10000</v>
      </c>
      <c r="D18" s="1729">
        <f t="shared" ref="D18:K18" si="1">SUM(D14:D17)</f>
        <v>0</v>
      </c>
      <c r="E18" s="1729">
        <f t="shared" si="1"/>
        <v>0</v>
      </c>
      <c r="F18" s="1729">
        <f t="shared" si="1"/>
        <v>0</v>
      </c>
      <c r="G18" s="1729">
        <f t="shared" si="1"/>
        <v>34143</v>
      </c>
      <c r="H18" s="1729">
        <f t="shared" si="1"/>
        <v>0</v>
      </c>
      <c r="I18" s="1729">
        <f t="shared" si="1"/>
        <v>0</v>
      </c>
      <c r="J18" s="1729">
        <f t="shared" si="1"/>
        <v>0</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1932</v>
      </c>
      <c r="D65" s="466">
        <v>351</v>
      </c>
      <c r="E65" s="466">
        <v>253</v>
      </c>
      <c r="F65" s="467">
        <v>884</v>
      </c>
      <c r="G65" s="466">
        <v>208</v>
      </c>
      <c r="H65" s="466">
        <v>232</v>
      </c>
      <c r="I65" s="466">
        <v>1754</v>
      </c>
      <c r="J65" s="467">
        <v>48</v>
      </c>
      <c r="K65" s="466">
        <v>95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1932</v>
      </c>
      <c r="D67" s="1707">
        <f t="shared" ref="D67:K67" si="2">SUM(D65:D66)</f>
        <v>351</v>
      </c>
      <c r="E67" s="1707">
        <f t="shared" si="2"/>
        <v>253</v>
      </c>
      <c r="F67" s="1707">
        <f t="shared" si="2"/>
        <v>884</v>
      </c>
      <c r="G67" s="1707">
        <f t="shared" si="2"/>
        <v>208</v>
      </c>
      <c r="H67" s="1707">
        <f t="shared" si="2"/>
        <v>232</v>
      </c>
      <c r="I67" s="1707">
        <f t="shared" si="2"/>
        <v>1754</v>
      </c>
      <c r="J67" s="1707">
        <f t="shared" si="2"/>
        <v>48</v>
      </c>
      <c r="K67" s="1707">
        <f t="shared" si="2"/>
        <v>95</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f>681+1496</f>
        <v>2177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2177</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f>4281+5942</f>
        <v>10223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650+670</f>
        <v>1320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11543</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f>2080+1555+3680</f>
        <v>7315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7315</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f>2155+1996</f>
        <v>4151</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480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680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137199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20317</v>
      </c>
      <c r="D107" s="466">
        <v>1900</v>
      </c>
      <c r="E107" s="466"/>
      <c r="F107" s="466"/>
      <c r="G107" s="466"/>
      <c r="H107" s="466"/>
      <c r="I107" s="466"/>
      <c r="J107" s="467"/>
      <c r="K107" s="466"/>
    </row>
    <row r="108" spans="1:12" ht="12.75" customHeight="1" thickBot="1" x14ac:dyDescent="0.25">
      <c r="A108" s="1727" t="s">
        <v>508</v>
      </c>
      <c r="B108" s="1731"/>
      <c r="C108" s="1726">
        <f>SUM(C95:C107)</f>
        <v>25628</v>
      </c>
      <c r="D108" s="1726">
        <f t="shared" ref="D108:K108" si="3">SUM(D95:D107)</f>
        <v>1900</v>
      </c>
      <c r="E108" s="1726">
        <f t="shared" si="3"/>
        <v>0</v>
      </c>
      <c r="F108" s="1726">
        <f t="shared" si="3"/>
        <v>0</v>
      </c>
      <c r="G108" s="1726">
        <f t="shared" si="3"/>
        <v>0</v>
      </c>
      <c r="H108" s="1726">
        <f t="shared" si="3"/>
        <v>137199</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552141</v>
      </c>
      <c r="D109" s="1734">
        <f t="shared" si="4"/>
        <v>89384</v>
      </c>
      <c r="E109" s="1734">
        <f t="shared" si="4"/>
        <v>140039</v>
      </c>
      <c r="F109" s="1734">
        <f t="shared" si="4"/>
        <v>55919</v>
      </c>
      <c r="G109" s="1734">
        <f t="shared" si="4"/>
        <v>75177</v>
      </c>
      <c r="H109" s="1734">
        <f t="shared" si="4"/>
        <v>137431</v>
      </c>
      <c r="I109" s="1734">
        <f t="shared" si="4"/>
        <v>6679</v>
      </c>
      <c r="J109" s="1734">
        <f t="shared" si="4"/>
        <v>34742</v>
      </c>
      <c r="K109" s="1721">
        <f t="shared" si="4"/>
        <v>10013</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1761420</v>
      </c>
      <c r="D117" s="481">
        <v>31000</v>
      </c>
      <c r="E117" s="466">
        <v>2200</v>
      </c>
      <c r="F117" s="481"/>
      <c r="G117" s="481">
        <v>18750</v>
      </c>
      <c r="H117" s="466"/>
      <c r="I117" s="468"/>
      <c r="J117" s="467">
        <v>30300</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5"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1761420</v>
      </c>
      <c r="D121" s="1726">
        <f t="shared" si="5"/>
        <v>31000</v>
      </c>
      <c r="E121" s="1726">
        <f t="shared" si="5"/>
        <v>2200</v>
      </c>
      <c r="F121" s="1726">
        <f t="shared" si="5"/>
        <v>0</v>
      </c>
      <c r="G121" s="1726">
        <f t="shared" si="5"/>
        <v>18750</v>
      </c>
      <c r="H121" s="1726">
        <f t="shared" si="5"/>
        <v>0</v>
      </c>
      <c r="I121" s="468"/>
      <c r="J121" s="1726">
        <f>SUM(J117:J120)</f>
        <v>30300</v>
      </c>
      <c r="K121" s="1707">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f>26787+45553</f>
        <v>72340</v>
      </c>
      <c r="D124" s="561"/>
      <c r="E124" s="468"/>
      <c r="F124" s="548"/>
      <c r="G124" s="468"/>
      <c r="H124" s="468"/>
      <c r="I124" s="468"/>
      <c r="J124" s="468"/>
      <c r="K124" s="468"/>
    </row>
    <row r="125" spans="1:11" ht="12.75" customHeight="1" x14ac:dyDescent="0.2">
      <c r="A125" s="463" t="s">
        <v>1521</v>
      </c>
      <c r="B125" s="562">
        <v>3105</v>
      </c>
      <c r="C125" s="466">
        <v>22542</v>
      </c>
      <c r="D125" s="561"/>
      <c r="E125" s="468"/>
      <c r="F125" s="466"/>
      <c r="G125" s="468"/>
      <c r="H125" s="468"/>
      <c r="I125" s="468"/>
      <c r="J125" s="468"/>
      <c r="K125" s="468"/>
    </row>
    <row r="126" spans="1:11" ht="12.75" customHeight="1" x14ac:dyDescent="0.2">
      <c r="A126" s="463" t="s">
        <v>922</v>
      </c>
      <c r="B126" s="562">
        <v>3110</v>
      </c>
      <c r="C126" s="551">
        <v>33474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128356</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f>2863+4546</f>
        <v>7409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7409</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2330</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1732</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f>15630+2537</f>
        <v>18167</v>
      </c>
      <c r="G151" s="467"/>
      <c r="H151" s="468"/>
      <c r="I151" s="468"/>
      <c r="J151" s="468"/>
      <c r="K151" s="468"/>
    </row>
    <row r="152" spans="1:11" ht="12.75" customHeight="1" x14ac:dyDescent="0.2">
      <c r="A152" s="463" t="s">
        <v>1117</v>
      </c>
      <c r="B152" s="562">
        <v>3510</v>
      </c>
      <c r="C152" s="551"/>
      <c r="D152" s="466"/>
      <c r="E152" s="561"/>
      <c r="F152" s="466">
        <f>43685+27720</f>
        <v>71405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89572</v>
      </c>
      <c r="G154" s="1726">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f>87060+38042</f>
        <v>125102</v>
      </c>
      <c r="D158" s="578"/>
      <c r="E158" s="561"/>
      <c r="F158" s="576">
        <v>3000</v>
      </c>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c r="D171" s="580"/>
      <c r="E171" s="580"/>
      <c r="F171" s="580"/>
      <c r="G171" s="581"/>
      <c r="H171" s="582"/>
      <c r="I171" s="581"/>
      <c r="J171" s="581"/>
      <c r="K171" s="582"/>
    </row>
    <row r="172" spans="1:11" ht="12.75" customHeight="1" thickTop="1" thickBot="1" x14ac:dyDescent="0.25">
      <c r="A172" s="2196" t="s">
        <v>418</v>
      </c>
      <c r="B172" s="2197"/>
      <c r="C172" s="1741">
        <f t="shared" ref="C172:K172" si="6">SUM(C131,C140,C144,C145:C149,C154,C155:C170,C171)</f>
        <v>264929</v>
      </c>
      <c r="D172" s="1741">
        <f t="shared" si="6"/>
        <v>0</v>
      </c>
      <c r="E172" s="1741">
        <f t="shared" si="6"/>
        <v>0</v>
      </c>
      <c r="F172" s="1741">
        <f t="shared" si="6"/>
        <v>92572</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2026349</v>
      </c>
      <c r="D173" s="1734">
        <f>SUM(D121,D172)</f>
        <v>31000</v>
      </c>
      <c r="E173" s="1734">
        <f>SUM(E121,E172)</f>
        <v>2200</v>
      </c>
      <c r="F173" s="1734">
        <f t="shared" ref="F173:K173" si="7">SUM(F121,F172)</f>
        <v>92572</v>
      </c>
      <c r="G173" s="1734">
        <f t="shared" si="7"/>
        <v>18750</v>
      </c>
      <c r="H173" s="1734">
        <f t="shared" si="7"/>
        <v>0</v>
      </c>
      <c r="I173" s="1734">
        <f t="shared" si="7"/>
        <v>0</v>
      </c>
      <c r="J173" s="1734">
        <f t="shared" si="7"/>
        <v>30300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98" t="s">
        <v>1572</v>
      </c>
      <c r="B175" s="219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2" t="s">
        <v>1764</v>
      </c>
      <c r="B178" s="2203"/>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06" t="s">
        <v>1763</v>
      </c>
      <c r="B179" s="220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4" t="s">
        <v>818</v>
      </c>
      <c r="B184" s="2205"/>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00" t="s">
        <v>1906</v>
      </c>
      <c r="B185" s="2201"/>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23169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23169</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86353+16007</f>
        <v>102360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f>41595+7868</f>
        <v>49463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151823</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f>98680+30723</f>
        <v>129403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129403</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75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75</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12616+5721</f>
        <v>18337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2035</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324842</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324842</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2903332</v>
      </c>
      <c r="D275" s="1734">
        <f t="shared" si="12"/>
        <v>120384</v>
      </c>
      <c r="E275" s="1734">
        <f t="shared" si="12"/>
        <v>142239</v>
      </c>
      <c r="F275" s="1734">
        <f t="shared" si="12"/>
        <v>148491</v>
      </c>
      <c r="G275" s="1734">
        <f t="shared" si="12"/>
        <v>93927</v>
      </c>
      <c r="H275" s="1734">
        <f t="shared" si="12"/>
        <v>137431</v>
      </c>
      <c r="I275" s="1734">
        <f t="shared" si="12"/>
        <v>6679</v>
      </c>
      <c r="J275" s="1734">
        <f t="shared" si="12"/>
        <v>65042</v>
      </c>
      <c r="K275" s="1721">
        <f t="shared" si="12"/>
        <v>10013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5" right="0.5" top="1.4" bottom="0.75" header="1" footer="0.5"/>
  <pageSetup scale="70"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0" max="16383" man="1"/>
    <brk id="18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171" activePane="bottomLeft" state="frozen"/>
      <selection activeCell="A47" sqref="A47"/>
      <selection pane="bottomLeft" activeCell="A345" sqref="A345:B34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4" t="s">
        <v>315</v>
      </c>
      <c r="B3" s="2215"/>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f>297045+9818+6499+7268+4116+166094+2090+816+245050+40278+6928+11413+17052+1125</f>
        <v>815592</v>
      </c>
      <c r="D5" s="466">
        <f>42145+9+7477+286+26250+400+17448+3771+146+10590+25958+130+5663+288+28080+252</f>
        <v>168893</v>
      </c>
      <c r="E5" s="466">
        <f>25+1802+478+358+2042+752+1588+3456</f>
        <v>10501</v>
      </c>
      <c r="F5" s="466">
        <f>1698+255+3315+1051+290+70+4138+23169+240+1614+4042-4</f>
        <v>39878</v>
      </c>
      <c r="G5" s="466">
        <v>800</v>
      </c>
      <c r="H5" s="466">
        <f>121+50+489</f>
        <v>660</v>
      </c>
      <c r="I5" s="467"/>
      <c r="J5" s="467"/>
      <c r="K5" s="1690">
        <f>SUM(C5:J5)</f>
        <v>1036324</v>
      </c>
      <c r="L5" s="466">
        <v>1041674</v>
      </c>
    </row>
    <row r="6" spans="1:14" x14ac:dyDescent="0.2">
      <c r="A6" s="1523" t="s">
        <v>1508</v>
      </c>
      <c r="B6" s="615" t="s">
        <v>1506</v>
      </c>
      <c r="C6" s="477"/>
      <c r="D6" s="477"/>
      <c r="E6" s="466"/>
      <c r="F6" s="477"/>
      <c r="G6" s="477"/>
      <c r="H6" s="477"/>
      <c r="I6" s="477"/>
      <c r="J6" s="477"/>
      <c r="K6" s="1690">
        <f>SUM(C6,E6)</f>
        <v>0</v>
      </c>
      <c r="L6" s="466"/>
    </row>
    <row r="7" spans="1:14" x14ac:dyDescent="0.2">
      <c r="A7" s="1523" t="s">
        <v>165</v>
      </c>
      <c r="B7" s="615" t="s">
        <v>1024</v>
      </c>
      <c r="C7" s="467">
        <f>1348+2277+20627+9246+1467+2535+30573+340</f>
        <v>68413</v>
      </c>
      <c r="D7" s="467">
        <f>665+74+752+40+4620+450</f>
        <v>6601</v>
      </c>
      <c r="E7" s="467">
        <f>800+157+1067+610</f>
        <v>2634</v>
      </c>
      <c r="F7" s="467">
        <f>4680+3784+2100+820+3126</f>
        <v>14510</v>
      </c>
      <c r="G7" s="467"/>
      <c r="H7" s="467"/>
      <c r="I7" s="467"/>
      <c r="J7" s="467"/>
      <c r="K7" s="1690">
        <f t="shared" ref="K7:K32" si="0">SUM(C7:J7)</f>
        <v>92158</v>
      </c>
      <c r="L7" s="466">
        <v>93986</v>
      </c>
    </row>
    <row r="8" spans="1:14" x14ac:dyDescent="0.2">
      <c r="A8" s="1523" t="s">
        <v>166</v>
      </c>
      <c r="B8" s="615">
        <v>1200</v>
      </c>
      <c r="C8" s="466"/>
      <c r="D8" s="466"/>
      <c r="E8" s="466"/>
      <c r="F8" s="466"/>
      <c r="G8" s="466"/>
      <c r="H8" s="466"/>
      <c r="I8" s="467"/>
      <c r="J8" s="467"/>
      <c r="K8" s="1690">
        <f t="shared" si="0"/>
        <v>0</v>
      </c>
      <c r="L8" s="466"/>
    </row>
    <row r="9" spans="1:14" x14ac:dyDescent="0.2">
      <c r="A9" s="1523" t="s">
        <v>745</v>
      </c>
      <c r="B9" s="615" t="s">
        <v>1025</v>
      </c>
      <c r="C9" s="467"/>
      <c r="D9" s="467"/>
      <c r="E9" s="467"/>
      <c r="F9" s="467"/>
      <c r="G9" s="467"/>
      <c r="H9" s="467"/>
      <c r="I9" s="467"/>
      <c r="J9" s="467"/>
      <c r="K9" s="1690">
        <f t="shared" si="0"/>
        <v>0</v>
      </c>
      <c r="L9" s="466"/>
    </row>
    <row r="10" spans="1:14" x14ac:dyDescent="0.2">
      <c r="A10" s="1523" t="s">
        <v>746</v>
      </c>
      <c r="B10" s="615">
        <v>1250</v>
      </c>
      <c r="C10" s="466">
        <f>59905+4163+19978+3692+461+1530</f>
        <v>89729</v>
      </c>
      <c r="D10" s="466">
        <f>14954+1554+60+1475+65</f>
        <v>18108</v>
      </c>
      <c r="E10" s="466">
        <f>7490+1143+1054+177</f>
        <v>9864</v>
      </c>
      <c r="F10" s="466">
        <f>8024+2203</f>
        <v>10227</v>
      </c>
      <c r="G10" s="466"/>
      <c r="H10" s="466"/>
      <c r="I10" s="467"/>
      <c r="J10" s="467"/>
      <c r="K10" s="1690">
        <f t="shared" si="0"/>
        <v>127928</v>
      </c>
      <c r="L10" s="466">
        <v>133746</v>
      </c>
    </row>
    <row r="11" spans="1:14" x14ac:dyDescent="0.2">
      <c r="A11" s="1523" t="s">
        <v>1192</v>
      </c>
      <c r="B11" s="615" t="s">
        <v>163</v>
      </c>
      <c r="C11" s="467"/>
      <c r="D11" s="467"/>
      <c r="E11" s="467"/>
      <c r="F11" s="467"/>
      <c r="G11" s="467"/>
      <c r="H11" s="467"/>
      <c r="I11" s="467"/>
      <c r="J11" s="467"/>
      <c r="K11" s="1690">
        <f t="shared" si="0"/>
        <v>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f>5000+28035</f>
        <v>33035</v>
      </c>
      <c r="D13" s="466">
        <f>3501+753+35+5520</f>
        <v>9809</v>
      </c>
      <c r="E13" s="466">
        <v>150</v>
      </c>
      <c r="F13" s="466"/>
      <c r="G13" s="466"/>
      <c r="H13" s="466"/>
      <c r="I13" s="467"/>
      <c r="J13" s="467"/>
      <c r="K13" s="1690">
        <f t="shared" si="0"/>
        <v>42994</v>
      </c>
      <c r="L13" s="466">
        <v>43240</v>
      </c>
    </row>
    <row r="14" spans="1:14" x14ac:dyDescent="0.2">
      <c r="A14" s="1523" t="s">
        <v>1020</v>
      </c>
      <c r="B14" s="615">
        <v>1500</v>
      </c>
      <c r="C14" s="466">
        <f>16166+20576</f>
        <v>36742</v>
      </c>
      <c r="D14" s="466">
        <f>766+165</f>
        <v>931</v>
      </c>
      <c r="E14" s="466">
        <f>2721+2810+4255+740+700+600+99</f>
        <v>11925</v>
      </c>
      <c r="F14" s="466">
        <f>2475+2155+7154</f>
        <v>11784</v>
      </c>
      <c r="G14" s="466"/>
      <c r="H14" s="466">
        <f>50+1575+782+971</f>
        <v>3378</v>
      </c>
      <c r="I14" s="467"/>
      <c r="J14" s="467"/>
      <c r="K14" s="1690">
        <f t="shared" si="0"/>
        <v>64760</v>
      </c>
      <c r="L14" s="466">
        <v>64815</v>
      </c>
    </row>
    <row r="15" spans="1:14" x14ac:dyDescent="0.2">
      <c r="A15" s="1523" t="s">
        <v>1021</v>
      </c>
      <c r="B15" s="615">
        <v>1600</v>
      </c>
      <c r="C15" s="466"/>
      <c r="D15" s="466"/>
      <c r="E15" s="466"/>
      <c r="F15" s="466"/>
      <c r="G15" s="466"/>
      <c r="H15" s="466"/>
      <c r="I15" s="467"/>
      <c r="J15" s="467"/>
      <c r="K15" s="1690">
        <f t="shared" si="0"/>
        <v>0</v>
      </c>
      <c r="L15" s="466"/>
    </row>
    <row r="16" spans="1:14" x14ac:dyDescent="0.2">
      <c r="A16" s="1523" t="s">
        <v>1044</v>
      </c>
      <c r="B16" s="615" t="s">
        <v>444</v>
      </c>
      <c r="C16" s="466"/>
      <c r="D16" s="466"/>
      <c r="E16" s="466"/>
      <c r="F16" s="466"/>
      <c r="G16" s="466"/>
      <c r="H16" s="466"/>
      <c r="I16" s="467"/>
      <c r="J16" s="467"/>
      <c r="K16" s="1690">
        <f t="shared" si="0"/>
        <v>0</v>
      </c>
      <c r="L16" s="466"/>
    </row>
    <row r="17" spans="1:12" x14ac:dyDescent="0.2">
      <c r="A17" s="1523" t="s">
        <v>748</v>
      </c>
      <c r="B17" s="615" t="s">
        <v>164</v>
      </c>
      <c r="C17" s="467">
        <v>9800</v>
      </c>
      <c r="D17" s="467">
        <f>602+129</f>
        <v>731</v>
      </c>
      <c r="E17" s="467">
        <v>162</v>
      </c>
      <c r="F17" s="467">
        <f>42+661</f>
        <v>703</v>
      </c>
      <c r="G17" s="467"/>
      <c r="H17" s="467">
        <v>10</v>
      </c>
      <c r="I17" s="467"/>
      <c r="J17" s="467"/>
      <c r="K17" s="1690">
        <f t="shared" si="0"/>
        <v>11406</v>
      </c>
      <c r="L17" s="466">
        <v>11505</v>
      </c>
    </row>
    <row r="18" spans="1:12" x14ac:dyDescent="0.2">
      <c r="A18" s="1523" t="s">
        <v>1148</v>
      </c>
      <c r="B18" s="615">
        <v>1800</v>
      </c>
      <c r="C18" s="466"/>
      <c r="D18" s="466"/>
      <c r="E18" s="466"/>
      <c r="F18" s="466"/>
      <c r="G18" s="466"/>
      <c r="H18" s="466"/>
      <c r="I18" s="467"/>
      <c r="J18" s="467"/>
      <c r="K18" s="1690">
        <f t="shared" si="0"/>
        <v>0</v>
      </c>
      <c r="L18" s="466"/>
    </row>
    <row r="19" spans="1:12" x14ac:dyDescent="0.2">
      <c r="A19" s="1523" t="s">
        <v>136</v>
      </c>
      <c r="B19" s="615">
        <v>1900</v>
      </c>
      <c r="C19" s="466"/>
      <c r="D19" s="466"/>
      <c r="E19" s="466"/>
      <c r="F19" s="466"/>
      <c r="G19" s="466"/>
      <c r="H19" s="466"/>
      <c r="I19" s="467"/>
      <c r="J19" s="467"/>
      <c r="K19" s="1690">
        <f t="shared" si="0"/>
        <v>0</v>
      </c>
      <c r="L19" s="466"/>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v>69696</v>
      </c>
      <c r="I22" s="617"/>
      <c r="J22" s="477"/>
      <c r="K22" s="1690">
        <f t="shared" si="0"/>
        <v>69696</v>
      </c>
      <c r="L22" s="471">
        <v>70100</v>
      </c>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1053311</v>
      </c>
      <c r="D33" s="1689">
        <f t="shared" ref="D33:L33" si="1">SUM(D5:D32)</f>
        <v>205073</v>
      </c>
      <c r="E33" s="1689">
        <f t="shared" si="1"/>
        <v>35236</v>
      </c>
      <c r="F33" s="1689">
        <f t="shared" si="1"/>
        <v>77102</v>
      </c>
      <c r="G33" s="1689">
        <f t="shared" si="1"/>
        <v>800</v>
      </c>
      <c r="H33" s="1689">
        <f t="shared" si="1"/>
        <v>73744</v>
      </c>
      <c r="I33" s="1689">
        <f t="shared" si="1"/>
        <v>0</v>
      </c>
      <c r="J33" s="1689">
        <f t="shared" si="1"/>
        <v>0</v>
      </c>
      <c r="K33" s="1689">
        <f t="shared" si="1"/>
        <v>1445266</v>
      </c>
      <c r="L33" s="1689">
        <f t="shared" si="1"/>
        <v>1459066</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c r="D36" s="481"/>
      <c r="E36" s="481">
        <v>275</v>
      </c>
      <c r="F36" s="481"/>
      <c r="G36" s="481"/>
      <c r="H36" s="481"/>
      <c r="I36" s="467"/>
      <c r="J36" s="467"/>
      <c r="K36" s="1690">
        <f t="shared" ref="K36:K41" si="2">SUM(C36:J36)</f>
        <v>275</v>
      </c>
      <c r="L36" s="466">
        <v>275</v>
      </c>
    </row>
    <row r="37" spans="1:14" x14ac:dyDescent="0.2">
      <c r="A37" s="1523" t="s">
        <v>1151</v>
      </c>
      <c r="B37" s="615">
        <v>2120</v>
      </c>
      <c r="C37" s="466">
        <v>36599</v>
      </c>
      <c r="D37" s="466">
        <f>3865+831+37+5520</f>
        <v>10253</v>
      </c>
      <c r="E37" s="466">
        <v>95</v>
      </c>
      <c r="F37" s="466"/>
      <c r="G37" s="466"/>
      <c r="H37" s="466"/>
      <c r="I37" s="467"/>
      <c r="J37" s="467"/>
      <c r="K37" s="1690">
        <f t="shared" si="2"/>
        <v>46947</v>
      </c>
      <c r="L37" s="466">
        <v>47190</v>
      </c>
    </row>
    <row r="38" spans="1:14" x14ac:dyDescent="0.2">
      <c r="A38" s="1523" t="s">
        <v>207</v>
      </c>
      <c r="B38" s="615">
        <v>2130</v>
      </c>
      <c r="C38" s="466">
        <v>2363</v>
      </c>
      <c r="D38" s="466"/>
      <c r="E38" s="466">
        <f>969+58</f>
        <v>1027</v>
      </c>
      <c r="F38" s="466"/>
      <c r="G38" s="466"/>
      <c r="H38" s="466"/>
      <c r="I38" s="467"/>
      <c r="J38" s="467"/>
      <c r="K38" s="1690">
        <f t="shared" si="2"/>
        <v>3390</v>
      </c>
      <c r="L38" s="466">
        <v>3600</v>
      </c>
    </row>
    <row r="39" spans="1:14" x14ac:dyDescent="0.2">
      <c r="A39" s="1523" t="s">
        <v>208</v>
      </c>
      <c r="B39" s="615">
        <v>2140</v>
      </c>
      <c r="C39" s="466"/>
      <c r="D39" s="466"/>
      <c r="E39" s="466"/>
      <c r="F39" s="466"/>
      <c r="G39" s="466"/>
      <c r="H39" s="466"/>
      <c r="I39" s="467"/>
      <c r="J39" s="467"/>
      <c r="K39" s="1690">
        <f t="shared" si="2"/>
        <v>0</v>
      </c>
      <c r="L39" s="466"/>
    </row>
    <row r="40" spans="1:14" x14ac:dyDescent="0.2">
      <c r="A40" s="1523" t="s">
        <v>209</v>
      </c>
      <c r="B40" s="615">
        <v>2150</v>
      </c>
      <c r="C40" s="466"/>
      <c r="D40" s="466"/>
      <c r="E40" s="466"/>
      <c r="F40" s="466"/>
      <c r="G40" s="466"/>
      <c r="H40" s="466"/>
      <c r="I40" s="467"/>
      <c r="J40" s="467"/>
      <c r="K40" s="1690">
        <f t="shared" si="2"/>
        <v>0</v>
      </c>
      <c r="L40" s="466"/>
    </row>
    <row r="41" spans="1:14" x14ac:dyDescent="0.2">
      <c r="A41" s="1523" t="s">
        <v>1768</v>
      </c>
      <c r="B41" s="615">
        <v>2190</v>
      </c>
      <c r="C41" s="466">
        <v>113</v>
      </c>
      <c r="D41" s="466"/>
      <c r="E41" s="466"/>
      <c r="F41" s="466"/>
      <c r="G41" s="466"/>
      <c r="H41" s="466"/>
      <c r="I41" s="467"/>
      <c r="J41" s="467"/>
      <c r="K41" s="1690">
        <f t="shared" si="2"/>
        <v>113</v>
      </c>
      <c r="L41" s="466">
        <v>125</v>
      </c>
    </row>
    <row r="42" spans="1:14" ht="12.75" customHeight="1" thickBot="1" x14ac:dyDescent="0.25">
      <c r="A42" s="1687" t="s">
        <v>581</v>
      </c>
      <c r="B42" s="1688" t="s">
        <v>740</v>
      </c>
      <c r="C42" s="1689">
        <f>SUM(C36:C41)</f>
        <v>39075</v>
      </c>
      <c r="D42" s="1689">
        <f t="shared" ref="D42:L42" si="3">SUM(D36:D41)</f>
        <v>10253</v>
      </c>
      <c r="E42" s="1689">
        <f t="shared" si="3"/>
        <v>1397</v>
      </c>
      <c r="F42" s="1689">
        <f t="shared" si="3"/>
        <v>0</v>
      </c>
      <c r="G42" s="1689">
        <f t="shared" si="3"/>
        <v>0</v>
      </c>
      <c r="H42" s="1689">
        <f t="shared" si="3"/>
        <v>0</v>
      </c>
      <c r="I42" s="1689">
        <f t="shared" si="3"/>
        <v>0</v>
      </c>
      <c r="J42" s="1689">
        <f t="shared" si="3"/>
        <v>0</v>
      </c>
      <c r="K42" s="1689">
        <f t="shared" si="3"/>
        <v>50725</v>
      </c>
      <c r="L42" s="1689">
        <f t="shared" si="3"/>
        <v>51190</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c r="D44" s="481"/>
      <c r="E44" s="481">
        <f>875+6329+1755+60+93</f>
        <v>9112</v>
      </c>
      <c r="F44" s="481">
        <v>29</v>
      </c>
      <c r="G44" s="481"/>
      <c r="H44" s="481"/>
      <c r="I44" s="467"/>
      <c r="J44" s="467"/>
      <c r="K44" s="1691">
        <f>SUM(C44:J44)</f>
        <v>9141</v>
      </c>
      <c r="L44" s="481">
        <v>9260</v>
      </c>
    </row>
    <row r="45" spans="1:14" x14ac:dyDescent="0.2">
      <c r="A45" s="1523" t="s">
        <v>869</v>
      </c>
      <c r="B45" s="615">
        <v>2220</v>
      </c>
      <c r="C45" s="466"/>
      <c r="D45" s="466"/>
      <c r="E45" s="466"/>
      <c r="F45" s="466"/>
      <c r="G45" s="466"/>
      <c r="H45" s="466"/>
      <c r="I45" s="467"/>
      <c r="J45" s="467"/>
      <c r="K45" s="1691">
        <f>SUM(C45:J45)</f>
        <v>0</v>
      </c>
      <c r="L45" s="466"/>
    </row>
    <row r="46" spans="1:14" x14ac:dyDescent="0.2">
      <c r="A46" s="1523"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0</v>
      </c>
      <c r="D47" s="1689">
        <f t="shared" ref="D47:K47" si="4">SUM(D44:D46)</f>
        <v>0</v>
      </c>
      <c r="E47" s="1689">
        <f t="shared" si="4"/>
        <v>9112</v>
      </c>
      <c r="F47" s="1689">
        <f t="shared" si="4"/>
        <v>29</v>
      </c>
      <c r="G47" s="1689">
        <f t="shared" si="4"/>
        <v>0</v>
      </c>
      <c r="H47" s="1689">
        <f t="shared" si="4"/>
        <v>0</v>
      </c>
      <c r="I47" s="1689">
        <f t="shared" si="4"/>
        <v>0</v>
      </c>
      <c r="J47" s="1689">
        <f t="shared" si="4"/>
        <v>0</v>
      </c>
      <c r="K47" s="1689">
        <f t="shared" si="4"/>
        <v>9141</v>
      </c>
      <c r="L47" s="1689">
        <f>SUM(L44:L46)</f>
        <v>9260</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c r="D49" s="481"/>
      <c r="E49" s="481">
        <f>3910+6850+22999</f>
        <v>33759</v>
      </c>
      <c r="F49" s="481">
        <v>1753</v>
      </c>
      <c r="G49" s="481"/>
      <c r="H49" s="481">
        <v>1576</v>
      </c>
      <c r="I49" s="467"/>
      <c r="J49" s="467"/>
      <c r="K49" s="1691">
        <f>SUM(C49:J49)</f>
        <v>37088</v>
      </c>
      <c r="L49" s="481">
        <v>37600</v>
      </c>
    </row>
    <row r="50" spans="1:14" x14ac:dyDescent="0.2">
      <c r="A50" s="1523" t="s">
        <v>872</v>
      </c>
      <c r="B50" s="615">
        <v>2320</v>
      </c>
      <c r="C50" s="466">
        <f>59814+20958</f>
        <v>80772</v>
      </c>
      <c r="D50" s="466">
        <f>63+185</f>
        <v>248</v>
      </c>
      <c r="E50" s="466">
        <v>275</v>
      </c>
      <c r="F50" s="466">
        <v>272</v>
      </c>
      <c r="G50" s="466"/>
      <c r="H50" s="466">
        <v>1500</v>
      </c>
      <c r="I50" s="467"/>
      <c r="J50" s="467"/>
      <c r="K50" s="1691">
        <f>SUM(C50:J50)</f>
        <v>83067</v>
      </c>
      <c r="L50" s="466">
        <v>83370</v>
      </c>
    </row>
    <row r="51" spans="1:14" x14ac:dyDescent="0.2">
      <c r="A51" s="1523" t="s">
        <v>44</v>
      </c>
      <c r="B51" s="615">
        <v>2330</v>
      </c>
      <c r="C51" s="466"/>
      <c r="D51" s="466"/>
      <c r="E51" s="466"/>
      <c r="F51" s="466"/>
      <c r="G51" s="466"/>
      <c r="H51" s="466"/>
      <c r="I51" s="467"/>
      <c r="J51" s="467"/>
      <c r="K51" s="1691">
        <f>SUM(C51:J51)</f>
        <v>0</v>
      </c>
      <c r="L51" s="466"/>
    </row>
    <row r="52" spans="1:14" ht="22.5" x14ac:dyDescent="0.2">
      <c r="A52" s="1524"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80772</v>
      </c>
      <c r="D53" s="1689">
        <f t="shared" ref="D53:L53" si="5">SUM(D49:D52)</f>
        <v>248</v>
      </c>
      <c r="E53" s="1689">
        <f t="shared" si="5"/>
        <v>34034</v>
      </c>
      <c r="F53" s="1689">
        <f t="shared" si="5"/>
        <v>2025</v>
      </c>
      <c r="G53" s="1689">
        <f t="shared" si="5"/>
        <v>0</v>
      </c>
      <c r="H53" s="1689">
        <f t="shared" si="5"/>
        <v>3076</v>
      </c>
      <c r="I53" s="1689">
        <f t="shared" si="5"/>
        <v>0</v>
      </c>
      <c r="J53" s="1689">
        <f t="shared" si="5"/>
        <v>0</v>
      </c>
      <c r="K53" s="1689">
        <f t="shared" si="5"/>
        <v>120155</v>
      </c>
      <c r="L53" s="1689">
        <f t="shared" si="5"/>
        <v>120970</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f>51279+79533+22501+22357</f>
        <v>175670</v>
      </c>
      <c r="D55" s="481">
        <f>14112+134+2999+148+23136</f>
        <v>40529</v>
      </c>
      <c r="E55" s="481">
        <f>104+275</f>
        <v>379</v>
      </c>
      <c r="F55" s="481">
        <v>269</v>
      </c>
      <c r="G55" s="481"/>
      <c r="H55" s="481">
        <f>280+390</f>
        <v>670</v>
      </c>
      <c r="I55" s="467"/>
      <c r="J55" s="467"/>
      <c r="K55" s="1691">
        <f>SUM(C55:J55)</f>
        <v>217517</v>
      </c>
      <c r="L55" s="481">
        <v>220940</v>
      </c>
    </row>
    <row r="56" spans="1:14" ht="12.75" customHeight="1" x14ac:dyDescent="0.2">
      <c r="A56" s="1527"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175670</v>
      </c>
      <c r="D57" s="1693">
        <f t="shared" ref="D57:K57" si="6">SUM(D55:D56)</f>
        <v>40529</v>
      </c>
      <c r="E57" s="1693">
        <f t="shared" si="6"/>
        <v>379</v>
      </c>
      <c r="F57" s="1693">
        <f t="shared" si="6"/>
        <v>269</v>
      </c>
      <c r="G57" s="1693">
        <f t="shared" si="6"/>
        <v>0</v>
      </c>
      <c r="H57" s="1693">
        <f t="shared" si="6"/>
        <v>670</v>
      </c>
      <c r="I57" s="1693">
        <f t="shared" si="6"/>
        <v>0</v>
      </c>
      <c r="J57" s="1693">
        <f t="shared" si="6"/>
        <v>0</v>
      </c>
      <c r="K57" s="1693">
        <f t="shared" si="6"/>
        <v>217517</v>
      </c>
      <c r="L57" s="1689">
        <f>SUM(L55:L56)</f>
        <v>220940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3" t="s">
        <v>483</v>
      </c>
      <c r="B60" s="615">
        <v>2520</v>
      </c>
      <c r="C60" s="466">
        <v>44544</v>
      </c>
      <c r="D60" s="466">
        <f>134+37</f>
        <v>171</v>
      </c>
      <c r="E60" s="466">
        <v>1899</v>
      </c>
      <c r="F60" s="466">
        <v>933</v>
      </c>
      <c r="G60" s="466"/>
      <c r="H60" s="466"/>
      <c r="I60" s="467"/>
      <c r="J60" s="467"/>
      <c r="K60" s="1691">
        <f t="shared" si="7"/>
        <v>47547</v>
      </c>
      <c r="L60" s="466">
        <v>48180</v>
      </c>
      <c r="M60" s="610"/>
      <c r="N60" s="610"/>
    </row>
    <row r="61" spans="1:14" s="343" customFormat="1" x14ac:dyDescent="0.2">
      <c r="A61" s="1523" t="s">
        <v>206</v>
      </c>
      <c r="B61" s="615">
        <v>2540</v>
      </c>
      <c r="C61" s="466">
        <f>2646+94231</f>
        <v>96877</v>
      </c>
      <c r="D61" s="466">
        <f>167+108+8078</f>
        <v>8353</v>
      </c>
      <c r="E61" s="466"/>
      <c r="F61" s="466"/>
      <c r="G61" s="466"/>
      <c r="H61" s="466"/>
      <c r="I61" s="467"/>
      <c r="J61" s="467"/>
      <c r="K61" s="1691">
        <f t="shared" si="7"/>
        <v>105230</v>
      </c>
      <c r="L61" s="466">
        <v>106410</v>
      </c>
      <c r="M61" s="610"/>
      <c r="N61" s="610"/>
    </row>
    <row r="62" spans="1:14" s="343" customFormat="1" x14ac:dyDescent="0.2">
      <c r="A62" s="1523" t="s">
        <v>1010</v>
      </c>
      <c r="B62" s="615">
        <v>2550</v>
      </c>
      <c r="C62" s="466"/>
      <c r="D62" s="466">
        <v>180</v>
      </c>
      <c r="E62" s="466"/>
      <c r="F62" s="466"/>
      <c r="G62" s="466"/>
      <c r="H62" s="466"/>
      <c r="I62" s="467"/>
      <c r="J62" s="467"/>
      <c r="K62" s="1691">
        <f t="shared" si="7"/>
        <v>180</v>
      </c>
      <c r="L62" s="466">
        <v>200</v>
      </c>
      <c r="M62" s="610"/>
      <c r="N62" s="610"/>
    </row>
    <row r="63" spans="1:14" s="610" customFormat="1" x14ac:dyDescent="0.2">
      <c r="A63" s="1523" t="s">
        <v>102</v>
      </c>
      <c r="B63" s="615">
        <v>2560</v>
      </c>
      <c r="C63" s="466"/>
      <c r="D63" s="466"/>
      <c r="E63" s="466">
        <f>72993+38553+29303</f>
        <v>140849</v>
      </c>
      <c r="F63" s="466">
        <v>50</v>
      </c>
      <c r="G63" s="466"/>
      <c r="H63" s="466"/>
      <c r="I63" s="467"/>
      <c r="J63" s="467"/>
      <c r="K63" s="1691">
        <f t="shared" si="7"/>
        <v>140899</v>
      </c>
      <c r="L63" s="466">
        <v>143050</v>
      </c>
    </row>
    <row r="64" spans="1:14" s="610" customFormat="1" x14ac:dyDescent="0.2">
      <c r="A64" s="1528" t="s">
        <v>103</v>
      </c>
      <c r="B64" s="631">
        <v>2570</v>
      </c>
      <c r="C64" s="481"/>
      <c r="D64" s="481"/>
      <c r="E64" s="481">
        <v>324</v>
      </c>
      <c r="F64" s="481">
        <v>2210</v>
      </c>
      <c r="G64" s="481"/>
      <c r="H64" s="481"/>
      <c r="I64" s="467"/>
      <c r="J64" s="467"/>
      <c r="K64" s="1691">
        <f t="shared" si="7"/>
        <v>2534</v>
      </c>
      <c r="L64" s="481">
        <v>2930</v>
      </c>
    </row>
    <row r="65" spans="1:14" s="343" customFormat="1" ht="12.75" customHeight="1" thickBot="1" x14ac:dyDescent="0.25">
      <c r="A65" s="1687" t="s">
        <v>743</v>
      </c>
      <c r="B65" s="1688" t="s">
        <v>35</v>
      </c>
      <c r="C65" s="1689">
        <f>SUM(C59:C64)</f>
        <v>141421</v>
      </c>
      <c r="D65" s="1689">
        <f t="shared" ref="D65:L65" si="8">SUM(D59:D64)</f>
        <v>8704</v>
      </c>
      <c r="E65" s="1689">
        <f t="shared" si="8"/>
        <v>143072</v>
      </c>
      <c r="F65" s="1689">
        <f t="shared" si="8"/>
        <v>3193</v>
      </c>
      <c r="G65" s="1689">
        <f t="shared" si="8"/>
        <v>0</v>
      </c>
      <c r="H65" s="1689">
        <f t="shared" si="8"/>
        <v>0</v>
      </c>
      <c r="I65" s="1689">
        <f t="shared" si="8"/>
        <v>0</v>
      </c>
      <c r="J65" s="1689">
        <f t="shared" si="8"/>
        <v>0</v>
      </c>
      <c r="K65" s="1689">
        <f t="shared" si="8"/>
        <v>296390</v>
      </c>
      <c r="L65" s="1689">
        <f t="shared" si="8"/>
        <v>300770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c r="F68" s="466"/>
      <c r="G68" s="466"/>
      <c r="H68" s="466"/>
      <c r="I68" s="467"/>
      <c r="J68" s="467"/>
      <c r="K68" s="1691">
        <f>SUM(C68:J68)</f>
        <v>0</v>
      </c>
      <c r="L68" s="466"/>
      <c r="M68" s="610"/>
      <c r="N68" s="610"/>
    </row>
    <row r="69" spans="1:14" s="343" customFormat="1" x14ac:dyDescent="0.2">
      <c r="A69" s="1523" t="s">
        <v>1121</v>
      </c>
      <c r="B69" s="615">
        <v>2630</v>
      </c>
      <c r="C69" s="466"/>
      <c r="D69" s="466"/>
      <c r="E69" s="466"/>
      <c r="F69" s="466"/>
      <c r="G69" s="466"/>
      <c r="H69" s="466"/>
      <c r="I69" s="467"/>
      <c r="J69" s="467"/>
      <c r="K69" s="1691">
        <f>SUM(C69:J69)</f>
        <v>0</v>
      </c>
      <c r="L69" s="466"/>
      <c r="M69" s="610"/>
      <c r="N69" s="610"/>
    </row>
    <row r="70" spans="1:14" s="343" customFormat="1" x14ac:dyDescent="0.2">
      <c r="A70" s="1523" t="s">
        <v>423</v>
      </c>
      <c r="B70" s="615">
        <v>2640</v>
      </c>
      <c r="C70" s="466"/>
      <c r="D70" s="466"/>
      <c r="E70" s="466"/>
      <c r="F70" s="466"/>
      <c r="G70" s="466"/>
      <c r="H70" s="466"/>
      <c r="I70" s="467"/>
      <c r="J70" s="467"/>
      <c r="K70" s="1691">
        <f>SUM(C70:J70)</f>
        <v>0</v>
      </c>
      <c r="L70" s="466"/>
      <c r="M70" s="610"/>
      <c r="N70" s="610"/>
    </row>
    <row r="71" spans="1:14" s="343" customFormat="1" x14ac:dyDescent="0.2">
      <c r="A71" s="1523"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29" t="s">
        <v>1037</v>
      </c>
      <c r="B73" s="633" t="s">
        <v>595</v>
      </c>
      <c r="C73" s="573"/>
      <c r="D73" s="573"/>
      <c r="E73" s="573"/>
      <c r="F73" s="573"/>
      <c r="G73" s="573"/>
      <c r="H73" s="573"/>
      <c r="I73" s="531"/>
      <c r="J73" s="531"/>
      <c r="K73" s="1689">
        <f>SUM(C73:J73)</f>
        <v>0</v>
      </c>
      <c r="L73" s="576"/>
      <c r="M73" s="610"/>
      <c r="N73" s="610"/>
    </row>
    <row r="74" spans="1:14" ht="12.75" customHeight="1" thickTop="1" thickBot="1" x14ac:dyDescent="0.25">
      <c r="A74" s="1687" t="s">
        <v>865</v>
      </c>
      <c r="B74" s="1695">
        <v>2000</v>
      </c>
      <c r="C74" s="1696">
        <f>SUM(C42,C47,C53,C57,C65,C72,C73)</f>
        <v>436938</v>
      </c>
      <c r="D74" s="1696">
        <f t="shared" ref="D74:K74" si="10">SUM(D42,D47,D53,D57,D65,D72,D73)</f>
        <v>59734</v>
      </c>
      <c r="E74" s="1696">
        <f t="shared" si="10"/>
        <v>187994</v>
      </c>
      <c r="F74" s="1696">
        <f t="shared" si="10"/>
        <v>5516</v>
      </c>
      <c r="G74" s="1696">
        <f t="shared" si="10"/>
        <v>0</v>
      </c>
      <c r="H74" s="1696">
        <f t="shared" si="10"/>
        <v>3746</v>
      </c>
      <c r="I74" s="1696">
        <f t="shared" si="10"/>
        <v>0</v>
      </c>
      <c r="J74" s="1696">
        <f t="shared" si="10"/>
        <v>0</v>
      </c>
      <c r="K74" s="1696">
        <f t="shared" si="10"/>
        <v>693928</v>
      </c>
      <c r="L74" s="1696">
        <f>SUM(L42,L47,L53,L57,L65,L72,L73)</f>
        <v>703130</v>
      </c>
    </row>
    <row r="75" spans="1:14" s="259" customFormat="1" ht="15.75" customHeight="1" thickTop="1" thickBot="1" x14ac:dyDescent="0.25">
      <c r="A75" s="1629" t="s">
        <v>49</v>
      </c>
      <c r="B75" s="1630" t="s">
        <v>596</v>
      </c>
      <c r="C75" s="573"/>
      <c r="D75" s="573"/>
      <c r="E75" s="573"/>
      <c r="F75" s="573"/>
      <c r="G75" s="573"/>
      <c r="H75" s="573"/>
      <c r="I75" s="531"/>
      <c r="J75" s="531"/>
      <c r="K75" s="1689">
        <f>SUM(C75:J75)</f>
        <v>0</v>
      </c>
      <c r="L75" s="576"/>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90">
        <f t="shared" ref="K78:K83" si="11">SUM(C78:J78)</f>
        <v>0</v>
      </c>
      <c r="L78" s="481"/>
    </row>
    <row r="79" spans="1:14" x14ac:dyDescent="0.2">
      <c r="A79" s="1523" t="s">
        <v>322</v>
      </c>
      <c r="B79" s="615">
        <v>4120</v>
      </c>
      <c r="C79" s="617"/>
      <c r="D79" s="617"/>
      <c r="E79" s="466"/>
      <c r="F79" s="617"/>
      <c r="G79" s="617"/>
      <c r="H79" s="466">
        <f>48786+287045</f>
        <v>335831</v>
      </c>
      <c r="I79" s="477"/>
      <c r="J79" s="477"/>
      <c r="K79" s="1690">
        <f t="shared" si="11"/>
        <v>335831</v>
      </c>
      <c r="L79" s="466">
        <v>336786</v>
      </c>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c r="I81" s="477"/>
      <c r="J81" s="477"/>
      <c r="K81" s="1690">
        <f t="shared" si="11"/>
        <v>0</v>
      </c>
      <c r="L81" s="466"/>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335831</v>
      </c>
      <c r="I84" s="477"/>
      <c r="J84" s="477"/>
      <c r="K84" s="1689">
        <f>SUM(K78:K83)</f>
        <v>335831</v>
      </c>
      <c r="L84" s="1689">
        <f>SUM(L78:L83)</f>
        <v>336786</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723</v>
      </c>
      <c r="B86" s="638">
        <v>4220</v>
      </c>
      <c r="C86" s="617"/>
      <c r="D86" s="617"/>
      <c r="E86" s="639"/>
      <c r="F86" s="617"/>
      <c r="G86" s="617"/>
      <c r="H86" s="467"/>
      <c r="I86" s="477"/>
      <c r="J86" s="477"/>
      <c r="K86" s="1696">
        <f t="shared" ref="K86:K98" si="12">H86</f>
        <v>0</v>
      </c>
      <c r="L86" s="530"/>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1568</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335831</v>
      </c>
      <c r="I102" s="477"/>
      <c r="J102" s="477"/>
      <c r="K102" s="1696">
        <f>SUM(K84,K92,K100,K101)</f>
        <v>335831</v>
      </c>
      <c r="L102" s="1696">
        <f>SUM(L84,L92,L100,L101)</f>
        <v>336786</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1490249</v>
      </c>
      <c r="D114" s="1689">
        <f t="shared" ref="D114:K114" si="13">SUM(D33,D74,D75,D102,D112,D113)</f>
        <v>264807</v>
      </c>
      <c r="E114" s="1689">
        <f t="shared" si="13"/>
        <v>223230</v>
      </c>
      <c r="F114" s="1689">
        <f t="shared" si="13"/>
        <v>82618</v>
      </c>
      <c r="G114" s="1689">
        <f t="shared" si="13"/>
        <v>800</v>
      </c>
      <c r="H114" s="1689">
        <f>SUM(H33,H74,H75,H102,H112,H113)</f>
        <v>413321</v>
      </c>
      <c r="I114" s="1689">
        <f t="shared" si="13"/>
        <v>0</v>
      </c>
      <c r="J114" s="1689">
        <f t="shared" si="13"/>
        <v>0</v>
      </c>
      <c r="K114" s="1689">
        <f t="shared" si="13"/>
        <v>2475025</v>
      </c>
      <c r="L114" s="1689">
        <f>SUM(L33,L74,L75,L102,L112,L113)</f>
        <v>2498982</v>
      </c>
    </row>
    <row r="115" spans="1:14" ht="13.5" thickTop="1" x14ac:dyDescent="0.2">
      <c r="A115" s="2233" t="s">
        <v>1053</v>
      </c>
      <c r="B115" s="2234"/>
      <c r="C115" s="619"/>
      <c r="D115" s="619"/>
      <c r="E115" s="619"/>
      <c r="F115" s="619"/>
      <c r="G115" s="619"/>
      <c r="H115" s="619"/>
      <c r="I115" s="619"/>
      <c r="J115" s="619"/>
      <c r="K115" s="1703">
        <f>'Revenues 9-14'!C275-'Expenditures 15-22'!K114</f>
        <v>428307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1" t="s">
        <v>314</v>
      </c>
      <c r="B117" s="2212"/>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c r="F123" s="466"/>
      <c r="G123" s="466"/>
      <c r="H123" s="466"/>
      <c r="I123" s="467"/>
      <c r="J123" s="467"/>
      <c r="K123" s="1689">
        <f>SUM(C123:J123)</f>
        <v>0</v>
      </c>
      <c r="L123" s="466"/>
    </row>
    <row r="124" spans="1:14" ht="14.25" thickTop="1" thickBot="1" x14ac:dyDescent="0.25">
      <c r="A124" s="1523" t="s">
        <v>206</v>
      </c>
      <c r="B124" s="615">
        <v>2540</v>
      </c>
      <c r="C124" s="466"/>
      <c r="D124" s="466"/>
      <c r="E124" s="466">
        <f>2965+758+390+1545+6144+200+8107+2648+2193+2583+393</f>
        <v>27926</v>
      </c>
      <c r="F124" s="466">
        <f>375+3492+82+558+8840+40+303+8308+11043+14240+29234+2286</f>
        <v>78801</v>
      </c>
      <c r="G124" s="466"/>
      <c r="H124" s="466"/>
      <c r="I124" s="467"/>
      <c r="J124" s="467"/>
      <c r="K124" s="1689">
        <f>SUM(C124:J124)</f>
        <v>106727</v>
      </c>
      <c r="L124" s="466">
        <v>110810</v>
      </c>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0</v>
      </c>
      <c r="D127" s="1689">
        <f t="shared" ref="D127:L127" si="14">SUM(D122:D126)</f>
        <v>0</v>
      </c>
      <c r="E127" s="1689">
        <f t="shared" si="14"/>
        <v>27926</v>
      </c>
      <c r="F127" s="1689">
        <f t="shared" si="14"/>
        <v>78801</v>
      </c>
      <c r="G127" s="1689">
        <f t="shared" si="14"/>
        <v>0</v>
      </c>
      <c r="H127" s="1689">
        <f t="shared" si="14"/>
        <v>0</v>
      </c>
      <c r="I127" s="1689">
        <f t="shared" si="14"/>
        <v>0</v>
      </c>
      <c r="J127" s="1689">
        <f t="shared" si="14"/>
        <v>0</v>
      </c>
      <c r="K127" s="1689">
        <f t="shared" si="14"/>
        <v>106727</v>
      </c>
      <c r="L127" s="1689">
        <f t="shared" si="14"/>
        <v>110810</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0</v>
      </c>
      <c r="D129" s="1696">
        <f t="shared" ref="D129:L129" si="15">SUM(D120,D127,D128)</f>
        <v>0</v>
      </c>
      <c r="E129" s="1696">
        <f t="shared" si="15"/>
        <v>27926</v>
      </c>
      <c r="F129" s="1696">
        <f t="shared" si="15"/>
        <v>78801</v>
      </c>
      <c r="G129" s="1696">
        <f t="shared" si="15"/>
        <v>0</v>
      </c>
      <c r="H129" s="1696">
        <f t="shared" si="15"/>
        <v>0</v>
      </c>
      <c r="I129" s="1696">
        <f t="shared" si="15"/>
        <v>0</v>
      </c>
      <c r="J129" s="1696">
        <f t="shared" si="15"/>
        <v>0</v>
      </c>
      <c r="K129" s="1696">
        <f t="shared" si="15"/>
        <v>106727</v>
      </c>
      <c r="L129" s="1696">
        <f t="shared" si="15"/>
        <v>110810</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1956</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23" t="s">
        <v>641</v>
      </c>
      <c r="B151" s="2205"/>
      <c r="C151" s="1689">
        <f>SUM(C129,C130,C139,C149,C150)</f>
        <v>0</v>
      </c>
      <c r="D151" s="1689">
        <f t="shared" ref="D151:K151" si="16">SUM(D129,D130,D139,D149,D150)</f>
        <v>0</v>
      </c>
      <c r="E151" s="1689">
        <f t="shared" si="16"/>
        <v>27926</v>
      </c>
      <c r="F151" s="1689">
        <f t="shared" si="16"/>
        <v>78801</v>
      </c>
      <c r="G151" s="1689">
        <f t="shared" si="16"/>
        <v>0</v>
      </c>
      <c r="H151" s="1689">
        <f t="shared" si="16"/>
        <v>0</v>
      </c>
      <c r="I151" s="1689">
        <f t="shared" si="16"/>
        <v>0</v>
      </c>
      <c r="J151" s="1689">
        <f t="shared" si="16"/>
        <v>0</v>
      </c>
      <c r="K151" s="1689">
        <f t="shared" si="16"/>
        <v>106727</v>
      </c>
      <c r="L151" s="1689">
        <f>SUM(L129,L130,L139,L149,L150)</f>
        <v>110810</v>
      </c>
    </row>
    <row r="152" spans="1:14" ht="12.75" customHeight="1" thickTop="1" x14ac:dyDescent="0.2">
      <c r="A152" s="2226" t="s">
        <v>1240</v>
      </c>
      <c r="B152" s="2227"/>
      <c r="C152" s="619"/>
      <c r="D152" s="619"/>
      <c r="E152" s="619"/>
      <c r="F152" s="619"/>
      <c r="G152" s="619"/>
      <c r="H152" s="619"/>
      <c r="I152" s="619"/>
      <c r="J152" s="617"/>
      <c r="K152" s="1703">
        <f>'Revenues 9-14'!D275-'Expenditures 15-22'!K151</f>
        <v>13657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1" t="s">
        <v>642</v>
      </c>
      <c r="B154" s="2213"/>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1957</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65997</v>
      </c>
      <c r="I169" s="617"/>
      <c r="J169" s="617"/>
      <c r="K169" s="1690">
        <f>SUM(C169:H169)</f>
        <v>65997</v>
      </c>
      <c r="L169" s="657">
        <v>67098</v>
      </c>
    </row>
    <row r="170" spans="1:14" ht="33.75" customHeight="1" x14ac:dyDescent="0.2">
      <c r="A170" s="670" t="s">
        <v>1769</v>
      </c>
      <c r="B170" s="672" t="s">
        <v>31</v>
      </c>
      <c r="C170" s="617"/>
      <c r="D170" s="617"/>
      <c r="E170" s="617"/>
      <c r="F170" s="617"/>
      <c r="G170" s="617"/>
      <c r="H170" s="569">
        <v>75000</v>
      </c>
      <c r="I170" s="617"/>
      <c r="J170" s="617"/>
      <c r="K170" s="1690">
        <f>SUM(C170:J170)</f>
        <v>75000</v>
      </c>
      <c r="L170" s="569">
        <v>75000</v>
      </c>
    </row>
    <row r="171" spans="1:14" ht="15.75" customHeight="1" x14ac:dyDescent="0.2">
      <c r="A171" s="622" t="s">
        <v>790</v>
      </c>
      <c r="B171" s="673" t="s">
        <v>86</v>
      </c>
      <c r="C171" s="617"/>
      <c r="D171" s="617"/>
      <c r="E171" s="466"/>
      <c r="F171" s="617"/>
      <c r="G171" s="617"/>
      <c r="H171" s="569">
        <v>1100</v>
      </c>
      <c r="I171" s="477"/>
      <c r="J171" s="617"/>
      <c r="K171" s="1690">
        <f>SUM(C171:J171)</f>
        <v>1100</v>
      </c>
      <c r="L171" s="569"/>
    </row>
    <row r="172" spans="1:14" ht="12.75" customHeight="1" thickBot="1" x14ac:dyDescent="0.25">
      <c r="A172" s="1687" t="s">
        <v>659</v>
      </c>
      <c r="B172" s="1688" t="s">
        <v>513</v>
      </c>
      <c r="C172" s="617"/>
      <c r="D172" s="617"/>
      <c r="E172" s="1696">
        <f>SUM(E168,E169,E170,E171)</f>
        <v>0</v>
      </c>
      <c r="F172" s="617"/>
      <c r="G172" s="617"/>
      <c r="H172" s="1696">
        <f>SUM(H168,H169,H170,H171)</f>
        <v>142097</v>
      </c>
      <c r="I172" s="639"/>
      <c r="J172" s="617"/>
      <c r="K172" s="1696">
        <f>SUM(K168,K169,K170,K171)</f>
        <v>142097</v>
      </c>
      <c r="L172" s="1696">
        <f>SUM(L168,L169,L170,L171)</f>
        <v>142098</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142097</v>
      </c>
      <c r="I174" s="639"/>
      <c r="J174" s="617"/>
      <c r="K174" s="1696">
        <f>SUM(K160,K172,K173)</f>
        <v>142097</v>
      </c>
      <c r="L174" s="1696">
        <f>SUM(L160,L172,L173)</f>
        <v>142098</v>
      </c>
    </row>
    <row r="175" spans="1:14" ht="13.5" thickTop="1" x14ac:dyDescent="0.2">
      <c r="A175" s="2233" t="s">
        <v>1053</v>
      </c>
      <c r="B175" s="2234"/>
      <c r="C175" s="617"/>
      <c r="D175" s="617"/>
      <c r="E175" s="617"/>
      <c r="F175" s="617"/>
      <c r="G175" s="617"/>
      <c r="H175" s="619"/>
      <c r="I175" s="617"/>
      <c r="J175" s="617"/>
      <c r="K175" s="1703">
        <f>'Revenues 9-14'!E275-'Expenditures 15-22'!K174</f>
        <v>142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f>27188+512+10308+7490+6348+939+5000+12989</f>
        <v>70774</v>
      </c>
      <c r="D182" s="466">
        <f>78+17+74</f>
        <v>169</v>
      </c>
      <c r="E182" s="466">
        <f>2232+14988+480</f>
        <v>17700</v>
      </c>
      <c r="F182" s="466">
        <f>2736+1364+12228+2628+1557-1</f>
        <v>20512</v>
      </c>
      <c r="G182" s="466"/>
      <c r="H182" s="466">
        <f>860+31</f>
        <v>891</v>
      </c>
      <c r="I182" s="467"/>
      <c r="J182" s="467"/>
      <c r="K182" s="1690">
        <f>SUM(C182:J182)</f>
        <v>110046</v>
      </c>
      <c r="L182" s="466">
        <v>114708</v>
      </c>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70774</v>
      </c>
      <c r="D184" s="1696">
        <f t="shared" ref="D184:J184" si="17">SUM(D180,D182,D183)</f>
        <v>169</v>
      </c>
      <c r="E184" s="1696">
        <f t="shared" si="17"/>
        <v>17700</v>
      </c>
      <c r="F184" s="1696">
        <f t="shared" si="17"/>
        <v>20512</v>
      </c>
      <c r="G184" s="1696">
        <f t="shared" si="17"/>
        <v>0</v>
      </c>
      <c r="H184" s="1696">
        <f t="shared" si="17"/>
        <v>891</v>
      </c>
      <c r="I184" s="1696">
        <f t="shared" si="17"/>
        <v>0</v>
      </c>
      <c r="J184" s="1696">
        <f t="shared" si="17"/>
        <v>0</v>
      </c>
      <c r="K184" s="1696">
        <f>SUM(K180,K182,K183)</f>
        <v>110046</v>
      </c>
      <c r="L184" s="1696">
        <f>SUM(L180, L182:L183)</f>
        <v>114708</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70774</v>
      </c>
      <c r="D210" s="1689">
        <f>SUM(D184,D185)</f>
        <v>169</v>
      </c>
      <c r="E210" s="1689">
        <f>SUM(E184,E185,E196)</f>
        <v>17700</v>
      </c>
      <c r="F210" s="1689">
        <f>SUM(F184,F185)</f>
        <v>20512</v>
      </c>
      <c r="G210" s="1689">
        <f>SUM(G184,G185)</f>
        <v>0</v>
      </c>
      <c r="H210" s="1689">
        <f>SUM(H184,H185,H196,H208,H209)</f>
        <v>891</v>
      </c>
      <c r="I210" s="1689">
        <f>SUM(I184,I185)</f>
        <v>0</v>
      </c>
      <c r="J210" s="1689">
        <f>SUM(J184,J185)</f>
        <v>0</v>
      </c>
      <c r="K210" s="1690">
        <f>SUM(K184,K185,K196,K208,K209)</f>
        <v>110046</v>
      </c>
      <c r="L210" s="1689">
        <f>SUM(L184,L185,L196,L208,L209)</f>
        <v>114708</v>
      </c>
    </row>
    <row r="211" spans="1:14" ht="13.5" thickTop="1" x14ac:dyDescent="0.2">
      <c r="A211" s="2233" t="s">
        <v>1053</v>
      </c>
      <c r="B211" s="2234"/>
      <c r="C211" s="619"/>
      <c r="D211" s="619"/>
      <c r="E211" s="619"/>
      <c r="F211" s="619"/>
      <c r="G211" s="619"/>
      <c r="H211" s="619"/>
      <c r="I211" s="617"/>
      <c r="J211" s="617"/>
      <c r="K211" s="1703">
        <f>'Revenues 9-14'!F275-'Expenditures 15-22'!K210</f>
        <v>38445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8" t="s">
        <v>1022</v>
      </c>
      <c r="B213" s="2229"/>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f>138+397+590+5277+2450+632+5591+2703+4150+247+16</f>
        <v>22191</v>
      </c>
      <c r="E215" s="617"/>
      <c r="F215" s="617"/>
      <c r="G215" s="617"/>
      <c r="H215" s="617"/>
      <c r="I215" s="617"/>
      <c r="J215" s="617"/>
      <c r="K215" s="1690">
        <f>D215</f>
        <v>22191</v>
      </c>
      <c r="L215" s="466">
        <v>22506</v>
      </c>
    </row>
    <row r="216" spans="1:14" x14ac:dyDescent="0.2">
      <c r="A216" s="1523" t="s">
        <v>165</v>
      </c>
      <c r="B216" s="615" t="s">
        <v>1024</v>
      </c>
      <c r="C216" s="617"/>
      <c r="D216" s="467">
        <f>373+3193+1593+526+59</f>
        <v>5744</v>
      </c>
      <c r="E216" s="617"/>
      <c r="F216" s="617"/>
      <c r="G216" s="617"/>
      <c r="H216" s="617"/>
      <c r="I216" s="617"/>
      <c r="J216" s="617"/>
      <c r="K216" s="1690">
        <f t="shared" ref="K216:K228" si="19">D216</f>
        <v>5744</v>
      </c>
      <c r="L216" s="466">
        <v>5830</v>
      </c>
    </row>
    <row r="217" spans="1:14" x14ac:dyDescent="0.2">
      <c r="A217" s="1523" t="s">
        <v>166</v>
      </c>
      <c r="B217" s="615">
        <v>1200</v>
      </c>
      <c r="C217" s="617"/>
      <c r="D217" s="466"/>
      <c r="E217" s="617"/>
      <c r="F217" s="617"/>
      <c r="G217" s="617"/>
      <c r="H217" s="617"/>
      <c r="I217" s="617"/>
      <c r="J217" s="617"/>
      <c r="K217" s="1690">
        <f t="shared" si="19"/>
        <v>0</v>
      </c>
      <c r="L217" s="466"/>
    </row>
    <row r="218" spans="1:14" x14ac:dyDescent="0.2">
      <c r="A218" s="1523" t="s">
        <v>296</v>
      </c>
      <c r="B218" s="615" t="s">
        <v>1025</v>
      </c>
      <c r="C218" s="617"/>
      <c r="D218" s="467"/>
      <c r="E218" s="617"/>
      <c r="F218" s="617"/>
      <c r="G218" s="617"/>
      <c r="H218" s="617"/>
      <c r="I218" s="617"/>
      <c r="J218" s="617"/>
      <c r="K218" s="1690">
        <f t="shared" si="19"/>
        <v>0</v>
      </c>
      <c r="L218" s="466"/>
    </row>
    <row r="219" spans="1:14" x14ac:dyDescent="0.2">
      <c r="A219" s="1523" t="s">
        <v>297</v>
      </c>
      <c r="B219" s="615">
        <v>1250</v>
      </c>
      <c r="C219" s="617"/>
      <c r="D219" s="466">
        <f>291+2573+1242+33</f>
        <v>4139</v>
      </c>
      <c r="E219" s="617"/>
      <c r="F219" s="617"/>
      <c r="G219" s="617"/>
      <c r="H219" s="617"/>
      <c r="I219" s="617"/>
      <c r="J219" s="617"/>
      <c r="K219" s="1690">
        <f t="shared" si="19"/>
        <v>4139</v>
      </c>
      <c r="L219" s="466">
        <v>4190</v>
      </c>
    </row>
    <row r="220" spans="1:14" x14ac:dyDescent="0.2">
      <c r="A220" s="1523" t="s">
        <v>298</v>
      </c>
      <c r="B220" s="615" t="s">
        <v>163</v>
      </c>
      <c r="C220" s="617"/>
      <c r="D220" s="467"/>
      <c r="E220" s="617"/>
      <c r="F220" s="617"/>
      <c r="G220" s="617"/>
      <c r="H220" s="617"/>
      <c r="I220" s="617"/>
      <c r="J220" s="617"/>
      <c r="K220" s="1690">
        <f t="shared" si="19"/>
        <v>0</v>
      </c>
      <c r="L220" s="466"/>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v>479</v>
      </c>
      <c r="E222" s="617"/>
      <c r="F222" s="617"/>
      <c r="G222" s="617"/>
      <c r="H222" s="617"/>
      <c r="I222" s="617"/>
      <c r="J222" s="617"/>
      <c r="K222" s="1690">
        <f t="shared" si="19"/>
        <v>479</v>
      </c>
      <c r="L222" s="466">
        <v>480</v>
      </c>
    </row>
    <row r="223" spans="1:14" x14ac:dyDescent="0.2">
      <c r="A223" s="1523" t="s">
        <v>1020</v>
      </c>
      <c r="B223" s="615">
        <v>1500</v>
      </c>
      <c r="C223" s="617"/>
      <c r="D223" s="466">
        <f>423+1807+110</f>
        <v>2340</v>
      </c>
      <c r="E223" s="617"/>
      <c r="F223" s="617"/>
      <c r="G223" s="617"/>
      <c r="H223" s="617"/>
      <c r="I223" s="617"/>
      <c r="J223" s="617"/>
      <c r="K223" s="1690">
        <f t="shared" si="19"/>
        <v>2340</v>
      </c>
      <c r="L223" s="466">
        <v>2360</v>
      </c>
    </row>
    <row r="224" spans="1:14" x14ac:dyDescent="0.2">
      <c r="A224" s="1523" t="s">
        <v>1021</v>
      </c>
      <c r="B224" s="615">
        <v>1600</v>
      </c>
      <c r="C224" s="617"/>
      <c r="D224" s="466"/>
      <c r="E224" s="617"/>
      <c r="F224" s="617"/>
      <c r="G224" s="617"/>
      <c r="H224" s="617"/>
      <c r="I224" s="617"/>
      <c r="J224" s="617"/>
      <c r="K224" s="1690">
        <f t="shared" si="19"/>
        <v>0</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v>96</v>
      </c>
      <c r="E226" s="617"/>
      <c r="F226" s="617"/>
      <c r="G226" s="617"/>
      <c r="H226" s="617"/>
      <c r="I226" s="617"/>
      <c r="J226" s="617"/>
      <c r="K226" s="1690">
        <f t="shared" si="19"/>
        <v>96</v>
      </c>
      <c r="L226" s="466">
        <v>100</v>
      </c>
    </row>
    <row r="227" spans="1:12" x14ac:dyDescent="0.2">
      <c r="A227" s="1523" t="s">
        <v>1148</v>
      </c>
      <c r="B227" s="615">
        <v>1800</v>
      </c>
      <c r="C227" s="617"/>
      <c r="D227" s="466"/>
      <c r="E227" s="617"/>
      <c r="F227" s="617"/>
      <c r="G227" s="617"/>
      <c r="H227" s="617"/>
      <c r="I227" s="617"/>
      <c r="J227" s="617"/>
      <c r="K227" s="1690">
        <f t="shared" si="19"/>
        <v>0</v>
      </c>
      <c r="L227" s="466"/>
    </row>
    <row r="228" spans="1:12" x14ac:dyDescent="0.2">
      <c r="A228" s="1523"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34989</v>
      </c>
      <c r="E229" s="617"/>
      <c r="F229" s="617"/>
      <c r="G229" s="617"/>
      <c r="H229" s="617"/>
      <c r="I229" s="617"/>
      <c r="J229" s="617"/>
      <c r="K229" s="1689">
        <f>SUM(K215:K228)</f>
        <v>34989</v>
      </c>
      <c r="L229" s="1689">
        <f>SUM(L215:L228)</f>
        <v>35466</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90">
        <f t="shared" ref="K232:K237" si="20">D232</f>
        <v>0</v>
      </c>
      <c r="L232" s="466"/>
    </row>
    <row r="233" spans="1:12" x14ac:dyDescent="0.2">
      <c r="A233" s="1523" t="s">
        <v>1151</v>
      </c>
      <c r="B233" s="615">
        <v>2120</v>
      </c>
      <c r="C233" s="617"/>
      <c r="D233" s="466">
        <v>531</v>
      </c>
      <c r="E233" s="617"/>
      <c r="F233" s="617"/>
      <c r="G233" s="617"/>
      <c r="H233" s="617"/>
      <c r="I233" s="617"/>
      <c r="J233" s="617"/>
      <c r="K233" s="1690">
        <f t="shared" si="20"/>
        <v>531</v>
      </c>
      <c r="L233" s="466">
        <v>535</v>
      </c>
    </row>
    <row r="234" spans="1:12" x14ac:dyDescent="0.2">
      <c r="A234" s="1523" t="s">
        <v>207</v>
      </c>
      <c r="B234" s="615">
        <v>2130</v>
      </c>
      <c r="C234" s="617"/>
      <c r="D234" s="466">
        <f>34+146</f>
        <v>180</v>
      </c>
      <c r="E234" s="617"/>
      <c r="F234" s="617"/>
      <c r="G234" s="617"/>
      <c r="H234" s="617"/>
      <c r="I234" s="617"/>
      <c r="J234" s="617"/>
      <c r="K234" s="1690">
        <f t="shared" si="20"/>
        <v>180</v>
      </c>
      <c r="L234" s="466">
        <v>200</v>
      </c>
    </row>
    <row r="235" spans="1:12" x14ac:dyDescent="0.2">
      <c r="A235" s="1523" t="s">
        <v>208</v>
      </c>
      <c r="B235" s="615">
        <v>2140</v>
      </c>
      <c r="C235" s="617"/>
      <c r="D235" s="466"/>
      <c r="E235" s="617"/>
      <c r="F235" s="617"/>
      <c r="G235" s="617"/>
      <c r="H235" s="617"/>
      <c r="I235" s="617"/>
      <c r="J235" s="617"/>
      <c r="K235" s="1690">
        <f t="shared" si="20"/>
        <v>0</v>
      </c>
      <c r="L235" s="466"/>
    </row>
    <row r="236" spans="1:12" x14ac:dyDescent="0.2">
      <c r="A236" s="1523" t="s">
        <v>209</v>
      </c>
      <c r="B236" s="615">
        <v>2150</v>
      </c>
      <c r="C236" s="617"/>
      <c r="D236" s="466"/>
      <c r="E236" s="617"/>
      <c r="F236" s="617"/>
      <c r="G236" s="617"/>
      <c r="H236" s="617"/>
      <c r="I236" s="617"/>
      <c r="J236" s="617"/>
      <c r="K236" s="1690">
        <f t="shared" si="20"/>
        <v>0</v>
      </c>
      <c r="L236" s="466"/>
    </row>
    <row r="237" spans="1:12" x14ac:dyDescent="0.2">
      <c r="A237" s="1523" t="s">
        <v>167</v>
      </c>
      <c r="B237" s="615">
        <v>2190</v>
      </c>
      <c r="C237" s="617"/>
      <c r="D237" s="466">
        <f>2+7</f>
        <v>9</v>
      </c>
      <c r="E237" s="617"/>
      <c r="F237" s="617"/>
      <c r="G237" s="617"/>
      <c r="H237" s="617"/>
      <c r="I237" s="617"/>
      <c r="J237" s="617"/>
      <c r="K237" s="1690">
        <f t="shared" si="20"/>
        <v>9</v>
      </c>
      <c r="L237" s="466">
        <v>15</v>
      </c>
    </row>
    <row r="238" spans="1:12" ht="12.75" customHeight="1" thickBot="1" x14ac:dyDescent="0.25">
      <c r="A238" s="1687" t="s">
        <v>581</v>
      </c>
      <c r="B238" s="1694" t="s">
        <v>740</v>
      </c>
      <c r="C238" s="617"/>
      <c r="D238" s="1689">
        <f>SUM(D232:D237)</f>
        <v>720</v>
      </c>
      <c r="E238" s="617"/>
      <c r="F238" s="617"/>
      <c r="G238" s="617"/>
      <c r="H238" s="617"/>
      <c r="I238" s="617"/>
      <c r="J238" s="617"/>
      <c r="K238" s="1689">
        <f>SUM(K232:K237)</f>
        <v>720</v>
      </c>
      <c r="L238" s="1689">
        <f>SUM(L232:L237)</f>
        <v>750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c r="E240" s="617"/>
      <c r="F240" s="617"/>
      <c r="G240" s="617"/>
      <c r="H240" s="617"/>
      <c r="I240" s="617"/>
      <c r="J240" s="617"/>
      <c r="K240" s="1691">
        <f>D240</f>
        <v>0</v>
      </c>
      <c r="L240" s="481"/>
    </row>
    <row r="241" spans="1:12" x14ac:dyDescent="0.2">
      <c r="A241" s="1523" t="s">
        <v>869</v>
      </c>
      <c r="B241" s="615">
        <v>2220</v>
      </c>
      <c r="C241" s="617"/>
      <c r="D241" s="466"/>
      <c r="E241" s="617"/>
      <c r="F241" s="617"/>
      <c r="G241" s="617"/>
      <c r="H241" s="617"/>
      <c r="I241" s="617"/>
      <c r="J241" s="617"/>
      <c r="K241" s="1691">
        <f>D241</f>
        <v>0</v>
      </c>
      <c r="L241" s="466"/>
    </row>
    <row r="242" spans="1:12" x14ac:dyDescent="0.2">
      <c r="A242" s="1523"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0</v>
      </c>
      <c r="E243" s="617"/>
      <c r="F243" s="617"/>
      <c r="G243" s="617"/>
      <c r="H243" s="617"/>
      <c r="I243" s="617"/>
      <c r="J243" s="617"/>
      <c r="K243" s="1689">
        <f>SUM(K240:K242)</f>
        <v>0</v>
      </c>
      <c r="L243" s="1689">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c r="E245" s="617"/>
      <c r="F245" s="617"/>
      <c r="G245" s="617"/>
      <c r="H245" s="617"/>
      <c r="I245" s="617"/>
      <c r="J245" s="617"/>
      <c r="K245" s="1691">
        <f>D245</f>
        <v>0</v>
      </c>
      <c r="L245" s="481"/>
    </row>
    <row r="246" spans="1:12" x14ac:dyDescent="0.2">
      <c r="A246" s="1523" t="s">
        <v>872</v>
      </c>
      <c r="B246" s="615">
        <v>2320</v>
      </c>
      <c r="C246" s="617"/>
      <c r="D246" s="466">
        <f>305+2697+1303+867</f>
        <v>5172</v>
      </c>
      <c r="E246" s="617"/>
      <c r="F246" s="617"/>
      <c r="G246" s="617"/>
      <c r="H246" s="617"/>
      <c r="I246" s="617"/>
      <c r="J246" s="617"/>
      <c r="K246" s="1691">
        <f t="shared" ref="K246:K256" si="21">D246</f>
        <v>5172</v>
      </c>
      <c r="L246" s="466">
        <v>5220</v>
      </c>
    </row>
    <row r="247" spans="1:12" x14ac:dyDescent="0.2">
      <c r="A247" s="1523" t="s">
        <v>873</v>
      </c>
      <c r="B247" s="615">
        <v>2330</v>
      </c>
      <c r="C247" s="617"/>
      <c r="D247" s="466"/>
      <c r="E247" s="617"/>
      <c r="F247" s="617"/>
      <c r="G247" s="617"/>
      <c r="H247" s="617"/>
      <c r="I247" s="617"/>
      <c r="J247" s="617"/>
      <c r="K247" s="1691">
        <f t="shared" si="21"/>
        <v>0</v>
      </c>
      <c r="L247" s="466"/>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1908</v>
      </c>
      <c r="B249" s="684" t="s">
        <v>300</v>
      </c>
      <c r="C249" s="617"/>
      <c r="D249" s="474"/>
      <c r="E249" s="617"/>
      <c r="F249" s="617"/>
      <c r="G249" s="617"/>
      <c r="H249" s="617"/>
      <c r="I249" s="617"/>
      <c r="J249" s="617"/>
      <c r="K249" s="1691">
        <f t="shared" si="21"/>
        <v>0</v>
      </c>
      <c r="L249" s="466"/>
    </row>
    <row r="250" spans="1:12" x14ac:dyDescent="0.2">
      <c r="A250" s="1524" t="s">
        <v>1909</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c r="E254" s="617"/>
      <c r="F254" s="617"/>
      <c r="G254" s="617"/>
      <c r="H254" s="617"/>
      <c r="I254" s="617"/>
      <c r="J254" s="617"/>
      <c r="K254" s="1691">
        <f t="shared" si="21"/>
        <v>0</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5172</v>
      </c>
      <c r="E257" s="617"/>
      <c r="F257" s="617"/>
      <c r="G257" s="617"/>
      <c r="H257" s="617"/>
      <c r="I257" s="617"/>
      <c r="J257" s="617"/>
      <c r="K257" s="1689">
        <f>SUM(K245:K256)</f>
        <v>5172</v>
      </c>
      <c r="L257" s="1689">
        <f>SUM(L245:L256)</f>
        <v>5220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f>653+5754+2789+1863</f>
        <v>11059</v>
      </c>
      <c r="E259" s="617"/>
      <c r="F259" s="617"/>
      <c r="G259" s="617"/>
      <c r="H259" s="617"/>
      <c r="I259" s="617"/>
      <c r="J259" s="617"/>
      <c r="K259" s="1691">
        <f>D259</f>
        <v>11059</v>
      </c>
      <c r="L259" s="481">
        <v>11130</v>
      </c>
    </row>
    <row r="260" spans="1:14" s="598" customFormat="1" x14ac:dyDescent="0.2">
      <c r="A260" s="1541"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11059</v>
      </c>
      <c r="E261" s="617"/>
      <c r="F261" s="617"/>
      <c r="G261" s="617"/>
      <c r="H261" s="617"/>
      <c r="I261" s="617"/>
      <c r="J261" s="617"/>
      <c r="K261" s="1689">
        <f>SUM(K259:K260)</f>
        <v>11059</v>
      </c>
      <c r="L261" s="1689">
        <f>SUM(L259:L260)</f>
        <v>11130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91">
        <f>D263</f>
        <v>0</v>
      </c>
      <c r="L263" s="481"/>
    </row>
    <row r="264" spans="1:14" x14ac:dyDescent="0.2">
      <c r="A264" s="1523" t="s">
        <v>483</v>
      </c>
      <c r="B264" s="686">
        <v>2520</v>
      </c>
      <c r="C264" s="617"/>
      <c r="D264" s="466">
        <f>648+5732+2770</f>
        <v>9150</v>
      </c>
      <c r="E264" s="617"/>
      <c r="F264" s="617"/>
      <c r="G264" s="617"/>
      <c r="H264" s="617"/>
      <c r="I264" s="617"/>
      <c r="J264" s="617"/>
      <c r="K264" s="1691">
        <f t="shared" ref="K264:K269" si="22">D264</f>
        <v>9150</v>
      </c>
      <c r="L264" s="466">
        <v>9250</v>
      </c>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f>1444+11026+6174</f>
        <v>18644</v>
      </c>
      <c r="E266" s="617"/>
      <c r="F266" s="617"/>
      <c r="G266" s="617"/>
      <c r="H266" s="617"/>
      <c r="I266" s="617"/>
      <c r="J266" s="617"/>
      <c r="K266" s="1691">
        <f t="shared" si="22"/>
        <v>18644</v>
      </c>
      <c r="L266" s="466">
        <v>18800</v>
      </c>
    </row>
    <row r="267" spans="1:14" x14ac:dyDescent="0.2">
      <c r="A267" s="1523" t="s">
        <v>1010</v>
      </c>
      <c r="B267" s="615">
        <v>2550</v>
      </c>
      <c r="C267" s="617"/>
      <c r="D267" s="466">
        <f>1005+14+7738+4295+58+11</f>
        <v>13121</v>
      </c>
      <c r="E267" s="617"/>
      <c r="F267" s="617"/>
      <c r="G267" s="617"/>
      <c r="H267" s="617"/>
      <c r="I267" s="617"/>
      <c r="J267" s="617"/>
      <c r="K267" s="1691">
        <f t="shared" si="22"/>
        <v>13121</v>
      </c>
      <c r="L267" s="466">
        <v>13185</v>
      </c>
    </row>
    <row r="268" spans="1:14" x14ac:dyDescent="0.2">
      <c r="A268" s="1523" t="s">
        <v>102</v>
      </c>
      <c r="B268" s="615">
        <v>2560</v>
      </c>
      <c r="C268" s="617"/>
      <c r="D268" s="466"/>
      <c r="E268" s="617"/>
      <c r="F268" s="617"/>
      <c r="G268" s="617"/>
      <c r="H268" s="617"/>
      <c r="I268" s="617"/>
      <c r="J268" s="617"/>
      <c r="K268" s="1691">
        <f t="shared" si="22"/>
        <v>0</v>
      </c>
      <c r="L268" s="466"/>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40915</v>
      </c>
      <c r="E270" s="617"/>
      <c r="F270" s="617"/>
      <c r="G270" s="617"/>
      <c r="H270" s="617"/>
      <c r="I270" s="617"/>
      <c r="J270" s="617"/>
      <c r="K270" s="1689">
        <f>SUM(K263:K269)</f>
        <v>40915</v>
      </c>
      <c r="L270" s="1689">
        <f>SUM(L263:L269)</f>
        <v>41235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c r="E275" s="617"/>
      <c r="F275" s="617"/>
      <c r="G275" s="617"/>
      <c r="H275" s="617"/>
      <c r="I275" s="617"/>
      <c r="J275" s="617"/>
      <c r="K275" s="1691">
        <f>D275</f>
        <v>0</v>
      </c>
      <c r="L275" s="466"/>
    </row>
    <row r="276" spans="1:12" x14ac:dyDescent="0.2">
      <c r="A276" s="1523"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29"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57866</v>
      </c>
      <c r="E279" s="617"/>
      <c r="F279" s="617"/>
      <c r="G279" s="617"/>
      <c r="H279" s="617"/>
      <c r="I279" s="617"/>
      <c r="J279" s="617"/>
      <c r="K279" s="1696">
        <f>SUM(K238,K243,K257,K261,K270,K277,K278)</f>
        <v>57866</v>
      </c>
      <c r="L279" s="1696">
        <f>SUM(L238,L243,L257,L261,L270,L277,L278)</f>
        <v>58335</v>
      </c>
    </row>
    <row r="280" spans="1:12" ht="15.75" customHeight="1" thickTop="1" thickBot="1" x14ac:dyDescent="0.25">
      <c r="A280" s="1643" t="s">
        <v>930</v>
      </c>
      <c r="B280" s="1632">
        <v>3000</v>
      </c>
      <c r="C280" s="617"/>
      <c r="D280" s="576"/>
      <c r="E280" s="617"/>
      <c r="F280" s="617"/>
      <c r="G280" s="617"/>
      <c r="H280" s="617"/>
      <c r="I280" s="617"/>
      <c r="J280" s="617"/>
      <c r="K280" s="1698">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24" t="s">
        <v>526</v>
      </c>
      <c r="B295" s="2225"/>
      <c r="C295" s="617"/>
      <c r="D295" s="1689">
        <f>SUM(D229,D279,D280,D285)</f>
        <v>92855</v>
      </c>
      <c r="E295" s="617"/>
      <c r="F295" s="617"/>
      <c r="G295" s="617"/>
      <c r="H295" s="1689">
        <f>H293</f>
        <v>0</v>
      </c>
      <c r="I295" s="617"/>
      <c r="J295" s="617"/>
      <c r="K295" s="1689">
        <f>SUM(K229,K279,K280,K285,K293,K294)</f>
        <v>92855</v>
      </c>
      <c r="L295" s="1689">
        <f>SUM(L229,L279,L280,L285,L293,L294)</f>
        <v>93801</v>
      </c>
    </row>
    <row r="296" spans="1:14" ht="13.5" thickTop="1" x14ac:dyDescent="0.2">
      <c r="A296" s="2233" t="s">
        <v>1053</v>
      </c>
      <c r="B296" s="2234"/>
      <c r="C296" s="617"/>
      <c r="D296" s="619"/>
      <c r="E296" s="617"/>
      <c r="F296" s="617"/>
      <c r="G296" s="617"/>
      <c r="H296" s="688"/>
      <c r="I296" s="617"/>
      <c r="J296" s="617"/>
      <c r="K296" s="1703">
        <f>'Revenues 9-14'!G275-'Expenditures 15-22'!K295</f>
        <v>1072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6" t="s">
        <v>145</v>
      </c>
      <c r="B298" s="2210"/>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f>4073+8944</f>
        <v>13017</v>
      </c>
      <c r="F301" s="466">
        <f>20+14642+173390+2</f>
        <v>188054</v>
      </c>
      <c r="G301" s="466"/>
      <c r="H301" s="466"/>
      <c r="I301" s="467"/>
      <c r="J301" s="467"/>
      <c r="K301" s="1690">
        <f>SUM(C301:J301)</f>
        <v>201071</v>
      </c>
      <c r="L301" s="467">
        <v>201770</v>
      </c>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13017</v>
      </c>
      <c r="F303" s="1696">
        <f t="shared" si="23"/>
        <v>188054</v>
      </c>
      <c r="G303" s="1696">
        <f t="shared" si="23"/>
        <v>0</v>
      </c>
      <c r="H303" s="1696">
        <f t="shared" si="23"/>
        <v>0</v>
      </c>
      <c r="I303" s="1696">
        <f t="shared" si="23"/>
        <v>0</v>
      </c>
      <c r="J303" s="1696">
        <f t="shared" si="23"/>
        <v>0</v>
      </c>
      <c r="K303" s="1696">
        <f t="shared" si="23"/>
        <v>201071</v>
      </c>
      <c r="L303" s="1696">
        <f t="shared" si="23"/>
        <v>201770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1961</v>
      </c>
      <c r="B306" s="691" t="s">
        <v>1956</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21" t="s">
        <v>295</v>
      </c>
      <c r="B312" s="2222"/>
      <c r="C312" s="1689">
        <f>SUM(C303)</f>
        <v>0</v>
      </c>
      <c r="D312" s="1689">
        <f>SUM(D303)</f>
        <v>0</v>
      </c>
      <c r="E312" s="1689">
        <f>SUM(E303,E310)</f>
        <v>13017</v>
      </c>
      <c r="F312" s="1689">
        <f>SUM(F303)</f>
        <v>188054</v>
      </c>
      <c r="G312" s="1689">
        <f>SUM(G303)</f>
        <v>0</v>
      </c>
      <c r="H312" s="1689">
        <f>SUM(H303,H310)</f>
        <v>0</v>
      </c>
      <c r="I312" s="1689">
        <f>SUM(I303)</f>
        <v>0</v>
      </c>
      <c r="J312" s="1689">
        <f>SUM(J303)</f>
        <v>0</v>
      </c>
      <c r="K312" s="1689">
        <f>SUM(K303,K310,K311)</f>
        <v>201071</v>
      </c>
      <c r="L312" s="1689">
        <f>SUM(L303,L310,L311)</f>
        <v>201770</v>
      </c>
      <c r="M312" s="666"/>
      <c r="N312" s="666"/>
    </row>
    <row r="313" spans="1:14" ht="13.5" thickTop="1" x14ac:dyDescent="0.2">
      <c r="A313" s="2217" t="s">
        <v>1053</v>
      </c>
      <c r="B313" s="2218"/>
      <c r="C313" s="627"/>
      <c r="D313" s="627"/>
      <c r="E313" s="627"/>
      <c r="F313" s="627"/>
      <c r="G313" s="627"/>
      <c r="H313" s="627"/>
      <c r="I313" s="627"/>
      <c r="J313" s="627"/>
      <c r="K313" s="1704">
        <f>'Revenues 9-14'!H275-'Expenditures 15-22'!K312</f>
        <v>-63640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0" t="s">
        <v>151</v>
      </c>
      <c r="B315" s="2231"/>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2" t="s">
        <v>954</v>
      </c>
      <c r="B317" s="2231"/>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1908</v>
      </c>
      <c r="B320" s="699" t="s">
        <v>300</v>
      </c>
      <c r="C320" s="467"/>
      <c r="D320" s="467"/>
      <c r="E320" s="467">
        <v>24670</v>
      </c>
      <c r="F320" s="467"/>
      <c r="G320" s="467"/>
      <c r="H320" s="467"/>
      <c r="I320" s="467"/>
      <c r="J320" s="467"/>
      <c r="K320" s="1690">
        <f t="shared" ref="K320:K327" si="24">SUM(C320:J320)</f>
        <v>24670</v>
      </c>
      <c r="L320" s="467">
        <v>24670</v>
      </c>
      <c r="M320" s="666"/>
      <c r="N320" s="666"/>
    </row>
    <row r="321" spans="1:14" s="675" customFormat="1" x14ac:dyDescent="0.2">
      <c r="A321" s="1538" t="s">
        <v>318</v>
      </c>
      <c r="B321" s="698" t="s">
        <v>301</v>
      </c>
      <c r="C321" s="467"/>
      <c r="D321" s="467"/>
      <c r="E321" s="467">
        <v>827</v>
      </c>
      <c r="F321" s="467"/>
      <c r="G321" s="467"/>
      <c r="H321" s="467"/>
      <c r="I321" s="467"/>
      <c r="J321" s="467"/>
      <c r="K321" s="1690">
        <f t="shared" si="24"/>
        <v>827</v>
      </c>
      <c r="L321" s="467">
        <v>827</v>
      </c>
      <c r="M321" s="666"/>
      <c r="N321" s="666"/>
    </row>
    <row r="322" spans="1:14" s="675" customFormat="1" x14ac:dyDescent="0.2">
      <c r="A322" s="1538" t="s">
        <v>256</v>
      </c>
      <c r="B322" s="698" t="s">
        <v>302</v>
      </c>
      <c r="C322" s="467"/>
      <c r="D322" s="467"/>
      <c r="E322" s="467">
        <v>39202</v>
      </c>
      <c r="F322" s="467"/>
      <c r="G322" s="467"/>
      <c r="H322" s="467"/>
      <c r="I322" s="467"/>
      <c r="J322" s="467"/>
      <c r="K322" s="1690">
        <f t="shared" si="24"/>
        <v>39202</v>
      </c>
      <c r="L322" s="467">
        <v>39202</v>
      </c>
      <c r="M322" s="666"/>
      <c r="N322" s="666"/>
    </row>
    <row r="323" spans="1:14" s="675" customFormat="1" x14ac:dyDescent="0.2">
      <c r="A323" s="1538"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64699</v>
      </c>
      <c r="F330" s="1689">
        <f t="shared" si="25"/>
        <v>0</v>
      </c>
      <c r="G330" s="1689">
        <f t="shared" si="25"/>
        <v>0</v>
      </c>
      <c r="H330" s="1689">
        <f t="shared" si="25"/>
        <v>0</v>
      </c>
      <c r="I330" s="1689">
        <f t="shared" si="25"/>
        <v>0</v>
      </c>
      <c r="J330" s="1689">
        <f t="shared" si="25"/>
        <v>0</v>
      </c>
      <c r="K330" s="1689">
        <f>SUM(K319:K329)</f>
        <v>64699</v>
      </c>
      <c r="L330" s="1689">
        <f>SUM(L319:L329)</f>
        <v>64699</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64699</v>
      </c>
      <c r="F342" s="1689">
        <f>SUM(F330)</f>
        <v>0</v>
      </c>
      <c r="G342" s="1689">
        <f>SUM(G330)</f>
        <v>0</v>
      </c>
      <c r="H342" s="1689">
        <f>SUM(H330,H334,H340)</f>
        <v>0</v>
      </c>
      <c r="I342" s="1689">
        <f>SUM(I330)</f>
        <v>0</v>
      </c>
      <c r="J342" s="1689">
        <f>SUM(J330)</f>
        <v>0</v>
      </c>
      <c r="K342" s="1689">
        <f>SUM(K330,K334,K340)</f>
        <v>64699</v>
      </c>
      <c r="L342" s="1696">
        <f>SUM(L330,L340,L341)</f>
        <v>64699</v>
      </c>
    </row>
    <row r="343" spans="1:14" ht="12.75" customHeight="1" thickTop="1" x14ac:dyDescent="0.2">
      <c r="A343" s="2219" t="s">
        <v>1053</v>
      </c>
      <c r="B343" s="2220"/>
      <c r="C343" s="617"/>
      <c r="D343" s="617"/>
      <c r="E343" s="617"/>
      <c r="F343" s="617"/>
      <c r="G343" s="617"/>
      <c r="H343" s="617"/>
      <c r="I343" s="617"/>
      <c r="J343" s="617"/>
      <c r="K343" s="1703">
        <f>'Revenues 9-14'!J275-'Expenditures 15-22'!K342</f>
        <v>343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9" t="s">
        <v>1023</v>
      </c>
      <c r="B345" s="2210"/>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f>4504+1745</f>
        <v>6249</v>
      </c>
      <c r="F349" s="466">
        <f>599+1</f>
        <v>600</v>
      </c>
      <c r="G349" s="466"/>
      <c r="H349" s="466"/>
      <c r="I349" s="467"/>
      <c r="J349" s="467"/>
      <c r="K349" s="1690">
        <f>SUM(C349:J349)</f>
        <v>6849</v>
      </c>
      <c r="L349" s="466">
        <v>6895</v>
      </c>
    </row>
    <row r="350" spans="1:14" ht="12.75" customHeight="1" thickBot="1" x14ac:dyDescent="0.25">
      <c r="A350" s="1687" t="s">
        <v>743</v>
      </c>
      <c r="B350" s="1688" t="s">
        <v>35</v>
      </c>
      <c r="C350" s="1689">
        <f>SUM(C348:C349)</f>
        <v>0</v>
      </c>
      <c r="D350" s="1689">
        <f t="shared" ref="D350:L350" si="26">SUM(D348:D349)</f>
        <v>0</v>
      </c>
      <c r="E350" s="1689">
        <f t="shared" si="26"/>
        <v>6249</v>
      </c>
      <c r="F350" s="1689">
        <f t="shared" si="26"/>
        <v>600</v>
      </c>
      <c r="G350" s="1689">
        <f t="shared" si="26"/>
        <v>0</v>
      </c>
      <c r="H350" s="1689">
        <f t="shared" si="26"/>
        <v>0</v>
      </c>
      <c r="I350" s="1689">
        <f t="shared" si="26"/>
        <v>0</v>
      </c>
      <c r="J350" s="1689">
        <f t="shared" si="26"/>
        <v>0</v>
      </c>
      <c r="K350" s="1689">
        <f t="shared" si="26"/>
        <v>6849</v>
      </c>
      <c r="L350" s="1689">
        <f t="shared" si="26"/>
        <v>6895</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6249</v>
      </c>
      <c r="F352" s="1689">
        <f t="shared" si="27"/>
        <v>600</v>
      </c>
      <c r="G352" s="1689">
        <f t="shared" si="27"/>
        <v>0</v>
      </c>
      <c r="H352" s="1689">
        <f t="shared" si="27"/>
        <v>0</v>
      </c>
      <c r="I352" s="1689">
        <f t="shared" si="27"/>
        <v>0</v>
      </c>
      <c r="J352" s="1689">
        <f t="shared" si="27"/>
        <v>0</v>
      </c>
      <c r="K352" s="1689">
        <f t="shared" si="27"/>
        <v>6849</v>
      </c>
      <c r="L352" s="1689">
        <f t="shared" si="27"/>
        <v>6895</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2"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6249</v>
      </c>
      <c r="F367" s="1689">
        <f t="shared" si="28"/>
        <v>600</v>
      </c>
      <c r="G367" s="1689">
        <f t="shared" si="28"/>
        <v>0</v>
      </c>
      <c r="H367" s="1689">
        <f t="shared" si="28"/>
        <v>0</v>
      </c>
      <c r="I367" s="1689">
        <f t="shared" si="28"/>
        <v>0</v>
      </c>
      <c r="J367" s="1689">
        <f t="shared" si="28"/>
        <v>0</v>
      </c>
      <c r="K367" s="1689">
        <f t="shared" si="28"/>
        <v>6849</v>
      </c>
      <c r="L367" s="1689">
        <f t="shared" si="28"/>
        <v>6895</v>
      </c>
    </row>
    <row r="368" spans="1:14" ht="13.5" thickTop="1" x14ac:dyDescent="0.2">
      <c r="A368" s="2233" t="s">
        <v>1053</v>
      </c>
      <c r="B368" s="2234"/>
      <c r="C368" s="655"/>
      <c r="D368" s="655"/>
      <c r="E368" s="627"/>
      <c r="F368" s="627"/>
      <c r="G368" s="627"/>
      <c r="H368" s="627"/>
      <c r="I368" s="627"/>
      <c r="J368" s="624"/>
      <c r="K368" s="1690">
        <f>'Revenues 9-14'!K275-'Expenditures 15-22'!K367</f>
        <v>3164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5" right="0.5" top="1.4" bottom="0.75" header="1" footer="0.5"/>
  <pageSetup scale="67"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6ce3111e-7420-4802-b50a-75d4e9a0b980"/>
    <ds:schemaRef ds:uri="4d435f69-8686-490b-bd6d-b153bf22ab50"/>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Table of Contents - Excel</vt:lpstr>
      <vt:lpstr>Opinion - PDF</vt:lpstr>
      <vt:lpstr>GAS Report - PDF</vt:lpstr>
      <vt:lpstr>Notes - PDF</vt:lpstr>
      <vt:lpstr>Activity Funds - Excel</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2018-09-12T14:14:06Z</cp:lastPrinted>
  <dcterms:created xsi:type="dcterms:W3CDTF">2003-10-29T19:06:34Z</dcterms:created>
  <dcterms:modified xsi:type="dcterms:W3CDTF">2018-09-26T19:07:33Z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