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Activity Funds-Excel" sheetId="188"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3">#REF!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ADDRS1">#REF!</definedName>
    <definedName name="SCHCTY" localSheetId="28">#REF!</definedName>
    <definedName name="SCHCTY" localSheetId="17">#REF!</definedName>
    <definedName name="SCHCTY" localSheetId="33">#REF!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33">#REF!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33">#REF!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33">#REF!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0" i="188" l="1"/>
  <c r="H61" i="188"/>
  <c r="F61" i="188"/>
  <c r="D61" i="188"/>
  <c r="J59" i="188"/>
  <c r="J58" i="188"/>
  <c r="J57" i="188"/>
  <c r="J56" i="188"/>
  <c r="J55" i="188"/>
  <c r="J54" i="188"/>
  <c r="J53" i="188"/>
  <c r="J52" i="188"/>
  <c r="J51" i="188"/>
  <c r="J49" i="188"/>
  <c r="J48" i="188"/>
  <c r="J47" i="188"/>
  <c r="J46" i="188"/>
  <c r="J45" i="188"/>
  <c r="J44" i="188"/>
  <c r="J43" i="188"/>
  <c r="J42" i="188"/>
  <c r="J41" i="188"/>
  <c r="J40" i="188"/>
  <c r="J39" i="188"/>
  <c r="J38" i="188"/>
  <c r="J37" i="188"/>
  <c r="J36" i="188"/>
  <c r="J35" i="188"/>
  <c r="J34" i="188"/>
  <c r="J33" i="188"/>
  <c r="J32" i="188"/>
  <c r="J31" i="188"/>
  <c r="J30" i="188"/>
  <c r="J29" i="188"/>
  <c r="J28" i="188"/>
  <c r="J27" i="188"/>
  <c r="J26" i="188"/>
  <c r="J25" i="188"/>
  <c r="J24" i="188"/>
  <c r="J23" i="188"/>
  <c r="J22" i="188"/>
  <c r="J21" i="188"/>
  <c r="J20" i="188"/>
  <c r="J19" i="188"/>
  <c r="J18" i="188"/>
  <c r="J17" i="188"/>
  <c r="J16" i="188"/>
  <c r="J11" i="188"/>
  <c r="J61" i="188" l="1"/>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82" i="36"/>
  <c r="D78" i="36"/>
  <c r="K75" i="29"/>
  <c r="K130" i="29"/>
  <c r="K185" i="29"/>
  <c r="F14" i="4" s="1"/>
  <c r="B2597" i="106" s="1"/>
  <c r="D2597" i="106" s="1"/>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B6999" i="106" s="1"/>
  <c r="D6999" i="106" s="1"/>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s="1"/>
  <c r="B6304" i="106"/>
  <c r="D6304" i="106"/>
  <c r="B6305" i="106"/>
  <c r="D6305" i="106" s="1"/>
  <c r="B6307" i="106"/>
  <c r="D6307" i="106"/>
  <c r="B6308" i="106"/>
  <c r="D6308" i="106" s="1"/>
  <c r="B6309" i="106"/>
  <c r="D6309" i="106" s="1"/>
  <c r="B6310" i="106"/>
  <c r="D6310" i="106" s="1"/>
  <c r="B6311" i="106"/>
  <c r="D6311" i="106"/>
  <c r="B6312" i="106"/>
  <c r="D6312" i="106" s="1"/>
  <c r="B6313" i="106"/>
  <c r="D6313" i="106"/>
  <c r="B6314" i="106"/>
  <c r="D6314" i="106"/>
  <c r="B6315" i="106"/>
  <c r="D6315" i="106" s="1"/>
  <c r="B6316" i="106"/>
  <c r="D6316" i="106" s="1"/>
  <c r="B6317" i="106"/>
  <c r="D6317" i="106" s="1"/>
  <c r="B6319" i="106"/>
  <c r="D6319" i="106" s="1"/>
  <c r="B6320" i="106"/>
  <c r="D6320" i="106" s="1"/>
  <c r="B6321" i="106"/>
  <c r="D6321" i="106" s="1"/>
  <c r="B6322" i="106"/>
  <c r="D6322" i="106"/>
  <c r="B6323" i="106"/>
  <c r="D6323" i="106"/>
  <c r="B6324" i="106"/>
  <c r="D6324" i="106"/>
  <c r="B6325" i="106"/>
  <c r="D6325" i="106" s="1"/>
  <c r="B6326" i="106"/>
  <c r="D6326" i="106"/>
  <c r="B6327" i="106"/>
  <c r="D6327" i="106" s="1"/>
  <c r="B6328" i="106"/>
  <c r="D6328" i="106" s="1"/>
  <c r="B6329" i="106"/>
  <c r="D6329" i="106" s="1"/>
  <c r="B6330" i="106"/>
  <c r="D6330" i="106" s="1"/>
  <c r="B6331" i="106"/>
  <c r="D6331" i="106"/>
  <c r="B6332" i="106"/>
  <c r="D6332" i="106"/>
  <c r="B6333" i="106"/>
  <c r="D6333" i="106" s="1"/>
  <c r="B6334" i="106"/>
  <c r="D6334" i="106" s="1"/>
  <c r="B6335" i="106"/>
  <c r="D6335" i="106"/>
  <c r="B6336" i="106"/>
  <c r="D6336" i="106" s="1"/>
  <c r="B6337" i="106"/>
  <c r="D6337" i="106" s="1"/>
  <c r="B6338" i="106"/>
  <c r="D6338" i="106"/>
  <c r="B6339" i="106"/>
  <c r="D6339" i="106" s="1"/>
  <c r="B6340" i="106"/>
  <c r="D6340" i="106"/>
  <c r="B6341" i="106"/>
  <c r="D6341" i="106" s="1"/>
  <c r="B6342" i="106"/>
  <c r="D6342" i="106" s="1"/>
  <c r="B6343" i="106"/>
  <c r="D6343" i="106" s="1"/>
  <c r="B6344" i="106"/>
  <c r="D6344" i="106"/>
  <c r="B6345" i="106"/>
  <c r="D6345" i="106" s="1"/>
  <c r="B6346" i="106"/>
  <c r="D6346" i="106"/>
  <c r="B6347" i="106"/>
  <c r="D6347" i="106"/>
  <c r="B6348" i="106"/>
  <c r="D6348" i="106" s="1"/>
  <c r="B6349" i="106"/>
  <c r="D6349" i="106" s="1"/>
  <c r="B6350" i="106"/>
  <c r="D6350" i="106" s="1"/>
  <c r="B6353" i="106"/>
  <c r="D6353" i="106" s="1"/>
  <c r="B6354" i="106"/>
  <c r="D6354" i="106" s="1"/>
  <c r="B6355" i="106"/>
  <c r="D6355" i="106" s="1"/>
  <c r="B6356" i="106"/>
  <c r="D6356" i="106"/>
  <c r="B6358" i="106"/>
  <c r="D6358" i="106"/>
  <c r="B6359" i="106"/>
  <c r="D6359" i="106" s="1"/>
  <c r="B6360" i="106"/>
  <c r="D6360" i="106" s="1"/>
  <c r="B6361" i="106"/>
  <c r="D6361" i="106"/>
  <c r="B6362" i="106"/>
  <c r="D6362" i="106" s="1"/>
  <c r="B6363" i="106"/>
  <c r="D6363" i="106" s="1"/>
  <c r="B6364" i="106"/>
  <c r="D6364" i="106" s="1"/>
  <c r="B6365" i="106"/>
  <c r="D6365" i="106" s="1"/>
  <c r="B6366" i="106"/>
  <c r="D6366" i="106"/>
  <c r="B6367" i="106"/>
  <c r="D6367" i="106"/>
  <c r="B6368" i="106"/>
  <c r="D6368" i="106" s="1"/>
  <c r="B6369" i="106"/>
  <c r="D6369" i="106" s="1"/>
  <c r="B6370" i="106"/>
  <c r="D6370" i="106"/>
  <c r="B6371" i="106"/>
  <c r="D6371" i="106" s="1"/>
  <c r="B6372" i="106"/>
  <c r="D6372" i="106" s="1"/>
  <c r="B6373" i="106"/>
  <c r="D6373" i="106"/>
  <c r="B6374" i="106"/>
  <c r="D6374" i="106" s="1"/>
  <c r="B6375" i="106"/>
  <c r="D6375" i="106"/>
  <c r="B6376" i="106"/>
  <c r="D6376" i="106" s="1"/>
  <c r="B6377" i="106"/>
  <c r="D6377" i="106" s="1"/>
  <c r="B6378" i="106"/>
  <c r="D6378" i="106" s="1"/>
  <c r="B6379" i="106"/>
  <c r="D6379" i="106"/>
  <c r="B6380" i="106"/>
  <c r="D6380" i="106" s="1"/>
  <c r="B6381" i="106"/>
  <c r="D6381" i="106"/>
  <c r="B6382" i="106"/>
  <c r="D6382" i="106"/>
  <c r="B6383" i="106"/>
  <c r="D6383" i="106" s="1"/>
  <c r="B6384" i="106"/>
  <c r="D6384" i="106" s="1"/>
  <c r="B6385" i="106"/>
  <c r="D6385" i="106" s="1"/>
  <c r="B6386" i="106"/>
  <c r="D6386" i="106" s="1"/>
  <c r="B6387" i="106"/>
  <c r="D6387" i="106" s="1"/>
  <c r="B6388" i="106"/>
  <c r="D6388" i="106" s="1"/>
  <c r="B6389" i="106"/>
  <c r="D6389" i="106"/>
  <c r="B6390" i="106"/>
  <c r="D6390" i="106"/>
  <c r="B6391" i="106"/>
  <c r="D6391" i="106"/>
  <c r="B6392" i="106"/>
  <c r="D6392" i="106" s="1"/>
  <c r="B6393" i="106"/>
  <c r="D6393" i="106"/>
  <c r="B6394" i="106"/>
  <c r="D6394" i="106" s="1"/>
  <c r="B6395" i="106"/>
  <c r="D6395" i="106" s="1"/>
  <c r="B6398" i="106"/>
  <c r="D6398" i="106" s="1"/>
  <c r="B6399" i="106"/>
  <c r="D6399" i="106" s="1"/>
  <c r="B6401" i="106"/>
  <c r="D6401" i="106"/>
  <c r="B6402" i="106"/>
  <c r="D6402" i="106"/>
  <c r="B6403" i="106"/>
  <c r="D6403" i="106" s="1"/>
  <c r="B6404" i="106"/>
  <c r="D6404" i="106" s="1"/>
  <c r="B6405" i="106"/>
  <c r="D6405" i="106"/>
  <c r="B6406" i="106"/>
  <c r="D6406" i="106" s="1"/>
  <c r="B6407" i="106"/>
  <c r="D6407" i="106" s="1"/>
  <c r="B6408" i="106"/>
  <c r="D6408" i="106"/>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c r="B6618" i="106"/>
  <c r="D6618" i="106" s="1"/>
  <c r="B6619" i="106"/>
  <c r="D6619" i="106" s="1"/>
  <c r="B6620" i="106"/>
  <c r="D6620" i="106" s="1"/>
  <c r="B6621" i="106"/>
  <c r="D6621" i="106" s="1"/>
  <c r="B6622" i="106"/>
  <c r="D6622" i="106" s="1"/>
  <c r="B6623" i="106"/>
  <c r="D6623" i="106" s="1"/>
  <c r="B6624" i="106"/>
  <c r="D6624" i="106"/>
  <c r="B6625" i="106"/>
  <c r="D6625" i="106"/>
  <c r="B6626" i="106"/>
  <c r="D6626" i="106"/>
  <c r="B6627" i="106"/>
  <c r="D6627" i="106" s="1"/>
  <c r="B6628" i="106"/>
  <c r="D6628" i="106"/>
  <c r="B6629" i="106"/>
  <c r="D6629" i="106" s="1"/>
  <c r="B6630" i="106"/>
  <c r="D6630" i="106" s="1"/>
  <c r="B6631" i="106"/>
  <c r="D6631" i="106" s="1"/>
  <c r="B6632" i="106"/>
  <c r="D6632" i="106" s="1"/>
  <c r="B6633" i="106"/>
  <c r="D6633" i="106"/>
  <c r="B6634" i="106"/>
  <c r="D6634" i="106"/>
  <c r="B6635" i="106"/>
  <c r="D6635" i="106" s="1"/>
  <c r="B6636" i="106"/>
  <c r="D6636" i="106" s="1"/>
  <c r="B6637" i="106"/>
  <c r="D6637" i="106"/>
  <c r="B6638" i="106"/>
  <c r="D6638" i="106" s="1"/>
  <c r="B6639" i="106"/>
  <c r="D6639" i="106" s="1"/>
  <c r="B6640" i="106"/>
  <c r="D6640" i="106"/>
  <c r="B6641" i="106"/>
  <c r="D6641" i="106" s="1"/>
  <c r="B6642" i="106"/>
  <c r="D6642" i="106"/>
  <c r="B6643" i="106"/>
  <c r="D6643" i="106" s="1"/>
  <c r="B6644" i="106"/>
  <c r="D6644" i="106" s="1"/>
  <c r="B6645" i="106"/>
  <c r="D6645" i="106" s="1"/>
  <c r="B6646" i="106"/>
  <c r="D6646" i="106"/>
  <c r="B6647" i="106"/>
  <c r="D6647" i="106" s="1"/>
  <c r="B6648" i="106"/>
  <c r="D6648" i="106"/>
  <c r="B6649" i="106"/>
  <c r="D6649" i="106"/>
  <c r="B6650" i="106"/>
  <c r="D6650" i="106" s="1"/>
  <c r="B6651" i="106"/>
  <c r="D6651" i="106" s="1"/>
  <c r="B6652" i="106"/>
  <c r="D6652" i="106" s="1"/>
  <c r="B6653" i="106"/>
  <c r="D6653" i="106" s="1"/>
  <c r="B6654" i="106"/>
  <c r="D6654" i="106" s="1"/>
  <c r="B6655" i="106"/>
  <c r="D6655" i="106" s="1"/>
  <c r="B6656" i="106"/>
  <c r="D6656" i="106"/>
  <c r="B6657" i="106"/>
  <c r="D6657" i="106"/>
  <c r="B6658" i="106"/>
  <c r="D6658" i="106"/>
  <c r="B6659" i="106"/>
  <c r="D6659" i="106" s="1"/>
  <c r="B6660" i="106"/>
  <c r="D6660" i="106"/>
  <c r="B6661" i="106"/>
  <c r="D6661" i="106" s="1"/>
  <c r="B6662" i="106"/>
  <c r="D6662" i="106" s="1"/>
  <c r="B6663" i="106"/>
  <c r="D6663" i="106" s="1"/>
  <c r="B6664" i="106"/>
  <c r="D6664" i="106" s="1"/>
  <c r="B6665" i="106"/>
  <c r="D6665" i="106"/>
  <c r="B6666" i="106"/>
  <c r="D6666" i="106"/>
  <c r="B6667" i="106"/>
  <c r="D6667" i="106" s="1"/>
  <c r="B6668" i="106"/>
  <c r="D6668" i="106" s="1"/>
  <c r="B6669" i="106"/>
  <c r="D6669" i="106"/>
  <c r="B6670" i="106"/>
  <c r="D6670" i="106" s="1"/>
  <c r="B6671" i="106"/>
  <c r="D6671" i="106" s="1"/>
  <c r="B6672" i="106"/>
  <c r="D6672" i="106"/>
  <c r="B6673" i="106"/>
  <c r="D6673" i="106" s="1"/>
  <c r="B6674" i="106"/>
  <c r="D6674" i="106"/>
  <c r="B6675" i="106"/>
  <c r="D6675" i="106"/>
  <c r="B6676" i="106"/>
  <c r="D6676" i="106"/>
  <c r="B6677" i="106"/>
  <c r="D6677" i="106" s="1"/>
  <c r="B6678" i="106"/>
  <c r="D6678" i="106"/>
  <c r="B6679" i="106"/>
  <c r="D6679" i="106"/>
  <c r="B6680" i="106"/>
  <c r="D6680" i="106"/>
  <c r="B6681" i="106"/>
  <c r="D6681" i="106" s="1"/>
  <c r="B6682" i="106"/>
  <c r="D6682" i="106"/>
  <c r="B6683" i="106"/>
  <c r="D6683" i="106"/>
  <c r="B6684" i="106"/>
  <c r="D6684" i="106"/>
  <c r="B6685" i="106"/>
  <c r="D6685" i="106" s="1"/>
  <c r="B6686" i="106"/>
  <c r="D6686" i="106"/>
  <c r="B6687" i="106"/>
  <c r="D6687" i="106"/>
  <c r="B6688" i="106"/>
  <c r="D6688" i="106"/>
  <c r="B6689" i="106"/>
  <c r="D6689" i="106" s="1"/>
  <c r="B6690" i="106"/>
  <c r="D6690" i="106"/>
  <c r="B6691" i="106"/>
  <c r="D6691" i="106"/>
  <c r="B6692" i="106"/>
  <c r="D6692" i="106"/>
  <c r="B6693" i="106"/>
  <c r="D6693" i="106" s="1"/>
  <c r="B6694" i="106"/>
  <c r="D6694" i="106"/>
  <c r="B6695" i="106"/>
  <c r="D6695" i="106"/>
  <c r="B6696" i="106"/>
  <c r="D6696" i="106"/>
  <c r="B6697" i="106"/>
  <c r="D6697" i="106" s="1"/>
  <c r="B6698" i="106"/>
  <c r="D6698" i="106"/>
  <c r="B6699" i="106"/>
  <c r="D6699" i="106"/>
  <c r="B6700" i="106"/>
  <c r="D6700" i="106"/>
  <c r="B6701" i="106"/>
  <c r="D6701" i="106" s="1"/>
  <c r="B6702" i="106"/>
  <c r="D6702" i="106"/>
  <c r="B6703" i="106"/>
  <c r="D6703" i="106"/>
  <c r="B6704" i="106"/>
  <c r="D6704" i="106"/>
  <c r="B6705" i="106"/>
  <c r="D6705" i="106" s="1"/>
  <c r="B6706" i="106"/>
  <c r="D6706" i="106"/>
  <c r="B6707" i="106"/>
  <c r="D6707" i="106"/>
  <c r="B6708" i="106"/>
  <c r="D6708" i="106"/>
  <c r="B6709" i="106"/>
  <c r="D6709" i="106" s="1"/>
  <c r="B6710" i="106"/>
  <c r="D6710" i="106"/>
  <c r="B6711" i="106"/>
  <c r="D6711" i="106"/>
  <c r="B6712" i="106"/>
  <c r="D6712" i="106"/>
  <c r="B6713" i="106"/>
  <c r="D6713" i="106" s="1"/>
  <c r="B6714" i="106"/>
  <c r="D6714" i="106"/>
  <c r="B6715" i="106"/>
  <c r="D6715" i="106"/>
  <c r="B6716" i="106"/>
  <c r="D6716" i="106"/>
  <c r="B6717" i="106"/>
  <c r="D6717" i="106" s="1"/>
  <c r="B6718" i="106"/>
  <c r="D6718" i="106"/>
  <c r="B6719" i="106"/>
  <c r="D6719" i="106"/>
  <c r="B6720" i="106"/>
  <c r="D6720" i="106"/>
  <c r="B6721" i="106"/>
  <c r="D6721" i="106" s="1"/>
  <c r="B6722" i="106"/>
  <c r="D6722" i="106"/>
  <c r="B6723" i="106"/>
  <c r="D6723" i="106"/>
  <c r="B6724" i="106"/>
  <c r="D6724" i="106"/>
  <c r="B6725" i="106"/>
  <c r="D6725" i="106" s="1"/>
  <c r="B6726" i="106"/>
  <c r="D6726" i="106"/>
  <c r="B6727" i="106"/>
  <c r="D6727" i="106" s="1"/>
  <c r="B6728" i="106"/>
  <c r="D6728" i="106" s="1"/>
  <c r="B6729" i="106"/>
  <c r="D6729" i="106" s="1"/>
  <c r="B6730" i="106"/>
  <c r="D6730" i="106"/>
  <c r="B6731" i="106"/>
  <c r="D6731" i="106" s="1"/>
  <c r="B6732" i="106"/>
  <c r="D6732" i="106"/>
  <c r="B6733" i="106"/>
  <c r="D6733" i="106"/>
  <c r="B6734" i="106"/>
  <c r="D6734" i="106" s="1"/>
  <c r="B6735" i="106"/>
  <c r="D6735" i="106" s="1"/>
  <c r="B6736" i="106"/>
  <c r="D6736" i="106" s="1"/>
  <c r="B6737" i="106"/>
  <c r="D6737" i="106" s="1"/>
  <c r="B6738" i="106"/>
  <c r="D6738" i="106" s="1"/>
  <c r="B6739" i="106"/>
  <c r="D6739" i="106" s="1"/>
  <c r="B6740" i="106"/>
  <c r="D6740" i="106"/>
  <c r="B6741" i="106"/>
  <c r="D6741" i="106"/>
  <c r="B6742" i="106"/>
  <c r="D6742" i="106"/>
  <c r="B6743" i="106"/>
  <c r="D6743" i="106" s="1"/>
  <c r="B6744" i="106"/>
  <c r="D6744" i="106"/>
  <c r="B6745" i="106"/>
  <c r="D6745" i="106" s="1"/>
  <c r="B6746" i="106"/>
  <c r="D6746" i="106" s="1"/>
  <c r="B6747" i="106"/>
  <c r="D6747" i="106" s="1"/>
  <c r="B6748" i="106"/>
  <c r="D6748" i="106" s="1"/>
  <c r="B6749" i="106"/>
  <c r="D6749" i="106"/>
  <c r="B6750" i="106"/>
  <c r="D6750" i="106"/>
  <c r="B6751" i="106"/>
  <c r="D6751" i="106" s="1"/>
  <c r="B6752" i="106"/>
  <c r="D6752" i="106" s="1"/>
  <c r="B6753" i="106"/>
  <c r="D6753" i="106"/>
  <c r="B6754" i="106"/>
  <c r="D6754" i="106" s="1"/>
  <c r="B6755" i="106"/>
  <c r="D6755" i="106" s="1"/>
  <c r="B6756" i="106"/>
  <c r="D6756" i="106"/>
  <c r="B6757" i="106"/>
  <c r="D6757" i="106" s="1"/>
  <c r="B6758" i="106"/>
  <c r="D6758" i="106"/>
  <c r="B6759" i="106"/>
  <c r="D6759" i="106" s="1"/>
  <c r="B6760" i="106"/>
  <c r="D6760" i="106" s="1"/>
  <c r="B6761" i="106"/>
  <c r="D6761" i="106" s="1"/>
  <c r="B6762" i="106"/>
  <c r="D6762" i="106"/>
  <c r="B6763" i="106"/>
  <c r="D6763" i="106" s="1"/>
  <c r="B6764" i="106"/>
  <c r="D6764" i="106"/>
  <c r="B6765" i="106"/>
  <c r="D6765" i="106"/>
  <c r="B6766" i="106"/>
  <c r="D6766" i="106" s="1"/>
  <c r="B6767" i="106"/>
  <c r="D6767" i="106" s="1"/>
  <c r="B6768" i="106"/>
  <c r="D6768" i="106" s="1"/>
  <c r="B6769" i="106"/>
  <c r="D6769" i="106" s="1"/>
  <c r="B6770" i="106"/>
  <c r="D6770" i="106" s="1"/>
  <c r="B6771" i="106"/>
  <c r="D6771" i="106" s="1"/>
  <c r="B6772" i="106"/>
  <c r="D6772" i="106"/>
  <c r="B6773" i="106"/>
  <c r="D6773" i="106"/>
  <c r="B6774" i="106"/>
  <c r="D6774" i="106"/>
  <c r="B6775" i="106"/>
  <c r="D6775" i="106" s="1"/>
  <c r="B6776" i="106"/>
  <c r="D6776" i="106"/>
  <c r="B6777" i="106"/>
  <c r="D6777" i="106" s="1"/>
  <c r="B6778" i="106"/>
  <c r="D6778" i="106" s="1"/>
  <c r="B6779" i="106"/>
  <c r="D6779" i="106" s="1"/>
  <c r="B6780" i="106"/>
  <c r="D6780" i="106" s="1"/>
  <c r="B6781" i="106"/>
  <c r="D6781" i="106"/>
  <c r="B6782" i="106"/>
  <c r="D6782" i="106"/>
  <c r="B6783" i="106"/>
  <c r="D6783" i="106" s="1"/>
  <c r="B6784" i="106"/>
  <c r="D6784" i="106" s="1"/>
  <c r="B6785" i="106"/>
  <c r="D6785" i="106"/>
  <c r="B6786" i="106"/>
  <c r="D6786" i="106" s="1"/>
  <c r="B6787" i="106"/>
  <c r="D6787" i="106" s="1"/>
  <c r="B6788" i="106"/>
  <c r="D6788" i="106"/>
  <c r="B6789" i="106"/>
  <c r="D6789" i="106" s="1"/>
  <c r="B6790" i="106"/>
  <c r="D6790" i="106"/>
  <c r="B6791" i="106"/>
  <c r="D6791" i="106" s="1"/>
  <c r="B6792" i="106"/>
  <c r="D6792" i="106" s="1"/>
  <c r="B6793" i="106"/>
  <c r="D6793" i="106" s="1"/>
  <c r="B6794" i="106"/>
  <c r="D6794" i="106"/>
  <c r="B6795" i="106"/>
  <c r="D6795" i="106" s="1"/>
  <c r="B6796" i="106"/>
  <c r="D6796" i="106"/>
  <c r="B6797" i="106"/>
  <c r="D6797" i="106"/>
  <c r="B6798" i="106"/>
  <c r="D6798" i="106" s="1"/>
  <c r="B6799" i="106"/>
  <c r="D6799" i="106" s="1"/>
  <c r="B6800" i="106"/>
  <c r="D6800" i="106" s="1"/>
  <c r="B6801" i="106"/>
  <c r="D6801" i="106" s="1"/>
  <c r="B6802" i="106"/>
  <c r="D6802" i="106" s="1"/>
  <c r="B6803" i="106"/>
  <c r="D6803" i="106" s="1"/>
  <c r="B6804" i="106"/>
  <c r="D6804" i="106"/>
  <c r="B6805" i="106"/>
  <c r="D6805" i="106"/>
  <c r="B6806" i="106"/>
  <c r="D6806" i="106"/>
  <c r="B6807" i="106"/>
  <c r="D6807" i="106" s="1"/>
  <c r="B6808" i="106"/>
  <c r="D6808" i="106"/>
  <c r="B6809" i="106"/>
  <c r="D6809" i="106" s="1"/>
  <c r="B6810" i="106"/>
  <c r="D6810" i="106" s="1"/>
  <c r="B6811" i="106"/>
  <c r="D6811" i="106" s="1"/>
  <c r="B6812" i="106"/>
  <c r="D6812" i="106" s="1"/>
  <c r="B6813" i="106"/>
  <c r="D6813" i="106"/>
  <c r="B6814" i="106"/>
  <c r="D6814" i="106"/>
  <c r="B6815" i="106"/>
  <c r="D6815" i="106" s="1"/>
  <c r="B6816" i="106"/>
  <c r="D6816" i="106" s="1"/>
  <c r="B6817" i="106"/>
  <c r="D6817" i="106"/>
  <c r="B6818" i="106"/>
  <c r="D6818" i="106" s="1"/>
  <c r="B6819" i="106"/>
  <c r="D6819" i="106" s="1"/>
  <c r="B6820" i="106"/>
  <c r="D6820" i="106"/>
  <c r="B6821" i="106"/>
  <c r="D6821" i="106" s="1"/>
  <c r="B6822" i="106"/>
  <c r="D6822" i="106"/>
  <c r="B6823" i="106"/>
  <c r="D6823" i="106" s="1"/>
  <c r="B6824" i="106"/>
  <c r="D6824" i="106" s="1"/>
  <c r="B6825" i="106"/>
  <c r="D6825" i="106" s="1"/>
  <c r="B6826" i="106"/>
  <c r="D6826" i="106"/>
  <c r="B6827" i="106"/>
  <c r="D6827" i="106" s="1"/>
  <c r="B6828" i="106"/>
  <c r="D6828" i="106"/>
  <c r="B6829" i="106"/>
  <c r="D6829" i="106"/>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E28" i="108"/>
  <c r="F28" i="108"/>
  <c r="F31" i="108"/>
  <c r="F36" i="108"/>
  <c r="G28" i="108"/>
  <c r="E29"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14" i="4"/>
  <c r="B2609" i="106" s="1"/>
  <c r="D2609" i="106" s="1"/>
  <c r="C14" i="4"/>
  <c r="B2558" i="106" s="1"/>
  <c r="D2558" i="106" s="1"/>
  <c r="D14" i="4"/>
  <c r="B2570" i="106" s="1"/>
  <c r="D2570" i="106" s="1"/>
  <c r="B2633" i="106"/>
  <c r="D2633" i="106" s="1"/>
  <c r="D7" i="118"/>
  <c r="D8" i="118"/>
  <c r="D9" i="118"/>
  <c r="H14" i="118"/>
  <c r="H19" i="118"/>
  <c r="H24" i="118"/>
  <c r="H28" i="118"/>
  <c r="D22" i="37"/>
  <c r="J22" i="37"/>
  <c r="L22" i="37"/>
  <c r="D24" i="37"/>
  <c r="B4270" i="106" s="1"/>
  <c r="D4270" i="106" s="1"/>
  <c r="D9" i="7"/>
  <c r="B1767" i="106" s="1"/>
  <c r="D1767" i="106" s="1"/>
  <c r="B5847" i="106"/>
  <c r="D5847" i="106" s="1"/>
  <c r="F106" i="34"/>
  <c r="D17" i="7"/>
  <c r="B4104" i="106" s="1"/>
  <c r="D4104" i="106" s="1"/>
  <c r="D11" i="7"/>
  <c r="B1768" i="106" s="1"/>
  <c r="D1768" i="106" s="1"/>
  <c r="H33" i="118" l="1"/>
  <c r="K24" i="12"/>
  <c r="F111" i="34"/>
  <c r="F37" i="108"/>
  <c r="D37" i="108"/>
  <c r="F34" i="34"/>
  <c r="B5096" i="106"/>
  <c r="D5096" i="106" s="1"/>
  <c r="C109" i="5"/>
  <c r="B5121" i="106" s="1"/>
  <c r="D5121" i="106" s="1"/>
  <c r="D13" i="7"/>
  <c r="B3726" i="106" s="1"/>
  <c r="D3726" i="106" s="1"/>
  <c r="B1746" i="106"/>
  <c r="D1746" i="106" s="1"/>
  <c r="F128" i="34"/>
  <c r="B3647" i="106"/>
  <c r="D3647" i="106" s="1"/>
  <c r="C129" i="29"/>
  <c r="F49" i="34"/>
  <c r="B7235" i="106"/>
  <c r="D7235" i="106" s="1"/>
  <c r="J41" i="3"/>
  <c r="B6216" i="106" s="1"/>
  <c r="D6216" i="106" s="1"/>
  <c r="F131" i="34"/>
  <c r="G172" i="5"/>
  <c r="B5770" i="106" s="1"/>
  <c r="D5770" i="106" s="1"/>
  <c r="F35" i="34"/>
  <c r="J77" i="4"/>
  <c r="B6262" i="106" s="1"/>
  <c r="D6262" i="106" s="1"/>
  <c r="K350" i="29"/>
  <c r="B3670" i="106" s="1"/>
  <c r="D3670" i="106" s="1"/>
  <c r="B5066" i="106"/>
  <c r="D5066" i="106" s="1"/>
  <c r="K184" i="29"/>
  <c r="F13" i="4" s="1"/>
  <c r="B2596" i="106" s="1"/>
  <c r="D2596" i="106" s="1"/>
  <c r="E174" i="29"/>
  <c r="B1309" i="106" s="1"/>
  <c r="D1309" i="106" s="1"/>
  <c r="L5" i="11"/>
  <c r="B2056" i="106" s="1"/>
  <c r="D2056" i="106" s="1"/>
  <c r="F21" i="8"/>
  <c r="B1879" i="106" s="1"/>
  <c r="D1879" i="106" s="1"/>
  <c r="G5" i="4"/>
  <c r="B3409" i="106" s="1"/>
  <c r="D3409" i="106" s="1"/>
  <c r="B4396" i="106"/>
  <c r="D4396" i="106" s="1"/>
  <c r="F127" i="34"/>
  <c r="I173" i="5"/>
  <c r="B4216" i="106" s="1"/>
  <c r="D4216" i="106" s="1"/>
  <c r="J129" i="29"/>
  <c r="B7038" i="106" s="1"/>
  <c r="D7038" i="106" s="1"/>
  <c r="B4268" i="106"/>
  <c r="D4268" i="106" s="1"/>
  <c r="L13" i="11"/>
  <c r="B2060" i="106" s="1"/>
  <c r="D2060" i="106" s="1"/>
  <c r="G173" i="5"/>
  <c r="B5778" i="106" s="1"/>
  <c r="D5778" i="106" s="1"/>
  <c r="H109" i="5"/>
  <c r="B4357" i="106"/>
  <c r="D4357" i="106" s="1"/>
  <c r="B2836" i="106"/>
  <c r="D2836" i="106" s="1"/>
  <c r="D5" i="7"/>
  <c r="B1761" i="106" s="1"/>
  <c r="D1761" i="106" s="1"/>
  <c r="B3649" i="106"/>
  <c r="D3649" i="106" s="1"/>
  <c r="G367" i="29"/>
  <c r="K285" i="29"/>
  <c r="B3724" i="106" s="1"/>
  <c r="D3724" i="106" s="1"/>
  <c r="B1329" i="106"/>
  <c r="D1329" i="106" s="1"/>
  <c r="F61" i="34"/>
  <c r="E109" i="5"/>
  <c r="E4" i="4" s="1"/>
  <c r="B2630" i="106" s="1"/>
  <c r="D2630" i="106" s="1"/>
  <c r="J274" i="5"/>
  <c r="B7054" i="106" s="1"/>
  <c r="D7054" i="106" s="1"/>
  <c r="L367" i="29"/>
  <c r="F19" i="7"/>
  <c r="B1807" i="106" s="1"/>
  <c r="D1807" i="106" s="1"/>
  <c r="G38" i="108"/>
  <c r="D69" i="36"/>
  <c r="I342" i="29"/>
  <c r="B7222" i="106" s="1"/>
  <c r="D7222" i="106" s="1"/>
  <c r="D109" i="5"/>
  <c r="F62" i="34"/>
  <c r="B6995" i="106"/>
  <c r="D6995" i="106" s="1"/>
  <c r="H112" i="29"/>
  <c r="B7018" i="106" s="1"/>
  <c r="D7018" i="106" s="1"/>
  <c r="H173" i="5"/>
  <c r="K274" i="5"/>
  <c r="B6022" i="106" s="1"/>
  <c r="D6022" i="106" s="1"/>
  <c r="F130" i="34"/>
  <c r="H29" i="118"/>
  <c r="K28" i="118" s="1"/>
  <c r="O27" i="118" s="1"/>
  <c r="O29" i="118" s="1"/>
  <c r="N22" i="3"/>
  <c r="B283" i="106" s="1"/>
  <c r="D283" i="106" s="1"/>
  <c r="L342" i="29"/>
  <c r="E38" i="108"/>
  <c r="G30" i="108"/>
  <c r="K41" i="3"/>
  <c r="H76" i="4"/>
  <c r="B3298" i="106" s="1"/>
  <c r="D3298" i="106" s="1"/>
  <c r="B1124" i="106"/>
  <c r="D1124" i="106" s="1"/>
  <c r="G109" i="5"/>
  <c r="B6289" i="106"/>
  <c r="D6289" i="106" s="1"/>
  <c r="K173" i="5"/>
  <c r="K6" i="4" s="1"/>
  <c r="B3570" i="106" s="1"/>
  <c r="D3570" i="106" s="1"/>
  <c r="F45" i="34"/>
  <c r="F36" i="34"/>
  <c r="G39" i="108"/>
  <c r="F44" i="34"/>
  <c r="F41" i="34"/>
  <c r="E30" i="108"/>
  <c r="H342" i="29"/>
  <c r="B3621" i="106"/>
  <c r="D3621" i="106" s="1"/>
  <c r="C367" i="29"/>
  <c r="B3622" i="106" s="1"/>
  <c r="D3622" i="106" s="1"/>
  <c r="D31" i="36"/>
  <c r="C172" i="5"/>
  <c r="D4" i="7"/>
  <c r="B1760" i="106" s="1"/>
  <c r="D1760" i="106" s="1"/>
  <c r="D15" i="7"/>
  <c r="B1772" i="106" s="1"/>
  <c r="D1772" i="106" s="1"/>
  <c r="D12" i="7"/>
  <c r="B1769" i="106" s="1"/>
  <c r="D1769" i="106" s="1"/>
  <c r="D7" i="7"/>
  <c r="B1763" i="106" s="1"/>
  <c r="D1763" i="106" s="1"/>
  <c r="F172" i="5"/>
  <c r="B5644" i="106" s="1"/>
  <c r="D5644" i="106" s="1"/>
  <c r="L312" i="29"/>
  <c r="G29" i="108"/>
  <c r="B3689" i="106"/>
  <c r="D368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B7270" i="106"/>
  <c r="L114" i="29" l="1"/>
  <c r="B7733" i="106"/>
  <c r="D7733" i="106" s="1"/>
  <c r="K26" i="12"/>
  <c r="B7743" i="106" s="1"/>
  <c r="D7743" i="106" s="1"/>
  <c r="K342" i="29"/>
  <c r="F13" i="34" s="1"/>
  <c r="D51" i="36"/>
  <c r="B1381" i="106"/>
  <c r="D1381" i="106" s="1"/>
  <c r="B5527" i="106"/>
  <c r="D5527" i="106" s="1"/>
  <c r="C4" i="4"/>
  <c r="B2551" i="106" s="1"/>
  <c r="D2551" i="106" s="1"/>
  <c r="D44" i="36"/>
  <c r="D7254" i="106"/>
  <c r="N23" i="3"/>
  <c r="B284" i="106" s="1"/>
  <c r="D284" i="106" s="1"/>
  <c r="D274" i="5"/>
  <c r="D7255" i="106"/>
  <c r="D7250" i="106"/>
  <c r="K352" i="29"/>
  <c r="H22" i="37"/>
  <c r="B1317" i="106"/>
  <c r="D1317" i="106" s="1"/>
  <c r="F274" i="5"/>
  <c r="F173" i="5"/>
  <c r="H367" i="29"/>
  <c r="B3660" i="106" s="1"/>
  <c r="D3660" i="106" s="1"/>
  <c r="B6024" i="106"/>
  <c r="D6024" i="106" s="1"/>
  <c r="G4" i="4"/>
  <c r="B2603" i="106" s="1"/>
  <c r="D2603" i="106" s="1"/>
  <c r="B5356" i="106"/>
  <c r="D5356" i="106" s="1"/>
  <c r="D4" i="4"/>
  <c r="B2564" i="106" s="1"/>
  <c r="D2564" i="106" s="1"/>
  <c r="L16" i="11"/>
  <c r="B2061" i="106" s="1"/>
  <c r="D2061" i="106" s="1"/>
  <c r="D7256" i="106"/>
  <c r="D7251" i="106"/>
  <c r="C114" i="29"/>
  <c r="B757" i="106" s="1"/>
  <c r="D757" i="106" s="1"/>
  <c r="B6025" i="106"/>
  <c r="D6025" i="106" s="1"/>
  <c r="H4" i="4"/>
  <c r="D19" i="7"/>
  <c r="B1775" i="106" s="1"/>
  <c r="D1775" i="106" s="1"/>
  <c r="D7253" i="106"/>
  <c r="B5214" i="106"/>
  <c r="D5214" i="106" s="1"/>
  <c r="C173" i="5"/>
  <c r="F73" i="34"/>
  <c r="G15" i="4"/>
  <c r="B6032" i="106" s="1"/>
  <c r="D6032" i="106" s="1"/>
  <c r="B3568" i="106"/>
  <c r="D3568" i="106" s="1"/>
  <c r="D52" i="36"/>
  <c r="B5906" i="106"/>
  <c r="D5906" i="106" s="1"/>
  <c r="H6" i="4"/>
  <c r="B2656" i="106" s="1"/>
  <c r="D2656"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8" i="4" l="1"/>
  <c r="J20" i="4" s="1"/>
  <c r="B1145" i="106"/>
  <c r="D1145" i="106" s="1"/>
  <c r="K13" i="4"/>
  <c r="B3572" i="106" s="1"/>
  <c r="D3572" i="106" s="1"/>
  <c r="B3672" i="106"/>
  <c r="D3672" i="106" s="1"/>
  <c r="K367" i="29"/>
  <c r="K368" i="29" s="1"/>
  <c r="B3681" i="106" s="1"/>
  <c r="D3681" i="106" s="1"/>
  <c r="G41" i="108"/>
  <c r="G44" i="108" s="1"/>
  <c r="G45" i="108" s="1"/>
  <c r="B2655" i="106"/>
  <c r="D2655" i="106" s="1"/>
  <c r="H8" i="4"/>
  <c r="E41" i="108"/>
  <c r="E44" i="108" s="1"/>
  <c r="E45" i="108" s="1"/>
  <c r="F275" i="5"/>
  <c r="B5720" i="106" s="1"/>
  <c r="D5720" i="106" s="1"/>
  <c r="B5653" i="106"/>
  <c r="D5653" i="106" s="1"/>
  <c r="F6"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10" i="4"/>
  <c r="B6225" i="106" s="1"/>
  <c r="D6225" i="106" s="1"/>
  <c r="K17" i="4"/>
  <c r="D10" i="171"/>
  <c r="D19" i="171" s="1"/>
  <c r="D32" i="171" s="1"/>
  <c r="D49" i="171" s="1"/>
  <c r="B2593" i="106"/>
  <c r="D2593" i="106" s="1"/>
  <c r="F8" i="4"/>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B2595" i="106"/>
  <c r="D2595" i="106" s="1"/>
  <c r="F10" i="4"/>
  <c r="B4125" i="106" s="1"/>
  <c r="D4125" i="106" s="1"/>
  <c r="D8" i="146"/>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10" i="146" l="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<sst xmlns="http://schemas.openxmlformats.org/spreadsheetml/2006/main" count="5112" uniqueCount="2175">
  <si>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</si>
  <si>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</si>
  <si>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</si>
  <si>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</si>
  <si>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</si>
  <si>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</si>
  <si>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</si>
  <si>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</si>
  <si>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</si>
  <si>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</si>
  <si>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</si>
  <si>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</si>
  <si>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</si>
  <si>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</si>
  <si>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</si>
  <si>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</si>
  <si>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</si>
  <si>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</si>
  <si>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</si>
  <si>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</si>
  <si>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</si>
  <si>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</si>
  <si>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</si>
  <si>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</si>
  <si>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</si>
  <si>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</si>
  <si>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</si>
  <si>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</si>
  <si>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</si>
  <si>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</si>
  <si>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</si>
  <si>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</si>
  <si>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</si>
  <si>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</si>
  <si>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</si>
  <si>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</si>
  <si>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</si>
  <si>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</si>
  <si>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</si>
  <si>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</si>
  <si>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</si>
  <si>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</si>
  <si>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</si>
  <si>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</si>
  <si>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</si>
  <si>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</si>
  <si>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</si>
  <si>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</si>
  <si>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</si>
  <si>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</si>
  <si>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</si>
  <si>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</si>
  <si>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</si>
  <si>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</si>
  <si>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</si>
  <si>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</si>
  <si>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</si>
  <si>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</si>
  <si>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</si>
  <si>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</si>
  <si>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</si>
  <si>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</si>
  <si>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</si>
  <si>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</si>
  <si>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</si>
  <si>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</si>
  <si>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</si>
  <si>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</si>
  <si>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</si>
  <si>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</si>
  <si>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</si>
  <si>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</si>
  <si>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</si>
  <si>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</si>
  <si>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</si>
  <si>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</si>
  <si>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</si>
  <si>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</si>
  <si>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</si>
  <si>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</si>
  <si>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</si>
  <si>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</si>
  <si>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</si>
  <si>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</si>
  <si>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</si>
  <si>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</si>
  <si>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</si>
  <si>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</si>
  <si>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</si>
  <si>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</si>
  <si>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</si>
  <si>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</si>
  <si>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</si>
  <si>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</si>
  <si>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</si>
  <si>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</si>
  <si>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</si>
  <si>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</si>
  <si>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</si>
  <si>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</si>
  <si>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</si>
  <si>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</si>
  <si>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</si>
  <si>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</si>
  <si>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</si>
  <si>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</si>
  <si>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</si>
  <si>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</si>
  <si>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</si>
  <si>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</si>
  <si>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</si>
  <si>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</si>
  <si>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</si>
  <si>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</si>
  <si>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</si>
  <si>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</si>
  <si>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</si>
  <si>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</si>
  <si>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</si>
  <si>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</si>
  <si>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</si>
  <si>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</si>
  <si>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</si>
  <si>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</si>
  <si>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</si>
  <si>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</si>
  <si>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</si>
  <si>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</si>
  <si>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</si>
  <si>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</si>
  <si>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</si>
  <si>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</si>
  <si>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</si>
  <si>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</si>
  <si>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</si>
  <si>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</si>
  <si>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</si>
  <si>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</si>
  <si>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</si>
  <si>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</si>
  <si>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</si>
  <si>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</si>
  <si>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</si>
  <si>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</si>
  <si>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</si>
  <si>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</si>
  <si>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</si>
  <si>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</si>
  <si>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</si>
  <si>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</si>
  <si>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</si>
  <si>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</si>
  <si>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</si>
  <si>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</si>
  <si>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</si>
  <si>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</si>
  <si>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</si>
  <si>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</si>
  <si>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</si>
  <si>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</si>
  <si>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</si>
  <si>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</si>
  <si>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</si>
  <si>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</si>
  <si>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</si>
  <si>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</si>
  <si>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</si>
  <si>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</si>
  <si>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</si>
  <si>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</si>
  <si>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</si>
  <si>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</si>
  <si>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</si>
  <si>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</si>
  <si>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</si>
  <si>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</si>
  <si>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</si>
  <si>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</si>
  <si>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</si>
  <si>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</si>
  <si>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</si>
  <si>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</si>
  <si>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</si>
  <si>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</si>
  <si>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</si>
  <si>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</si>
  <si>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</si>
  <si>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</si>
  <si>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</si>
  <si>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</si>
  <si>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</si>
  <si>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</si>
  <si>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</si>
  <si>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</si>
  <si>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</si>
  <si>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</si>
  <si>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</si>
  <si>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</si>
  <si>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</si>
  <si>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</si>
  <si>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</si>
  <si>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</si>
  <si>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</si>
  <si>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</si>
  <si>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</si>
  <si>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</si>
  <si>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</si>
  <si>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</si>
  <si>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</si>
  <si>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</si>
  <si>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</si>
  <si>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</si>
  <si>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</si>
  <si>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</si>
  <si>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</si>
  <si>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</si>
  <si>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</si>
  <si>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</si>
  <si>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</si>
  <si>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</si>
  <si>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</si>
  <si>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</si>
  <si>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</si>
  <si>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</si>
  <si>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</si>
  <si>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</si>
  <si>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</si>
  <si>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</si>
  <si>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</si>
  <si>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</si>
  <si>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</si>
  <si>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</si>
  <si>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</si>
  <si>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</si>
  <si>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</si>
  <si>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</si>
  <si>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</si>
  <si>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</si>
  <si>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</si>
  <si>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</si>
  <si>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</si>
  <si>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</si>
  <si>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</si>
  <si>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</si>
  <si>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</si>
  <si>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</si>
  <si>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</si>
  <si>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</si>
  <si>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</si>
  <si>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</si>
  <si>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</si>
  <si>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</si>
  <si>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</si>
  <si>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</si>
  <si>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</si>
  <si>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</si>
  <si>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</si>
  <si>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</si>
  <si>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</si>
  <si>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</si>
  <si>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</si>
  <si>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</si>
  <si>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</si>
  <si>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</si>
  <si>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</si>
  <si>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</si>
  <si>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</si>
  <si>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</si>
  <si>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</si>
  <si>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</si>
  <si>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</si>
  <si>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</si>
  <si>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</si>
  <si>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</si>
  <si>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</si>
  <si>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</si>
  <si>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</si>
  <si>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</si>
  <si>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</si>
  <si>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</si>
  <si>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</si>
  <si>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</si>
  <si>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</si>
  <si>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</si>
  <si>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</si>
  <si>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</si>
  <si>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</si>
  <si>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</si>
  <si>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</si>
  <si>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</si>
  <si>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</si>
  <si>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</si>
  <si>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</si>
  <si>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</si>
  <si>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</si>
  <si>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</si>
  <si>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</si>
  <si>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</si>
  <si>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</si>
  <si>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</si>
  <si>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</si>
  <si>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</si>
  <si>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</si>
  <si>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</si>
  <si>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</si>
  <si>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</si>
  <si>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</si>
  <si>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</si>
  <si>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</si>
  <si>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</si>
  <si>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</si>
  <si>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</si>
  <si>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</si>
  <si>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</si>
  <si>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</si>
  <si>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</si>
  <si>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</si>
  <si>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</si>
  <si>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</si>
  <si>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</si>
  <si>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</si>
  <si>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</si>
  <si>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</si>
  <si>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</si>
  <si>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</si>
  <si>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</si>
  <si>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</si>
  <si>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</si>
  <si>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</si>
  <si>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</si>
  <si>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</si>
  <si>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</si>
  <si>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</si>
  <si>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</si>
  <si>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</si>
  <si>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</si>
  <si>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</si>
  <si>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</si>
  <si>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</si>
  <si>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</si>
  <si>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</si>
  <si>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</si>
  <si>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</si>
  <si>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</si>
  <si>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</si>
  <si>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</si>
  <si>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</si>
  <si>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</si>
  <si>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</si>
  <si>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</si>
  <si>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</si>
  <si>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</si>
  <si>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</si>
  <si>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</si>
  <si>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</si>
  <si>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</si>
  <si>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</si>
  <si>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</si>
  <si>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</si>
  <si>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</si>
  <si>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</si>
  <si>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</si>
  <si>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</si>
  <si>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</si>
  <si>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</si>
  <si>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</si>
  <si>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</si>
  <si>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</si>
  <si>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</si>
  <si>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</si>
  <si>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</si>
  <si>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</si>
  <si>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</si>
  <si>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</si>
  <si>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</si>
  <si>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</si>
  <si>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</si>
  <si>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</si>
  <si>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</si>
  <si>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</si>
  <si>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</si>
  <si>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</si>
  <si>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</si>
  <si>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</si>
  <si>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</si>
  <si>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</si>
  <si>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</si>
  <si>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</si>
  <si>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</si>
  <si>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</si>
  <si>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</si>
  <si>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</si>
  <si>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</si>
  <si>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</si>
  <si>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</si>
  <si>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</si>
  <si>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</si>
  <si>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</si>
  <si>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</si>
  <si>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</si>
  <si>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</si>
  <si>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</si>
  <si>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</si>
  <si>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</si>
  <si>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</si>
  <si>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</si>
  <si>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</si>
  <si>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</si>
  <si>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</si>
  <si>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</si>
  <si>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</si>
  <si>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</si>
  <si>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</si>
  <si>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</si>
  <si>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</si>
  <si>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</si>
  <si>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</si>
  <si>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</si>
  <si>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</si>
  <si>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</si>
  <si>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</si>
  <si>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</si>
  <si>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</si>
  <si>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</si>
  <si>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</si>
  <si>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</si>
  <si>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</si>
  <si>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</si>
  <si>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</si>
  <si>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</si>
  <si>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</si>
  <si>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</si>
  <si>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</si>
  <si>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</si>
  <si>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</si>
  <si>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</si>
  <si>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</si>
  <si>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</si>
  <si>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</si>
  <si>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</si>
  <si>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</si>
  <si>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</si>
  <si>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</si>
  <si>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</si>
  <si>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</si>
  <si>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</si>
  <si>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</si>
  <si>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</si>
  <si>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</si>
  <si>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</si>
  <si>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</si>
  <si>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</si>
  <si>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</si>
  <si>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</si>
  <si>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</si>
  <si>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</si>
  <si>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</si>
  <si>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</si>
  <si>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</si>
  <si>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</si>
  <si>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</si>
  <si>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</si>
  <si>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</si>
  <si>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</si>
  <si>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</si>
  <si>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</si>
  <si>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</si>
  <si>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</si>
  <si>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</si>
  <si>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</si>
  <si>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</si>
  <si>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</si>
  <si>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</si>
  <si>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</si>
  <si>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</si>
  <si>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</si>
  <si>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</si>
  <si>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</si>
  <si>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</si>
  <si>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</si>
  <si>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</si>
  <si>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</si>
  <si>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</si>
  <si>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</si>
  <si>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</si>
  <si>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</si>
  <si>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</si>
  <si>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</si>
  <si>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</si>
  <si>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</si>
  <si>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</si>
  <si>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</si>
  <si>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</si>
  <si>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</si>
  <si>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</si>
  <si>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</si>
  <si>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</si>
  <si>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</si>
  <si>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</si>
  <si>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</si>
  <si>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</si>
  <si>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</si>
  <si>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</si>
  <si>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</si>
  <si>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</si>
  <si>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</si>
  <si>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</si>
  <si>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</si>
  <si>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</si>
  <si>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</si>
  <si>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</si>
  <si>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</si>
  <si>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</si>
  <si>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</si>
  <si>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</si>
  <si>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</si>
  <si>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</si>
  <si>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</si>
  <si>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</si>
  <si>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</si>
  <si>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</si>
  <si>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</si>
  <si>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</si>
  <si>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</si>
  <si>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</si>
  <si>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</si>
  <si>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</si>
  <si>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</si>
  <si>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</si>
  <si>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</si>
  <si>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</si>
  <si>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</si>
  <si>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</si>
  <si>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</si>
  <si>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</si>
  <si>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</si>
  <si>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</si>
  <si>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</si>
  <si>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</si>
  <si>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</si>
  <si>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</si>
  <si>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</si>
  <si>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</si>
  <si>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</si>
  <si>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</si>
  <si>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</si>
  <si>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</si>
  <si>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</si>
  <si>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</si>
  <si>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</si>
  <si>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</si>
  <si>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</si>
  <si>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</si>
  <si>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</si>
  <si>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</si>
  <si>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</si>
  <si>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</si>
  <si>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</si>
  <si>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</si>
  <si>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</si>
  <si>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</si>
  <si>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</si>
  <si>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</si>
  <si>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</si>
  <si>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</si>
  <si>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</si>
  <si>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</si>
  <si>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</si>
  <si>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</si>
  <si>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</si>
  <si>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</si>
  <si>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</si>
  <si>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</si>
  <si>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</si>
  <si>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</si>
  <si>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</si>
  <si>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</si>
  <si>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</si>
  <si>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</si>
  <si>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</si>
  <si>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</si>
  <si>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</si>
  <si>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</si>
  <si>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</si>
  <si>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</si>
  <si>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</si>
  <si>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</si>
  <si>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</si>
  <si>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</si>
  <si>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</si>
  <si>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</si>
  <si>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</si>
  <si>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</si>
  <si>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</si>
  <si>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</si>
  <si>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</si>
  <si>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</si>
  <si>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</si>
  <si>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</si>
  <si>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</si>
  <si>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</si>
  <si>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</si>
  <si>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</si>
  <si>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</si>
  <si>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</si>
  <si>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</si>
  <si>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</si>
  <si>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</si>
  <si>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</si>
  <si>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</si>
  <si>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</si>
  <si>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</si>
  <si>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</si>
  <si>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</si>
  <si>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</si>
  <si>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</si>
  <si>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</si>
  <si>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</si>
  <si>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</si>
  <si>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</si>
  <si>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</si>
  <si>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</si>
  <si>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</si>
  <si>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</si>
  <si>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</si>
  <si>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</si>
  <si>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</si>
  <si>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</si>
  <si>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</si>
  <si>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</si>
  <si>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</si>
  <si>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</si>
  <si>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</si>
  <si>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</si>
  <si>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</si>
  <si>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</si>
  <si>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</si>
  <si>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</si>
  <si>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</si>
  <si>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</si>
  <si>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</si>
  <si>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</si>
  <si>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</si>
  <si>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</si>
  <si>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</si>
  <si>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</si>
  <si>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</si>
  <si>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</si>
  <si>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</si>
  <si>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</si>
  <si>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</si>
  <si>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</si>
  <si>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</si>
  <si>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</si>
  <si>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</si>
  <si>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</si>
  <si>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</si>
  <si>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</si>
  <si>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</si>
  <si>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</si>
  <si>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</si>
  <si>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</si>
  <si>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</si>
  <si>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</si>
  <si>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</si>
  <si>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</si>
  <si>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</si>
  <si>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</si>
  <si>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</si>
  <si>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</si>
  <si>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</si>
  <si>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</si>
  <si>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</si>
  <si>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</si>
  <si>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</si>
  <si>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</si>
  <si>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</si>
  <si>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</si>
  <si>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</si>
  <si>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</si>
  <si>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</si>
  <si>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</si>
  <si>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</si>
  <si>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</si>
  <si>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</si>
  <si>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</si>
  <si>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</si>
  <si>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</si>
  <si>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</si>
  <si>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</si>
  <si>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</si>
  <si>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</si>
  <si>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</si>
  <si>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</si>
  <si>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</si>
  <si>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</si>
  <si>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</si>
  <si>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</si>
  <si>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</si>
  <si>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</si>
  <si>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</si>
  <si>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</si>
  <si>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</si>
  <si>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</si>
  <si>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</si>
  <si>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</si>
  <si>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</si>
  <si>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</si>
  <si>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</si>
  <si>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</si>
  <si>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</si>
  <si>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</si>
  <si>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</si>
  <si>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</si>
  <si>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</si>
  <si>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</si>
  <si>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</si>
  <si>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</si>
  <si>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</si>
  <si>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</si>
  <si>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</si>
  <si>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</si>
  <si>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</si>
  <si>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</si>
  <si>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</si>
  <si>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</si>
  <si>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</si>
  <si>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</si>
  <si>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</si>
  <si>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</si>
  <si>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</si>
  <si>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</si>
  <si>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</si>
  <si>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</si>
  <si>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</si>
  <si>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</si>
  <si>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</si>
  <si>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</si>
  <si>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</si>
  <si>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</si>
  <si>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</si>
  <si>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</si>
  <si>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</si>
  <si>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</si>
  <si>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</si>
  <si>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</si>
  <si>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</si>
  <si>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</si>
  <si>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</si>
  <si>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</si>
  <si>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</si>
  <si>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</si>
  <si>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</si>
  <si>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</si>
  <si>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</si>
  <si>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</si>
  <si>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</si>
  <si>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</si>
  <si>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</si>
  <si>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</si>
  <si>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</si>
  <si>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</si>
  <si>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</si>
  <si>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</si>
  <si>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</si>
  <si>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</si>
  <si>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</si>
  <si>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</si>
  <si>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</si>
  <si>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</si>
  <si>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</si>
  <si>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</si>
  <si>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</si>
  <si>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</si>
  <si>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</si>
  <si>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</si>
  <si>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</si>
  <si>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</si>
  <si>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</si>
  <si>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</si>
  <si>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</si>
  <si>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</si>
  <si>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</si>
  <si>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</si>
  <si>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</si>
  <si>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</si>
  <si>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</si>
  <si>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</si>
  <si>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</si>
  <si>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</si>
  <si>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</si>
  <si>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</si>
  <si>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</si>
  <si>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</si>
  <si>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</si>
  <si>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</si>
  <si>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</si>
  <si>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</si>
  <si>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</si>
  <si>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</si>
  <si>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</si>
  <si>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</si>
  <si>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</si>
  <si>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</si>
  <si>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</si>
  <si>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</si>
  <si>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</si>
  <si>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</si>
  <si>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</si>
  <si>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</si>
  <si>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</si>
  <si>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</si>
  <si>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</si>
  <si>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</si>
  <si>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</si>
  <si>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</si>
  <si>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</si>
  <si>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</si>
  <si>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</si>
  <si>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</si>
  <si>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</si>
  <si>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</si>
  <si>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</si>
  <si>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</si>
  <si>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</si>
  <si>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</si>
  <si>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</si>
  <si>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</si>
  <si>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</si>
  <si>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</si>
  <si>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</si>
  <si>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</si>
  <si>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</si>
  <si>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</si>
  <si>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</si>
  <si>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</si>
  <si>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</si>
  <si>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</si>
  <si>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</si>
  <si>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</si>
  <si>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</si>
  <si>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</si>
  <si>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</si>
  <si>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</si>
  <si>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</si>
  <si>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</si>
  <si>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</si>
  <si>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</si>
  <si>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</si>
  <si>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</si>
  <si>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</si>
  <si>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</si>
  <si>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</si>
  <si>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</si>
  <si>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</si>
  <si>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</si>
  <si>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</si>
  <si>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</si>
  <si>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</si>
  <si>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</si>
  <si>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</si>
  <si>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</si>
  <si>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</si>
  <si>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</si>
  <si>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</si>
  <si>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</si>
  <si>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</si>
  <si>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</si>
  <si>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</si>
  <si>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</si>
  <si>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</si>
  <si>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</si>
  <si>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</si>
  <si>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</si>
  <si>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</si>
  <si>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</si>
  <si>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</si>
  <si>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</si>
  <si>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</si>
  <si>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</si>
  <si>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</si>
  <si>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</si>
  <si>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</si>
  <si>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</si>
  <si>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</si>
  <si>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</si>
  <si>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</si>
  <si>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</si>
  <si>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</si>
  <si>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</si>
  <si>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</si>
  <si>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</si>
  <si>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</si>
  <si>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</si>
  <si>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</si>
  <si>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</si>
  <si>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</si>
  <si>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</si>
  <si>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</si>
  <si>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</si>
  <si>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</si>
  <si>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</si>
  <si>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</si>
  <si>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</si>
  <si>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</si>
  <si>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</si>
  <si>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</si>
  <si>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</si>
  <si>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</si>
  <si>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</si>
  <si>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</si>
  <si>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</si>
  <si>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</si>
  <si>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</si>
  <si>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</si>
  <si>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</si>
  <si>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</si>
  <si>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</si>
  <si>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</si>
  <si>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</si>
  <si>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</si>
  <si>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</si>
  <si>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</si>
  <si>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</si>
  <si>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</si>
  <si>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</si>
  <si>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</si>
  <si>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</si>
  <si>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</si>
  <si>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</si>
  <si>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</si>
  <si>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</si>
  <si>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</si>
  <si>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</si>
  <si>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</si>
  <si>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</si>
  <si>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</si>
  <si>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</si>
  <si>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</si>
  <si>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</si>
  <si>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</si>
  <si>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</si>
  <si>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</si>
  <si>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</si>
  <si>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</si>
  <si>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</si>
  <si>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</si>
  <si>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</si>
  <si>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</si>
  <si>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</si>
  <si>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</si>
  <si>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</si>
  <si>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</si>
  <si>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</si>
  <si>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</si>
  <si>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</si>
  <si>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</si>
  <si>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</si>
  <si>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</si>
  <si>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</si>
  <si>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</si>
  <si>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</si>
  <si>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</si>
  <si>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</si>
  <si>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</si>
  <si>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</si>
  <si>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</si>
  <si>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</si>
  <si>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</si>
  <si>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</si>
  <si>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</si>
  <si>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</si>
  <si>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</si>
  <si>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</si>
  <si>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</si>
  <si>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</si>
  <si>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</si>
  <si>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</si>
  <si>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</si>
  <si>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</si>
  <si>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</si>
  <si>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</si>
  <si>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</si>
  <si>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</si>
  <si>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</si>
  <si>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</si>
  <si>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</si>
  <si>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</si>
  <si>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</si>
  <si>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</si>
  <si>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</si>
  <si>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</si>
  <si>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</si>
  <si>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</si>
  <si>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</si>
  <si>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</si>
  <si>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</si>
  <si>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</si>
  <si>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</si>
  <si>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</si>
  <si>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</si>
  <si>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</si>
  <si>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</si>
  <si>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</si>
  <si>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</si>
  <si>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</si>
  <si>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</si>
  <si>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</si>
  <si>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</si>
  <si>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</si>
  <si>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</si>
  <si>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</si>
  <si>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</si>
  <si>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</si>
  <si>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</si>
  <si>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</si>
  <si>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</si>
  <si>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</si>
  <si>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</si>
  <si>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</si>
  <si>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</si>
  <si>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</si>
  <si>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</si>
  <si>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</si>
  <si>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</si>
  <si>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</si>
  <si>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</si>
  <si>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</si>
  <si>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</si>
  <si>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</si>
  <si>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</si>
  <si>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</si>
  <si>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</si>
  <si>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</si>
  <si>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</si>
  <si>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</si>
  <si>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</si>
  <si>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</si>
  <si>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</si>
  <si>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</si>
  <si>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</si>
  <si>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</si>
  <si>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</si>
  <si>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</si>
  <si>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</si>
  <si>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</si>
  <si>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</si>
  <si>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</si>
  <si>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</si>
  <si>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</si>
  <si>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</si>
  <si>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</si>
  <si>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</si>
  <si>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</si>
  <si>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</si>
  <si>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</si>
  <si>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</si>
  <si>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</si>
  <si>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</si>
  <si>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</si>
  <si>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</si>
  <si>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</si>
  <si>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</si>
  <si>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</si>
  <si>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</si>
  <si>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</si>
  <si>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</si>
  <si>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</si>
  <si>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</si>
  <si>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</si>
  <si>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</si>
  <si>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</si>
  <si>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</si>
  <si>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</si>
  <si>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</si>
  <si>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</si>
  <si>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</si>
  <si>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</si>
  <si>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</si>
  <si>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</si>
  <si>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</si>
  <si>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</si>
  <si>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</si>
  <si>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</si>
  <si>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</si>
  <si>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</si>
  <si>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</si>
  <si>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</si>
  <si>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</si>
  <si>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</si>
  <si>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</si>
  <si>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</si>
  <si>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</si>
  <si>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</si>
  <si>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</si>
  <si>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</si>
  <si>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</si>
  <si>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</si>
  <si>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</si>
  <si>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</si>
  <si>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</si>
  <si>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</si>
  <si>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</si>
  <si>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</si>
  <si>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</si>
  <si>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</si>
  <si>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</si>
  <si>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</si>
  <si>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</si>
  <si>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</si>
  <si>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</si>
  <si>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</si>
  <si>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</si>
  <si>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</si>
  <si>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</si>
  <si>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</si>
  <si>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</si>
  <si>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</si>
  <si>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</si>
  <si>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</si>
  <si>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</si>
  <si>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</si>
  <si>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</si>
  <si>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</si>
  <si>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</si>
  <si>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</si>
  <si>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</si>
  <si>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</si>
  <si>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</si>
  <si>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</si>
  <si>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</si>
  <si>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</si>
  <si>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</si>
  <si>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</si>
  <si>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</si>
  <si>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</si>
  <si>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</si>
  <si>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</si>
  <si>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</si>
  <si>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</si>
  <si>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</si>
  <si>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</si>
  <si>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</si>
  <si>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</si>
  <si>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</si>
  <si>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</si>
  <si>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</si>
  <si>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</si>
  <si>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</si>
  <si>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</si>
  <si>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</si>
  <si>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</si>
  <si>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</si>
  <si>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</si>
  <si>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</si>
  <si>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</si>
  <si>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</si>
  <si>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</si>
  <si>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</si>
  <si>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</si>
  <si>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</si>
  <si>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</si>
  <si>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</si>
  <si>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</si>
  <si>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</si>
  <si>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</si>
  <si>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</si>
  <si>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</si>
  <si>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</si>
  <si>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</si>
  <si>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</si>
  <si>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</si>
  <si>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</si>
  <si>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</si>
  <si>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</si>
  <si>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</si>
  <si>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</si>
  <si>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</si>
  <si>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</si>
  <si>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</si>
  <si>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</si>
  <si>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</si>
  <si>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</si>
  <si>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</si>
  <si>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</si>
  <si>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</si>
  <si>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</si>
  <si>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</si>
  <si>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</si>
  <si>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</si>
  <si>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</si>
  <si>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</si>
  <si>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</si>
  <si>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</si>
  <si>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</si>
  <si>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</si>
  <si>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</si>
  <si>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</si>
  <si>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</si>
  <si>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</si>
  <si>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</si>
  <si>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</si>
  <si>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</si>
  <si>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</si>
  <si>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</si>
  <si>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</si>
  <si>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</si>
  <si>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</si>
  <si>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</si>
  <si>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</si>
  <si>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</si>
  <si>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</si>
  <si>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</si>
  <si>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</si>
  <si>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</si>
  <si>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</si>
  <si>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</si>
  <si>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</si>
  <si>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</si>
  <si>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</si>
  <si>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</si>
  <si>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</si>
  <si>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</si>
  <si>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</si>
  <si>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</si>
  <si>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</si>
  <si>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</si>
  <si>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</si>
  <si>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</si>
  <si>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</si>
  <si>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</si>
  <si>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</si>
  <si>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</si>
  <si>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</si>
  <si>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</si>
  <si>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</si>
  <si>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</si>
  <si>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</si>
  <si>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</si>
  <si>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</si>
  <si>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</si>
  <si>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</si>
  <si>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</si>
  <si>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</si>
  <si>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</si>
  <si>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</si>
  <si>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</si>
  <si>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</si>
  <si>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</si>
  <si>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</si>
  <si>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</si>
  <si>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</si>
  <si>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</si>
  <si>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</si>
  <si>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</si>
  <si>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</si>
  <si>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</si>
  <si>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</si>
  <si>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</si>
  <si>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</si>
  <si>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</si>
  <si>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</si>
  <si>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</si>
  <si>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</si>
  <si>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</si>
  <si>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</si>
  <si>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</si>
  <si>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</si>
  <si>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</si>
  <si>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</si>
  <si>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</si>
  <si>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</si>
  <si>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</si>
  <si>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</si>
  <si>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</si>
  <si>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</si>
  <si>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</si>
  <si>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</si>
  <si>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</si>
  <si>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</si>
  <si>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</si>
  <si>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</si>
  <si>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</si>
  <si>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</si>
  <si>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</si>
  <si>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</si>
  <si>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</si>
  <si>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</si>
  <si>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</si>
  <si>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</si>
  <si>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</si>
  <si>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</si>
  <si>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</si>
  <si>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</si>
  <si>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</si>
  <si>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</si>
  <si>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</si>
  <si>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</si>
  <si>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</si>
  <si>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</si>
  <si>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</si>
  <si>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</si>
  <si>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</si>
  <si>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</si>
  <si>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</si>
  <si>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</si>
  <si>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</si>
  <si>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</si>
  <si>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</si>
  <si>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</si>
  <si>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</si>
  <si>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</si>
  <si>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</si>
  <si>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</si>
  <si>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</si>
  <si>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</si>
  <si>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</si>
  <si>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</si>
  <si>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</si>
  <si>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</si>
  <si>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</si>
  <si>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</si>
  <si>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</si>
  <si>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</si>
  <si>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</si>
  <si>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</si>
  <si>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</si>
  <si>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</si>
  <si>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</si>
  <si>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</si>
  <si>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</si>
  <si>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</si>
  <si>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</si>
  <si>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</si>
  <si>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</si>
  <si>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</si>
  <si>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</si>
  <si>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</si>
  <si>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</si>
  <si>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</si>
  <si>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</si>
  <si>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</si>
  <si>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</si>
  <si>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</si>
  <si>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</si>
  <si>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</si>
  <si>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</si>
  <si>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</si>
  <si>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</si>
  <si>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</si>
  <si>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</si>
  <si>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</si>
  <si>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</si>
  <si>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</si>
  <si>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</si>
  <si>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</si>
  <si>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</si>
  <si>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</si>
  <si>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</si>
  <si>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</si>
  <si>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</si>
  <si>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</si>
  <si>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</si>
  <si>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</si>
  <si>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</si>
  <si>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</si>
  <si>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</si>
  <si>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</si>
  <si>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</si>
  <si>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</si>
  <si>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</si>
  <si>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</si>
  <si>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</si>
  <si>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</si>
  <si>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</si>
  <si>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</si>
  <si>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</si>
  <si>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</si>
  <si>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</si>
  <si>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</si>
  <si>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</si>
  <si>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</si>
  <si>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</si>
  <si>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</si>
  <si>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</si>
  <si>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</si>
  <si>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</si>
  <si>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</si>
  <si>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</si>
  <si>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</si>
  <si>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</si>
  <si>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</si>
  <si>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</si>
  <si>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</si>
  <si>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</si>
  <si>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</si>
  <si>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</si>
  <si>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</si>
  <si>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</si>
  <si>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</si>
  <si>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</si>
  <si>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</si>
  <si>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</si>
  <si>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</si>
  <si>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</si>
  <si>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</si>
  <si>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</si>
  <si>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</si>
  <si>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</si>
  <si>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</si>
  <si>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</si>
  <si>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</si>
  <si>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</si>
  <si>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</si>
  <si>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</si>
  <si>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</si>
  <si>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</si>
  <si>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</si>
  <si>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</si>
  <si>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</si>
  <si>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</si>
  <si>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</si>
  <si>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</si>
  <si>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</si>
  <si>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</si>
  <si>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</si>
  <si>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</si>
  <si>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</si>
  <si>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</si>
  <si>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</si>
  <si>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</si>
  <si>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</si>
  <si>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</si>
  <si>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</si>
  <si>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</si>
  <si>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</si>
  <si>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</si>
  <si>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</si>
  <si>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</si>
  <si>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</si>
  <si>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</si>
  <si>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</si>
  <si>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</si>
  <si>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</si>
  <si>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</si>
  <si>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</si>
  <si>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</si>
  <si>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</si>
  <si>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</si>
  <si>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</si>
  <si>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</si>
  <si>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</si>
  <si>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</si>
  <si>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</si>
  <si>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</si>
  <si>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</si>
  <si>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</si>
  <si>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</si>
  <si>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</si>
  <si>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</si>
  <si>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</si>
  <si>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</si>
  <si>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</si>
  <si>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</si>
  <si>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</si>
  <si>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</si>
  <si>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</si>
  <si>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</si>
  <si>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</si>
  <si>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</si>
  <si>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</si>
  <si>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</si>
  <si>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</si>
  <si>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</si>
  <si>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</si>
  <si>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</si>
  <si>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</si>
  <si>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</si>
  <si>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</si>
  <si>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</si>
  <si>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</si>
  <si>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</si>
  <si>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</si>
  <si>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</si>
  <si>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</si>
  <si>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</si>
  <si>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</si>
  <si>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</si>
  <si>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</si>
  <si>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</si>
  <si>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</si>
  <si>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</si>
  <si>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</si>
  <si>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</si>
  <si>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</si>
  <si>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</si>
  <si>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</si>
  <si>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</si>
  <si>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</si>
  <si>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</si>
  <si>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</si>
  <si>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</si>
  <si>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</si>
  <si>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</si>
  <si>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</si>
  <si>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</si>
  <si>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</si>
  <si>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</si>
  <si>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</si>
  <si>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</si>
  <si>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</si>
  <si>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</si>
  <si>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</si>
  <si>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</si>
  <si>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</si>
  <si>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</si>
  <si>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</si>
  <si>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</si>
  <si>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</si>
  <si>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</si>
  <si>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</si>
  <si>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</si>
  <si>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</si>
  <si>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</si>
  <si>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</si>
  <si>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</si>
  <si>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</si>
  <si>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</si>
  <si>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</si>
  <si>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</si>
  <si>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</si>
  <si>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</si>
  <si>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</si>
  <si>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</si>
  <si>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</si>
  <si>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</si>
  <si>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</si>
  <si>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</si>
  <si>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</si>
  <si>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</si>
  <si>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</si>
  <si>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</si>
  <si>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</si>
  <si>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</si>
  <si>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</si>
  <si>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</si>
  <si>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</si>
  <si>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</si>
  <si>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</si>
  <si>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</si>
  <si>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</si>
  <si>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</si>
  <si>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</si>
  <si>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</si>
  <si>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</si>
  <si>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</si>
  <si>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</si>
  <si>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</si>
  <si>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</si>
  <si>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</si>
  <si>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</si>
  <si>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</si>
  <si>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</si>
  <si>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</si>
  <si>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</si>
  <si>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</si>
  <si>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</si>
  <si>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</si>
  <si>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</si>
  <si>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</si>
  <si>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</si>
  <si>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</si>
  <si>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</si>
  <si>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</si>
  <si>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</si>
  <si>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</si>
  <si>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</si>
  <si>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</si>
  <si>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</si>
  <si>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</si>
  <si>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</si>
  <si>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</si>
  <si>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</si>
  <si>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</si>
  <si>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</si>
  <si>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</si>
  <si>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</si>
  <si>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</si>
  <si>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</si>
  <si>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</si>
  <si>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</si>
  <si>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</si>
  <si>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</si>
  <si>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</si>
  <si>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</si>
  <si>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</si>
  <si>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</si>
  <si>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</si>
  <si>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</si>
  <si>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</si>
  <si>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</si>
  <si>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</si>
  <si>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</si>
  <si>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</si>
  <si>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</si>
  <si>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</si>
  <si>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</si>
  <si>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</si>
  <si>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</si>
  <si>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</si>
  <si>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</si>
  <si>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</si>
  <si>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</si>
  <si>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</si>
  <si>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</si>
  <si>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</si>
  <si>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</si>
  <si>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</si>
  <si>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</si>
  <si>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</si>
  <si>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</si>
  <si>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</si>
  <si>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</si>
  <si>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</si>
  <si>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</si>
  <si>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</si>
  <si>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</si>
  <si>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</si>
  <si>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</si>
  <si>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</si>
  <si>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</si>
  <si>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</si>
  <si>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</si>
  <si>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</si>
  <si>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</si>
  <si>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</si>
  <si>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</si>
  <si>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</si>
  <si>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</si>
  <si>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</si>
  <si>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</si>
  <si>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</si>
  <si>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</si>
  <si>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</si>
  <si>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</si>
  <si>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</si>
  <si>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</si>
  <si>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</si>
  <si>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</si>
  <si>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</si>
  <si>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</si>
  <si>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</si>
  <si>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</si>
  <si>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</si>
  <si>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</si>
  <si>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</si>
  <si>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</si>
  <si>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</si>
  <si>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</si>
  <si>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</si>
  <si>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</si>
  <si>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</si>
  <si>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</si>
  <si>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</si>
  <si>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</si>
  <si>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</si>
  <si>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</si>
  <si>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</si>
  <si>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</si>
  <si>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</si>
  <si>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</si>
  <si>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</si>
  <si>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</si>
  <si>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</si>
  <si>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</si>
  <si>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</si>
  <si>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</si>
  <si>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</si>
  <si>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</si>
  <si>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</si>
  <si>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</si>
  <si>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</si>
  <si>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</si>
  <si>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</si>
  <si>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</si>
  <si>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</si>
  <si>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</si>
  <si>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</si>
  <si>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</si>
  <si>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</si>
  <si>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</si>
  <si>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</si>
  <si>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</si>
  <si>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</si>
  <si>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</si>
  <si>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</si>
  <si>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</si>
  <si>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</si>
  <si>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</si>
  <si>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</si>
  <si>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</si>
  <si>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</si>
  <si>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</si>
  <si>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</si>
  <si>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</si>
  <si>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</si>
  <si>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</si>
  <si>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</si>
  <si>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</si>
  <si>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</si>
  <si>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</si>
  <si>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</si>
  <si>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</si>
  <si>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</si>
  <si>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</si>
  <si>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</si>
  <si>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</si>
  <si>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</si>
  <si>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</si>
  <si>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</si>
  <si>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</si>
  <si>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</si>
  <si>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</si>
  <si>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</si>
  <si>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</si>
  <si>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</si>
  <si>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</si>
  <si>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</si>
  <si>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</si>
  <si>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</si>
  <si>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</si>
  <si>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</si>
  <si>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</si>
  <si>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</si>
  <si>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</si>
  <si>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</si>
  <si>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</si>
  <si>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</si>
  <si>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</si>
  <si>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</si>
  <si>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</si>
  <si>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</si>
  <si>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</si>
  <si>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</si>
  <si>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</si>
  <si>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</si>
  <si>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</si>
  <si>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</si>
  <si>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</si>
  <si>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</si>
  <si>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</si>
  <si>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</si>
  <si>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</si>
  <si>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</si>
  <si>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</si>
  <si>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</si>
  <si>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</si>
  <si>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</si>
  <si>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</si>
  <si>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</si>
  <si>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</si>
  <si>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</si>
  <si>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</si>
  <si>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</si>
  <si>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</si>
  <si>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</si>
  <si>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</si>
  <si>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</si>
  <si>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</si>
  <si>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</si>
  <si>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</si>
  <si>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</si>
  <si>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</si>
  <si>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</si>
  <si>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</si>
  <si>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</si>
  <si>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</si>
  <si>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</si>
  <si>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</si>
  <si>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</si>
  <si>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</si>
  <si>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</si>
  <si>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</si>
  <si>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</si>
  <si>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</si>
  <si>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</si>
  <si>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</si>
  <si>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</si>
  <si>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</si>
  <si>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</si>
  <si>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</si>
  <si>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</si>
  <si>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</si>
  <si>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</si>
  <si>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</si>
  <si>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</si>
  <si>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</si>
  <si>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</si>
  <si>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</si>
  <si>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</si>
  <si>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</si>
  <si>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</si>
  <si>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</si>
  <si>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</si>
  <si>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</si>
  <si>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</si>
  <si>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</si>
  <si>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</si>
  <si>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</si>
  <si>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</si>
  <si>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</si>
  <si>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</si>
  <si>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</si>
  <si>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</si>
  <si>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</si>
  <si>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</si>
  <si>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</si>
  <si>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</si>
  <si>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</si>
  <si>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</si>
  <si>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</si>
  <si>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</si>
  <si>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</si>
  <si>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</si>
  <si>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</si>
  <si>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</si>
  <si>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</si>
  <si>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</si>
  <si>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</si>
  <si>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</si>
  <si>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</si>
  <si>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</si>
  <si>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</si>
  <si>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</si>
  <si>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</si>
  <si>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</si>
  <si>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</si>
  <si>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</si>
  <si>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</si>
  <si>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</si>
  <si>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</si>
  <si>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</si>
  <si>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</si>
  <si>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</si>
  <si>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</si>
  <si>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</si>
  <si>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</si>
  <si>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</si>
  <si>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</si>
  <si>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</si>
  <si>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</si>
  <si>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</si>
  <si>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</si>
  <si>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</si>
  <si>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</si>
  <si>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</si>
  <si>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</si>
  <si>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</si>
  <si>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</si>
  <si>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</si>
  <si>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</si>
  <si>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</si>
  <si>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</si>
  <si>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</si>
  <si>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</si>
  <si>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</si>
  <si>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</si>
  <si>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</si>
  <si>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</si>
  <si>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</si>
  <si>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</si>
  <si>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</si>
  <si>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</si>
  <si>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</si>
  <si>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</si>
  <si>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</si>
  <si>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</si>
  <si>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</si>
  <si>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</si>
  <si>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</si>
  <si>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</si>
  <si>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</si>
  <si>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</si>
  <si>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</si>
  <si>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</si>
  <si>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</si>
  <si>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</si>
  <si>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</si>
  <si>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</si>
  <si>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</si>
  <si>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</si>
  <si>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</si>
  <si>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</si>
  <si>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</si>
  <si>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</si>
  <si>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</si>
  <si>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</si>
  <si>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</si>
  <si>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</si>
  <si>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</si>
  <si>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</si>
  <si>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</si>
  <si>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</si>
  <si>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</si>
  <si>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</si>
  <si>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</si>
  <si>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</si>
  <si>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</si>
  <si>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</si>
  <si>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</si>
  <si>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</si>
  <si>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</si>
  <si>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</si>
  <si>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</si>
  <si>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</si>
  <si>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</si>
  <si>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</si>
  <si>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</si>
  <si>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</si>
  <si>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</si>
  <si>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</si>
  <si>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</si>
  <si>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</si>
  <si>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</si>
  <si>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</si>
  <si>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</si>
  <si>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</si>
  <si>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</si>
  <si>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</si>
  <si>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</si>
  <si>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</si>
  <si>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</si>
  <si>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</si>
  <si>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</si>
  <si>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</si>
  <si>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</si>
  <si>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</si>
  <si>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</si>
  <si>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</si>
  <si>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</si>
  <si>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</si>
  <si>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</si>
  <si>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</si>
  <si>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</si>
  <si>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</si>
  <si>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</si>
  <si>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</si>
  <si>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</si>
  <si>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</si>
  <si>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</si>
  <si>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</si>
  <si>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</si>
  <si>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</si>
  <si>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</si>
  <si>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</si>
  <si>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</si>
  <si>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</si>
  <si>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</si>
  <si>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</si>
  <si>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</si>
  <si>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</si>
  <si>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</si>
  <si>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</si>
  <si>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</si>
  <si>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</si>
  <si>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</si>
  <si>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</si>
  <si>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</si>
  <si>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</si>
  <si>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</si>
  <si>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</si>
  <si>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</si>
  <si>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</si>
  <si>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</si>
  <si>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</si>
  <si>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</si>
  <si>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</si>
  <si>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</si>
  <si>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</si>
  <si>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</si>
  <si>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</si>
  <si>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</si>
  <si>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</si>
  <si>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</si>
  <si>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</si>
  <si>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</si>
  <si>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</si>
  <si>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</si>
  <si>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</si>
  <si>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</si>
  <si>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</si>
  <si>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</si>
  <si>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</si>
  <si>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</si>
  <si>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</si>
  <si>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</si>
  <si>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</si>
  <si>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</si>
  <si>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</si>
  <si>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</si>
  <si>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</si>
  <si>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</si>
  <si>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</si>
  <si>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</si>
  <si>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</si>
  <si>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</si>
  <si>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</si>
  <si>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</si>
  <si>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</si>
  <si>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</si>
  <si>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</si>
  <si>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</si>
  <si>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</si>
  <si>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</si>
  <si>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</si>
  <si>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</si>
  <si>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</si>
  <si>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</si>
  <si>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</si>
  <si>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</si>
  <si>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</si>
  <si>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</si>
  <si>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</si>
  <si>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</si>
  <si>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</si>
  <si>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</si>
  <si>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</si>
  <si>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</si>
  <si>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</si>
  <si>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</si>
  <si>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</si>
  <si>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</si>
  <si>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</si>
  <si>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</si>
  <si>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</si>
  <si>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</si>
  <si>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</si>
  <si>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</si>
  <si>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</si>
  <si>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</si>
  <si>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</si>
  <si>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</si>
  <si>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</si>
  <si>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</si>
  <si>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</si>
  <si>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</si>
  <si>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</si>
  <si>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</si>
  <si>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</si>
  <si>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</si>
  <si>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</si>
  <si>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</si>
  <si>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</si>
  <si>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</si>
  <si>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</si>
  <si>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</si>
  <si>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</si>
  <si>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</si>
  <si>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</si>
  <si>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</si>
  <si>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</si>
  <si>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</si>
  <si>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</si>
  <si>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</si>
  <si>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</si>
  <si>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</si>
  <si>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</si>
  <si>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</si>
  <si>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</si>
  <si>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</si>
  <si>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</si>
  <si>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</si>
  <si>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</si>
  <si>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</si>
  <si>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</si>
  <si>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</si>
  <si>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</si>
  <si>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GO Ltd School Bonds Series 2013A</t>
  </si>
  <si>
    <t>GO Ltd Refunding School Bonds Series 2013B</t>
  </si>
  <si>
    <t>x</t>
  </si>
  <si>
    <t>South Fork CUSD, Athletic Program COOP</t>
  </si>
  <si>
    <t>Capital Area Career Center</t>
  </si>
  <si>
    <t>Mid-States Special Education</t>
  </si>
  <si>
    <t>Fred Lamkey, Superintendent</t>
  </si>
  <si>
    <t>217-623-5603</t>
  </si>
  <si>
    <t>Christian and Sangamon</t>
  </si>
  <si>
    <t>100 East Martin St.</t>
  </si>
  <si>
    <t>Edinburg</t>
  </si>
  <si>
    <t>ecusd4.com</t>
  </si>
  <si>
    <t>LMHN, Ltd., CPA's</t>
  </si>
  <si>
    <t>Richard K. Hooper, CPA</t>
  </si>
  <si>
    <t>900 N. Webster, PO Box 87</t>
  </si>
  <si>
    <t>Taylorville</t>
  </si>
  <si>
    <t>IL</t>
  </si>
  <si>
    <t>217-824-9661</t>
  </si>
  <si>
    <t>217-824-2415</t>
  </si>
  <si>
    <t>rkh_cpa@yahoo.com</t>
  </si>
  <si>
    <t>Fred Lamkey</t>
  </si>
  <si>
    <t>flamkey@ecusd4.com</t>
  </si>
  <si>
    <t>217-623-5604</t>
  </si>
  <si>
    <t>N/A</t>
  </si>
  <si>
    <t>Select courses with South Fork CUSD</t>
  </si>
  <si>
    <t>LMHN, Ltd.</t>
  </si>
  <si>
    <t>EDINBURG COMMUNITY UNIT SCHOOL DISTRICT NO. 4</t>
  </si>
  <si>
    <t>SCHEDULE OF CASH RECEIPTS AND DISBURSEMENTS</t>
  </si>
  <si>
    <t>ACTIVITY FUNDS</t>
  </si>
  <si>
    <t>Balance</t>
  </si>
  <si>
    <t>Receipts</t>
  </si>
  <si>
    <t>Disbursements</t>
  </si>
  <si>
    <t>ASSETS</t>
  </si>
  <si>
    <t>Cash</t>
  </si>
  <si>
    <t>LIABILITIES</t>
  </si>
  <si>
    <t>Amounts Due to Organizations:</t>
  </si>
  <si>
    <t>Elementary</t>
  </si>
  <si>
    <t>Student Betterment</t>
  </si>
  <si>
    <t>HS Boys Basketball</t>
  </si>
  <si>
    <t>JH Boys Basketball</t>
  </si>
  <si>
    <t>Flower fund</t>
  </si>
  <si>
    <t>HS Boys Baseball</t>
  </si>
  <si>
    <t>JH Girls Softball</t>
  </si>
  <si>
    <t>HS Girls Softball</t>
  </si>
  <si>
    <t>JH Volleyball</t>
  </si>
  <si>
    <t>HS Volleyball</t>
  </si>
  <si>
    <t>HS Cheerleader</t>
  </si>
  <si>
    <t>JH Cheerleader</t>
  </si>
  <si>
    <t>JH Science</t>
  </si>
  <si>
    <t>JH Student Council</t>
  </si>
  <si>
    <t>HS Student Council</t>
  </si>
  <si>
    <t>FFA</t>
  </si>
  <si>
    <t>Flag Pole Memorial</t>
  </si>
  <si>
    <t>FCCLA</t>
  </si>
  <si>
    <t>Collins Memorial</t>
  </si>
  <si>
    <t>Art Club</t>
  </si>
  <si>
    <t>Library</t>
  </si>
  <si>
    <t>Play</t>
  </si>
  <si>
    <t>NHS</t>
  </si>
  <si>
    <t>Yearbook</t>
  </si>
  <si>
    <t>MSM Conference</t>
  </si>
  <si>
    <t>HS Science Club</t>
  </si>
  <si>
    <t>Music/Band</t>
  </si>
  <si>
    <t>Swing Choir</t>
  </si>
  <si>
    <t>Popcorn</t>
  </si>
  <si>
    <t>Class of 2017</t>
  </si>
  <si>
    <t>Class of 2018</t>
  </si>
  <si>
    <t>Class of 2019</t>
  </si>
  <si>
    <t>Class of 2020</t>
  </si>
  <si>
    <t>Class of 2021</t>
  </si>
  <si>
    <t>NOVA</t>
  </si>
  <si>
    <t>Scholarship Fund</t>
  </si>
  <si>
    <t>HS Scholastic Bowl</t>
  </si>
  <si>
    <t>Elementary PBIS</t>
  </si>
  <si>
    <t>Computer Club</t>
  </si>
  <si>
    <t>Bass Fishing</t>
  </si>
  <si>
    <t>Bagpipe</t>
  </si>
  <si>
    <t>HS PBIS</t>
  </si>
  <si>
    <t>NOW</t>
  </si>
  <si>
    <t>TOTAL LIABILITIES</t>
  </si>
  <si>
    <t>FOR THE FISCAL YEAR ENDED JUNE 30, 2018</t>
  </si>
  <si>
    <t>July 1, 2017</t>
  </si>
  <si>
    <t>June 30, 2018</t>
  </si>
  <si>
    <t>Class of 2022</t>
  </si>
  <si>
    <t>Page 10, Account 1614, Educational Fund - miscellaneous food/milk sales.</t>
  </si>
  <si>
    <t>Page 10, Account 1690, Educational Fund - reimbursements and rebates.</t>
  </si>
  <si>
    <t>Page 10, Account 1993, Educational Fund - crossing guard reimbursement.</t>
  </si>
  <si>
    <t>Page 10, Account 1999, Educational Fund - reimbursements and rebates.</t>
  </si>
  <si>
    <t>Page 12, Account 3999, Educational Fund - state library per capita grant.</t>
  </si>
  <si>
    <t>Page 18, Account 5400, Other Objects, Debt Services Fund - bond agent fees paid.</t>
  </si>
  <si>
    <t>Page 21, Account 2900, Other Support Services, Capital Projects Fund - flooring and A/C units.</t>
  </si>
  <si>
    <t>Note…The page numbers referred to above correlate to the page numbering system that ISBE utilizes on their AFR, located on the top</t>
  </si>
  <si>
    <t>left or right hand corner of each AFR page.</t>
  </si>
  <si>
    <t>Indpendent Auditors Report</t>
  </si>
  <si>
    <t>IC and Compliance Letter</t>
  </si>
  <si>
    <t>Notes</t>
  </si>
  <si>
    <t>Entire Audit report in PDF</t>
  </si>
  <si>
    <t>Edinburg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</si>
</sst>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1"/>
    </font>
    <font>
      <b/>
      <sz val="11"/>
      <color theme="1"/>
      <name val="Times New Roman"/>
      <family val="1"/>
    </font>
    <font>
      <b/>
      <u/>
      <sz val="11"/>
      <color theme="1"/>
      <name val="Times New Roman"/>
      <family val="1"/>
    </font>
    <font>
      <u/>
      <sz val="11"/>
      <color theme="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cellStyleXfs>
  <cellXfs count="252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37" fillId="0" borderId="0" xfId="19" applyFont="1"/>
    <xf numFmtId="0" fontId="137" fillId="0" borderId="0" xfId="19" applyFont="1" applyAlignment="1">
      <alignment horizontal="center"/>
    </xf>
    <xf numFmtId="43" fontId="137" fillId="0" borderId="0" xfId="19" applyNumberFormat="1" applyFont="1" applyAlignment="1">
      <alignment horizontal="center"/>
    </xf>
    <xf numFmtId="43" fontId="137" fillId="0" borderId="0" xfId="19" applyNumberFormat="1" applyFont="1"/>
    <xf numFmtId="15" fontId="137" fillId="0" borderId="78" xfId="19" quotePrefix="1" applyNumberFormat="1" applyFont="1" applyBorder="1" applyAlignment="1">
      <alignment horizontal="center"/>
    </xf>
    <xf numFmtId="43" fontId="137" fillId="0" borderId="78" xfId="19" applyNumberFormat="1" applyFont="1" applyBorder="1" applyAlignment="1">
      <alignment horizontal="center"/>
    </xf>
    <xf numFmtId="49" fontId="140" fillId="0" borderId="0" xfId="19" applyNumberFormat="1" applyFont="1"/>
    <xf numFmtId="41" fontId="137" fillId="0" borderId="0" xfId="19" applyNumberFormat="1" applyFont="1"/>
    <xf numFmtId="41" fontId="137" fillId="0" borderId="0" xfId="19" quotePrefix="1" applyNumberFormat="1" applyFont="1" applyBorder="1" applyAlignment="1">
      <alignment horizontal="center"/>
    </xf>
    <xf numFmtId="41" fontId="137" fillId="0" borderId="0" xfId="19" applyNumberFormat="1" applyFont="1" applyAlignment="1">
      <alignment horizontal="center"/>
    </xf>
    <xf numFmtId="41" fontId="137" fillId="0" borderId="0" xfId="19" applyNumberFormat="1" applyFont="1" applyBorder="1" applyAlignment="1">
      <alignment horizontal="center"/>
    </xf>
    <xf numFmtId="49" fontId="137" fillId="0" borderId="0" xfId="19" applyNumberFormat="1" applyFont="1"/>
    <xf numFmtId="42" fontId="137" fillId="0" borderId="166" xfId="19" quotePrefix="1" applyNumberFormat="1" applyFont="1" applyBorder="1" applyAlignment="1">
      <alignment horizontal="center"/>
    </xf>
    <xf numFmtId="42" fontId="137" fillId="0" borderId="166" xfId="19" applyNumberFormat="1" applyFont="1" applyBorder="1" applyAlignment="1">
      <alignment horizontal="center"/>
    </xf>
    <xf numFmtId="181" fontId="137" fillId="0" borderId="0" xfId="19" applyNumberFormat="1" applyFont="1"/>
    <xf numFmtId="182" fontId="137" fillId="0" borderId="0" xfId="19" applyNumberFormat="1" applyFont="1"/>
    <xf numFmtId="182" fontId="137" fillId="0" borderId="78" xfId="19" applyNumberFormat="1" applyFont="1" applyBorder="1"/>
    <xf numFmtId="42" fontId="137" fillId="0" borderId="166" xfId="19"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38" fillId="0" borderId="0" xfId="19" applyFont="1" applyAlignment="1">
      <alignment horizontal="center"/>
    </xf>
    <xf numFmtId="14" fontId="138" fillId="0" borderId="0" xfId="19" applyNumberFormat="1" applyFont="1" applyAlignment="1">
      <alignment horizontal="center"/>
    </xf>
    <xf numFmtId="0" fontId="139" fillId="0" borderId="0" xfId="19" applyFont="1" applyAlignment="1">
      <alignment horizontal="center"/>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1</xdr:row>
          <xdr:rowOff>685800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6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4</xdr:row>
          <xdr:rowOff>685800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6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66675</xdr:rowOff>
        </xdr:from>
        <xdr:to>
          <xdr:col>1</xdr:col>
          <xdr:colOff>904875</xdr:colOff>
          <xdr:row>7</xdr:row>
          <xdr:rowOff>752475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6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10</xdr:row>
          <xdr:rowOff>685800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A5325DED-960A-400B-90D0-9BB278F37C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0" t="s">
        <v>425</v>
      </c>
      <c r="J1" s="2051"/>
      <c r="K1" s="2051"/>
      <c r="L1" s="2051"/>
      <c r="M1" s="2051"/>
      <c r="N1" s="2051"/>
      <c r="O1" s="2051"/>
      <c r="P1" s="2051"/>
      <c r="Q1" s="2051"/>
      <c r="R1" s="2051"/>
      <c r="S1" s="2051"/>
    </row>
    <row r="2" spans="1:28" ht="12" customHeight="1" x14ac:dyDescent="0.2">
      <c r="A2" s="47" t="s">
        <v>1684</v>
      </c>
      <c r="D2" s="48"/>
      <c r="I2" s="2052" t="s">
        <v>1036</v>
      </c>
      <c r="J2" s="2051"/>
      <c r="K2" s="2051"/>
      <c r="L2" s="2051"/>
      <c r="M2" s="2051"/>
      <c r="N2" s="2051"/>
      <c r="O2" s="2051"/>
      <c r="P2" s="2051"/>
      <c r="Q2" s="2051"/>
      <c r="R2" s="2051"/>
      <c r="S2" s="2051"/>
    </row>
    <row r="3" spans="1:28" ht="12" customHeight="1" x14ac:dyDescent="0.2">
      <c r="A3" s="155" t="s">
        <v>1685</v>
      </c>
      <c r="B3" s="156"/>
      <c r="C3" s="156"/>
      <c r="D3" s="157"/>
      <c r="I3" s="2052" t="s">
        <v>54</v>
      </c>
      <c r="J3" s="2051"/>
      <c r="K3" s="2051"/>
      <c r="L3" s="2051"/>
      <c r="M3" s="2051"/>
      <c r="N3" s="2051"/>
      <c r="O3" s="2051"/>
      <c r="P3" s="2051"/>
      <c r="Q3" s="2051"/>
      <c r="R3" s="2051"/>
      <c r="S3" s="2051"/>
    </row>
    <row r="4" spans="1:28" ht="12" customHeight="1" x14ac:dyDescent="0.2">
      <c r="A4" s="37"/>
      <c r="I4" s="2052" t="s">
        <v>545</v>
      </c>
      <c r="J4" s="2051"/>
      <c r="K4" s="2051"/>
      <c r="L4" s="2051"/>
      <c r="M4" s="2051"/>
      <c r="N4" s="2051"/>
      <c r="O4" s="2051"/>
      <c r="P4" s="2051"/>
      <c r="Q4" s="2051"/>
      <c r="R4" s="2051"/>
      <c r="S4" s="2051"/>
    </row>
    <row r="5" spans="1:28" ht="14.1" customHeight="1" x14ac:dyDescent="0.2">
      <c r="B5" s="104" t="s">
        <v>2079</v>
      </c>
      <c r="C5" s="26" t="s">
        <v>966</v>
      </c>
      <c r="D5" s="84"/>
      <c r="E5" s="84"/>
      <c r="H5" s="38"/>
      <c r="I5" s="2059" t="s">
        <v>701</v>
      </c>
      <c r="J5" s="2004"/>
      <c r="K5" s="2004"/>
      <c r="L5" s="2004"/>
      <c r="M5" s="2004"/>
      <c r="N5" s="2004"/>
      <c r="O5" s="2004"/>
      <c r="P5" s="2004"/>
      <c r="Q5" s="2004"/>
      <c r="R5" s="2004"/>
      <c r="S5" s="2004"/>
    </row>
    <row r="6" spans="1:28" ht="14.1" customHeight="1" x14ac:dyDescent="0.2">
      <c r="B6" s="104"/>
      <c r="C6" s="26" t="s">
        <v>967</v>
      </c>
      <c r="D6" s="84"/>
      <c r="E6" s="84"/>
      <c r="I6" s="2058" t="s">
        <v>938</v>
      </c>
      <c r="J6" s="2004"/>
      <c r="K6" s="2004"/>
      <c r="L6" s="2004"/>
      <c r="M6" s="2004"/>
      <c r="N6" s="2004"/>
      <c r="O6" s="2004"/>
      <c r="P6" s="2004"/>
      <c r="Q6" s="2004"/>
      <c r="R6" s="2004"/>
      <c r="S6" s="2004"/>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695</v>
      </c>
      <c r="J9" s="2056"/>
      <c r="K9" s="2056"/>
      <c r="L9" s="2056"/>
      <c r="M9" s="2056"/>
      <c r="N9" s="2056"/>
      <c r="O9" s="2056"/>
      <c r="P9" s="2056"/>
      <c r="Q9" s="2056"/>
      <c r="R9" s="2056"/>
      <c r="S9" s="2057"/>
      <c r="T9" s="2000" t="s">
        <v>554</v>
      </c>
      <c r="U9" s="2001"/>
      <c r="V9" s="2001"/>
      <c r="W9" s="2001"/>
      <c r="X9" s="2001"/>
      <c r="Y9" s="2001"/>
      <c r="Z9" s="2001"/>
      <c r="AA9" s="2002"/>
    </row>
    <row r="10" spans="1:28" ht="13.5" customHeight="1" x14ac:dyDescent="0.2">
      <c r="A10" s="2009" t="s">
        <v>696</v>
      </c>
      <c r="B10" s="2010"/>
      <c r="C10" s="2010"/>
      <c r="D10" s="2010"/>
      <c r="E10" s="2010"/>
      <c r="F10" s="2010"/>
      <c r="G10" s="2010"/>
      <c r="H10" s="2011"/>
      <c r="I10" s="29"/>
      <c r="J10" s="30"/>
      <c r="K10" s="28"/>
      <c r="R10" s="30"/>
      <c r="S10" s="30"/>
      <c r="T10" s="2003"/>
      <c r="U10" s="2004"/>
      <c r="V10" s="2004"/>
      <c r="W10" s="2004"/>
      <c r="X10" s="2004"/>
      <c r="Y10" s="2004"/>
      <c r="Z10" s="2004"/>
      <c r="AA10" s="2005"/>
    </row>
    <row r="11" spans="1:28" ht="14.25" customHeight="1" x14ac:dyDescent="0.2">
      <c r="A11" s="2012" t="s">
        <v>1012</v>
      </c>
      <c r="B11" s="2013"/>
      <c r="C11" s="2013"/>
      <c r="D11" s="2013"/>
      <c r="E11" s="2013"/>
      <c r="F11" s="2013"/>
      <c r="G11" s="2013"/>
      <c r="H11" s="2014"/>
      <c r="I11" s="27"/>
      <c r="J11" s="74"/>
      <c r="K11" s="27"/>
      <c r="O11" s="148" t="s">
        <v>2079</v>
      </c>
      <c r="P11" s="100" t="s">
        <v>210</v>
      </c>
      <c r="Q11" s="30"/>
      <c r="R11" s="28"/>
      <c r="S11" s="27"/>
      <c r="T11" s="2006"/>
      <c r="U11" s="2007"/>
      <c r="V11" s="2007"/>
      <c r="W11" s="2007"/>
      <c r="X11" s="2007"/>
      <c r="Y11" s="2007"/>
      <c r="Z11" s="2007"/>
      <c r="AA11" s="200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0">
        <v>3011004026</v>
      </c>
      <c r="B13" s="2021"/>
      <c r="C13" s="2021"/>
      <c r="D13" s="2021"/>
      <c r="E13" s="2021"/>
      <c r="F13" s="2021"/>
      <c r="G13" s="2021"/>
      <c r="H13" s="2022"/>
      <c r="I13" s="31"/>
      <c r="J13" s="30"/>
      <c r="K13" s="28"/>
      <c r="L13" s="30"/>
      <c r="M13" s="30"/>
      <c r="N13" s="30"/>
      <c r="O13" s="30"/>
      <c r="P13" s="30"/>
      <c r="Q13" s="30"/>
      <c r="R13" s="30"/>
      <c r="S13" s="30"/>
      <c r="T13" s="2025" t="s">
        <v>2089</v>
      </c>
      <c r="U13" s="2026"/>
      <c r="V13" s="2026"/>
      <c r="W13" s="2026"/>
      <c r="X13" s="2026"/>
      <c r="Y13" s="2027"/>
      <c r="Z13" s="2027"/>
      <c r="AA13" s="202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8" t="s">
        <v>2085</v>
      </c>
      <c r="B15" s="2023"/>
      <c r="C15" s="2023"/>
      <c r="D15" s="2023"/>
      <c r="E15" s="2023"/>
      <c r="F15" s="2023"/>
      <c r="G15" s="2023"/>
      <c r="H15" s="2024"/>
      <c r="T15" s="1986" t="s">
        <v>2090</v>
      </c>
      <c r="U15" s="1987"/>
      <c r="V15" s="1987"/>
      <c r="W15" s="1987"/>
      <c r="X15" s="1987"/>
      <c r="Y15" s="2029"/>
      <c r="Z15" s="2029"/>
      <c r="AA15" s="203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8" t="s">
        <v>2174</v>
      </c>
      <c r="B17" s="2048"/>
      <c r="C17" s="2048"/>
      <c r="D17" s="2048"/>
      <c r="E17" s="2048"/>
      <c r="F17" s="2048"/>
      <c r="G17" s="2048"/>
      <c r="H17" s="2049"/>
      <c r="T17" s="2035" t="s">
        <v>2091</v>
      </c>
      <c r="U17" s="2036"/>
      <c r="V17" s="2036"/>
      <c r="W17" s="2036"/>
      <c r="X17" s="2036"/>
      <c r="Y17" s="2036"/>
      <c r="Z17" s="2036"/>
      <c r="AA17" s="2037"/>
    </row>
    <row r="18" spans="1:27" ht="13.5" customHeight="1" x14ac:dyDescent="0.2">
      <c r="A18" s="85" t="s">
        <v>551</v>
      </c>
      <c r="B18" s="76"/>
      <c r="C18" s="72"/>
      <c r="D18" s="76"/>
      <c r="E18" s="76"/>
      <c r="F18" s="76"/>
      <c r="G18" s="76"/>
      <c r="H18" s="56"/>
      <c r="I18" s="2045" t="s">
        <v>697</v>
      </c>
      <c r="J18" s="2046"/>
      <c r="K18" s="2046"/>
      <c r="L18" s="2046"/>
      <c r="M18" s="2046"/>
      <c r="N18" s="2046"/>
      <c r="O18" s="2046"/>
      <c r="P18" s="2046"/>
      <c r="Q18" s="2046"/>
      <c r="R18" s="2046"/>
      <c r="S18" s="2047"/>
      <c r="T18" s="85" t="s">
        <v>735</v>
      </c>
      <c r="U18" s="51"/>
      <c r="V18" s="72"/>
      <c r="W18" s="50"/>
      <c r="X18" s="85" t="s">
        <v>284</v>
      </c>
      <c r="Y18" s="81"/>
      <c r="Z18" s="159" t="s">
        <v>698</v>
      </c>
      <c r="AA18" s="46"/>
    </row>
    <row r="19" spans="1:27" ht="13.5" customHeight="1" x14ac:dyDescent="0.2">
      <c r="A19" s="2018" t="s">
        <v>2086</v>
      </c>
      <c r="B19" s="2019"/>
      <c r="C19" s="2019"/>
      <c r="D19" s="2019"/>
      <c r="E19" s="2019"/>
      <c r="F19" s="2019"/>
      <c r="G19" s="2019"/>
      <c r="H19" s="2017"/>
      <c r="I19" s="30"/>
      <c r="J19" s="99"/>
      <c r="K19" s="40"/>
      <c r="L19" s="38"/>
      <c r="M19" s="112" t="s">
        <v>333</v>
      </c>
      <c r="P19" s="27"/>
      <c r="Q19" s="27"/>
      <c r="R19" s="27"/>
      <c r="S19" s="31"/>
      <c r="T19" s="2018" t="s">
        <v>2092</v>
      </c>
      <c r="U19" s="2016"/>
      <c r="V19" s="2016"/>
      <c r="W19" s="2017"/>
      <c r="X19" s="2033" t="s">
        <v>2093</v>
      </c>
      <c r="Y19" s="2034"/>
      <c r="Z19" s="2031">
        <v>62568</v>
      </c>
      <c r="AA19" s="203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5" t="s">
        <v>2087</v>
      </c>
      <c r="B21" s="2016"/>
      <c r="C21" s="2016"/>
      <c r="D21" s="2016"/>
      <c r="E21" s="2016"/>
      <c r="F21" s="2016"/>
      <c r="G21" s="2016"/>
      <c r="H21" s="2017"/>
      <c r="I21" s="2041" t="s">
        <v>699</v>
      </c>
      <c r="J21" s="2004"/>
      <c r="K21" s="2004"/>
      <c r="L21" s="2004"/>
      <c r="M21" s="2004"/>
      <c r="N21" s="2004"/>
      <c r="O21" s="2004"/>
      <c r="P21" s="2004"/>
      <c r="Q21" s="2004"/>
      <c r="R21" s="2004"/>
      <c r="S21" s="2005"/>
      <c r="T21" s="1983" t="s">
        <v>2094</v>
      </c>
      <c r="U21" s="1984"/>
      <c r="V21" s="1984"/>
      <c r="W21" s="1984"/>
      <c r="X21" s="1997" t="s">
        <v>2095</v>
      </c>
      <c r="Y21" s="1998"/>
      <c r="Z21" s="1998"/>
      <c r="AA21" s="1999"/>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8" t="s">
        <v>2088</v>
      </c>
      <c r="B23" s="2039"/>
      <c r="C23" s="2039"/>
      <c r="D23" s="2039"/>
      <c r="E23" s="2039"/>
      <c r="F23" s="2039"/>
      <c r="G23" s="2039"/>
      <c r="H23" s="2040"/>
      <c r="T23" s="1978">
        <v>66003847</v>
      </c>
      <c r="U23" s="1979"/>
      <c r="V23" s="1979"/>
      <c r="W23" s="1979"/>
      <c r="X23" s="1994">
        <v>43434</v>
      </c>
      <c r="Y23" s="1995"/>
      <c r="Z23" s="1995"/>
      <c r="AA23" s="1996"/>
    </row>
    <row r="24" spans="1:27" ht="14.1" customHeight="1" x14ac:dyDescent="0.2">
      <c r="A24" s="88" t="s">
        <v>698</v>
      </c>
      <c r="B24" s="49"/>
      <c r="C24" s="49"/>
      <c r="D24" s="49"/>
      <c r="E24" s="49"/>
      <c r="F24" s="49"/>
      <c r="G24" s="49"/>
      <c r="H24" s="61"/>
      <c r="J24" s="2080">
        <f>IF(B5="x",IF(AUDITCHECK!D29="AFR form Incomplete.","",IF(AUDITCHECK!D29="Deficit reduction plan is required.","School District must complete a deficit reduction plan in the 2018-2019 Budget",)),"")</f>
        <v>0</v>
      </c>
      <c r="K24" s="2080"/>
      <c r="L24" s="2080"/>
      <c r="M24" s="2080"/>
      <c r="N24" s="2080"/>
      <c r="O24" s="2080"/>
      <c r="P24" s="2080"/>
      <c r="Q24" s="2080"/>
      <c r="R24" s="2080"/>
      <c r="S24" s="2081"/>
      <c r="T24" s="105" t="s">
        <v>552</v>
      </c>
      <c r="U24" s="106"/>
      <c r="V24" s="106"/>
      <c r="W24" s="106"/>
      <c r="X24" s="107"/>
      <c r="Y24" s="107"/>
      <c r="Z24" s="107"/>
      <c r="AA24" s="108"/>
    </row>
    <row r="25" spans="1:27" ht="14.1" customHeight="1" x14ac:dyDescent="0.2">
      <c r="A25" s="2015">
        <v>62531</v>
      </c>
      <c r="B25" s="2016"/>
      <c r="C25" s="2016"/>
      <c r="D25" s="2016"/>
      <c r="E25" s="2016"/>
      <c r="F25" s="2016"/>
      <c r="G25" s="2016"/>
      <c r="H25" s="2017"/>
      <c r="I25" s="113"/>
      <c r="J25" s="2082"/>
      <c r="K25" s="2082"/>
      <c r="L25" s="2082"/>
      <c r="M25" s="2082"/>
      <c r="N25" s="2082"/>
      <c r="O25" s="2082"/>
      <c r="P25" s="2082"/>
      <c r="Q25" s="2082"/>
      <c r="R25" s="2082"/>
      <c r="S25" s="2083"/>
      <c r="T25" s="1975" t="s">
        <v>2096</v>
      </c>
      <c r="U25" s="1976"/>
      <c r="V25" s="1976"/>
      <c r="W25" s="1976"/>
      <c r="X25" s="1976"/>
      <c r="Y25" s="1976"/>
      <c r="Z25" s="1976"/>
      <c r="AA25" s="19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3" t="s">
        <v>1591</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2079</v>
      </c>
      <c r="M29" s="40" t="s">
        <v>101</v>
      </c>
      <c r="N29" s="32" t="s">
        <v>1604</v>
      </c>
      <c r="O29" s="32"/>
      <c r="P29" s="32"/>
      <c r="Q29" s="32"/>
      <c r="R29" s="32"/>
      <c r="S29" s="123"/>
      <c r="T29" s="6"/>
      <c r="U29" s="6"/>
      <c r="V29" s="6"/>
      <c r="W29" s="6"/>
      <c r="X29" s="6"/>
      <c r="Y29" s="6"/>
      <c r="Z29" s="6"/>
      <c r="AA29" s="132"/>
    </row>
    <row r="30" spans="1:27" ht="13.5" customHeight="1" x14ac:dyDescent="0.2">
      <c r="A30" s="153"/>
      <c r="B30" s="136" t="s">
        <v>2079</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2079</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2079</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9"/>
      <c r="Q35" s="2016"/>
      <c r="R35" s="201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8" t="s">
        <v>2097</v>
      </c>
      <c r="B38" s="2048"/>
      <c r="C38" s="2048"/>
      <c r="D38" s="2048"/>
      <c r="E38" s="2048"/>
      <c r="F38" s="2016"/>
      <c r="G38" s="2016"/>
      <c r="H38" s="2017"/>
      <c r="I38" s="2067"/>
      <c r="J38" s="1987"/>
      <c r="K38" s="1987"/>
      <c r="L38" s="1987"/>
      <c r="M38" s="1987"/>
      <c r="N38" s="1987"/>
      <c r="O38" s="1987"/>
      <c r="P38" s="1988"/>
      <c r="Q38" s="1988"/>
      <c r="R38" s="1988"/>
      <c r="S38" s="1989"/>
      <c r="T38" s="1986"/>
      <c r="U38" s="1987"/>
      <c r="V38" s="1987"/>
      <c r="W38" s="1987"/>
      <c r="X38" s="1988"/>
      <c r="Y38" s="1988"/>
      <c r="Z38" s="1988"/>
      <c r="AA38" s="1989"/>
    </row>
    <row r="39" spans="1:27" ht="12" customHeight="1" x14ac:dyDescent="0.2">
      <c r="A39" s="2071" t="s">
        <v>552</v>
      </c>
      <c r="B39" s="2072"/>
      <c r="C39" s="72"/>
      <c r="D39" s="69"/>
      <c r="E39" s="69"/>
      <c r="F39" s="79"/>
      <c r="G39" s="69"/>
      <c r="H39" s="56"/>
      <c r="I39" s="2071" t="s">
        <v>552</v>
      </c>
      <c r="J39" s="2072"/>
      <c r="K39" s="2072"/>
      <c r="L39" s="2072"/>
      <c r="M39" s="2072"/>
      <c r="N39" s="67"/>
      <c r="O39" s="72"/>
      <c r="P39" s="72"/>
      <c r="Q39" s="78"/>
      <c r="R39" s="72"/>
      <c r="S39" s="56"/>
      <c r="T39" s="72" t="s">
        <v>552</v>
      </c>
      <c r="U39" s="51"/>
      <c r="V39" s="72"/>
      <c r="W39" s="50"/>
      <c r="X39" s="78"/>
      <c r="Y39" s="45"/>
      <c r="Z39" s="45"/>
      <c r="AA39" s="46"/>
    </row>
    <row r="40" spans="1:27" ht="13.5" customHeight="1" x14ac:dyDescent="0.2">
      <c r="A40" s="2074" t="s">
        <v>2098</v>
      </c>
      <c r="B40" s="2075"/>
      <c r="C40" s="2076"/>
      <c r="D40" s="2076"/>
      <c r="E40" s="2076"/>
      <c r="F40" s="2077"/>
      <c r="G40" s="2077"/>
      <c r="H40" s="2078"/>
      <c r="I40" s="1990"/>
      <c r="J40" s="1992"/>
      <c r="K40" s="1992"/>
      <c r="L40" s="1992"/>
      <c r="M40" s="1992"/>
      <c r="N40" s="1992"/>
      <c r="O40" s="1992"/>
      <c r="P40" s="1992"/>
      <c r="Q40" s="1992"/>
      <c r="R40" s="1992"/>
      <c r="S40" s="1993"/>
      <c r="T40" s="1990"/>
      <c r="U40" s="1991"/>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4" t="s">
        <v>2084</v>
      </c>
      <c r="B42" s="2065"/>
      <c r="C42" s="2066"/>
      <c r="D42" s="2079" t="s">
        <v>2099</v>
      </c>
      <c r="E42" s="2065"/>
      <c r="F42" s="2065"/>
      <c r="G42" s="2065"/>
      <c r="H42" s="2066"/>
      <c r="I42" s="1985"/>
      <c r="J42" s="1981"/>
      <c r="K42" s="1981"/>
      <c r="L42" s="1981"/>
      <c r="M42" s="1981"/>
      <c r="N42" s="1981"/>
      <c r="O42" s="1982"/>
      <c r="P42" s="1980"/>
      <c r="Q42" s="1981"/>
      <c r="R42" s="1981"/>
      <c r="S42" s="1982"/>
      <c r="T42" s="1985"/>
      <c r="U42" s="1981"/>
      <c r="V42" s="1981"/>
      <c r="W42" s="1982"/>
      <c r="X42" s="1980"/>
      <c r="Y42" s="1981"/>
      <c r="Z42" s="1981"/>
      <c r="AA42" s="198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8"/>
      <c r="B44" s="2069"/>
      <c r="C44" s="2069"/>
      <c r="D44" s="2069"/>
      <c r="E44" s="2069"/>
      <c r="F44" s="2069"/>
      <c r="G44" s="2069"/>
      <c r="H44" s="2070"/>
      <c r="I44" s="2060"/>
      <c r="J44" s="2062"/>
      <c r="K44" s="2062"/>
      <c r="L44" s="2062"/>
      <c r="M44" s="2062"/>
      <c r="N44" s="2062"/>
      <c r="O44" s="2062"/>
      <c r="P44" s="2062"/>
      <c r="Q44" s="2062"/>
      <c r="R44" s="2062"/>
      <c r="S44" s="2063"/>
      <c r="T44" s="2060"/>
      <c r="U44" s="2061"/>
      <c r="V44" s="2061"/>
      <c r="W44" s="2061"/>
      <c r="X44" s="2061"/>
      <c r="Y44" s="2061"/>
      <c r="Z44" s="2062"/>
      <c r="AA44" s="206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7" t="s">
        <v>1905</v>
      </c>
      <c r="B2" s="1550" t="s">
        <v>2037</v>
      </c>
      <c r="C2" s="715" t="s">
        <v>1910</v>
      </c>
      <c r="D2" s="715" t="s">
        <v>1911</v>
      </c>
      <c r="E2" s="715" t="s">
        <v>1912</v>
      </c>
      <c r="F2" s="715" t="s">
        <v>1913</v>
      </c>
    </row>
    <row r="3" spans="1:6" ht="12" customHeight="1" x14ac:dyDescent="0.2">
      <c r="A3" s="2218"/>
      <c r="B3" s="1547"/>
      <c r="C3" s="1548"/>
      <c r="D3" s="1549" t="s">
        <v>274</v>
      </c>
      <c r="E3" s="1548"/>
      <c r="F3" s="1549" t="s">
        <v>275</v>
      </c>
    </row>
    <row r="4" spans="1:6" ht="13.7" customHeight="1" x14ac:dyDescent="0.2">
      <c r="A4" s="716" t="s">
        <v>1217</v>
      </c>
      <c r="B4" s="1771">
        <f>'Revenues 9-14'!C5</f>
        <v>1210323</v>
      </c>
      <c r="C4" s="1546"/>
      <c r="D4" s="1774">
        <f>B4-C4</f>
        <v>1210323</v>
      </c>
      <c r="E4" s="1546">
        <v>1306915</v>
      </c>
      <c r="F4" s="1774">
        <f>E4-C4</f>
        <v>1306915</v>
      </c>
    </row>
    <row r="5" spans="1:6" ht="13.7" customHeight="1" x14ac:dyDescent="0.2">
      <c r="A5" s="716" t="s">
        <v>925</v>
      </c>
      <c r="B5" s="1772">
        <f>'Revenues 9-14'!D5</f>
        <v>255925</v>
      </c>
      <c r="C5" s="585"/>
      <c r="D5" s="1775">
        <f t="shared" ref="D5:D18" si="0">B5-C5</f>
        <v>255925</v>
      </c>
      <c r="E5" s="585">
        <v>260086</v>
      </c>
      <c r="F5" s="1775">
        <f>E5-C5</f>
        <v>260086</v>
      </c>
    </row>
    <row r="6" spans="1:6" ht="13.7" customHeight="1" x14ac:dyDescent="0.2">
      <c r="A6" s="716" t="s">
        <v>431</v>
      </c>
      <c r="B6" s="1772">
        <f>'Revenues 9-14'!E5</f>
        <v>60280</v>
      </c>
      <c r="C6" s="585"/>
      <c r="D6" s="1775">
        <f t="shared" si="0"/>
        <v>60280</v>
      </c>
      <c r="E6" s="585">
        <v>59990</v>
      </c>
      <c r="F6" s="1775">
        <f t="shared" ref="F6:F18" si="1">E6-C6</f>
        <v>59990</v>
      </c>
    </row>
    <row r="7" spans="1:6" ht="13.7" customHeight="1" x14ac:dyDescent="0.2">
      <c r="A7" s="716" t="s">
        <v>157</v>
      </c>
      <c r="B7" s="1772">
        <f>'Revenues 9-14'!F5</f>
        <v>65624</v>
      </c>
      <c r="C7" s="585"/>
      <c r="D7" s="1775">
        <f t="shared" si="0"/>
        <v>65624</v>
      </c>
      <c r="E7" s="585">
        <v>83599</v>
      </c>
      <c r="F7" s="1775">
        <f t="shared" si="1"/>
        <v>83599</v>
      </c>
    </row>
    <row r="8" spans="1:6" ht="13.7" customHeight="1" x14ac:dyDescent="0.2">
      <c r="A8" s="716" t="s">
        <v>1241</v>
      </c>
      <c r="B8" s="1772">
        <f>'Revenues 9-14'!G5</f>
        <v>322</v>
      </c>
      <c r="C8" s="585"/>
      <c r="D8" s="1775">
        <f t="shared" si="0"/>
        <v>322</v>
      </c>
      <c r="E8" s="585">
        <v>5578</v>
      </c>
      <c r="F8" s="1775">
        <f t="shared" si="1"/>
        <v>5578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19547</v>
      </c>
      <c r="C10" s="585"/>
      <c r="D10" s="1775">
        <f t="shared" si="0"/>
        <v>19547</v>
      </c>
      <c r="E10" s="585">
        <v>20440</v>
      </c>
      <c r="F10" s="1775">
        <f t="shared" si="1"/>
        <v>20440</v>
      </c>
    </row>
    <row r="11" spans="1:6" x14ac:dyDescent="0.2">
      <c r="A11" s="716" t="s">
        <v>429</v>
      </c>
      <c r="B11" s="1772">
        <f>'Revenues 9-14'!J5</f>
        <v>26973</v>
      </c>
      <c r="C11" s="585"/>
      <c r="D11" s="1775">
        <f t="shared" si="0"/>
        <v>26973</v>
      </c>
      <c r="E11" s="585">
        <v>931</v>
      </c>
      <c r="F11" s="1775">
        <f t="shared" si="1"/>
        <v>931</v>
      </c>
    </row>
    <row r="12" spans="1:6" ht="13.7" customHeight="1" x14ac:dyDescent="0.2">
      <c r="A12" s="716" t="s">
        <v>159</v>
      </c>
      <c r="B12" s="1772">
        <f>'Revenues 9-14'!K5</f>
        <v>23285</v>
      </c>
      <c r="C12" s="585"/>
      <c r="D12" s="1775">
        <f t="shared" si="0"/>
        <v>23285</v>
      </c>
      <c r="E12" s="585">
        <v>43685</v>
      </c>
      <c r="F12" s="1775">
        <f t="shared" si="1"/>
        <v>43685</v>
      </c>
    </row>
    <row r="13" spans="1:6" ht="13.7" customHeight="1" x14ac:dyDescent="0.2">
      <c r="A13" s="716" t="s">
        <v>993</v>
      </c>
      <c r="B13" s="1772">
        <f>SUM('Revenues 9-14'!C6:D6)</f>
        <v>35370</v>
      </c>
      <c r="C13" s="585"/>
      <c r="D13" s="1775">
        <f t="shared" si="0"/>
        <v>35370</v>
      </c>
      <c r="E13" s="585">
        <v>35302</v>
      </c>
      <c r="F13" s="1775">
        <f t="shared" si="1"/>
        <v>35302</v>
      </c>
    </row>
    <row r="14" spans="1:6" ht="13.7" customHeight="1" x14ac:dyDescent="0.2">
      <c r="A14" s="716" t="s">
        <v>430</v>
      </c>
      <c r="B14" s="1772">
        <f>SUM('Revenues 9-14'!C7:D7,'Revenues 9-14'!F7:H7)</f>
        <v>13964</v>
      </c>
      <c r="C14" s="585"/>
      <c r="D14" s="1775">
        <f t="shared" si="0"/>
        <v>13964</v>
      </c>
      <c r="E14" s="585">
        <v>15793</v>
      </c>
      <c r="F14" s="1775">
        <f t="shared" si="1"/>
        <v>15793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64793</v>
      </c>
      <c r="C16" s="585"/>
      <c r="D16" s="1775">
        <f t="shared" si="0"/>
        <v>64793</v>
      </c>
      <c r="E16" s="585">
        <v>9293</v>
      </c>
      <c r="F16" s="1775">
        <f t="shared" si="1"/>
        <v>9293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1776406</v>
      </c>
      <c r="C19" s="1773">
        <f>SUM(C4:C18)</f>
        <v>0</v>
      </c>
      <c r="D19" s="1773">
        <f>SUM(D4:D18)</f>
        <v>1776406</v>
      </c>
      <c r="E19" s="1773">
        <f>SUM(E4:E18)</f>
        <v>1841612</v>
      </c>
      <c r="F19" s="1773">
        <f>SUM(F4:F18)</f>
        <v>1841612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orizontalCentered="1" headings="1" gridLinesSet="0"/>
  <pageMargins left="0.5" right="0.5" top="1.25" bottom="0.5" header="0.75" footer="0.5"/>
  <pageSetup scale="90" firstPageNumber="23"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4"/>
      <c r="C1" s="722"/>
    </row>
    <row r="2" spans="1:7" ht="33.75" x14ac:dyDescent="0.2">
      <c r="A2" s="2232" t="s">
        <v>1905</v>
      </c>
      <c r="B2" s="2233"/>
      <c r="C2" s="1909" t="s">
        <v>2038</v>
      </c>
      <c r="D2" s="724" t="s">
        <v>2045</v>
      </c>
      <c r="E2" s="724" t="s">
        <v>2046</v>
      </c>
      <c r="F2" s="1909" t="s">
        <v>2039</v>
      </c>
    </row>
    <row r="3" spans="1:7" ht="15.75" customHeight="1" x14ac:dyDescent="0.2">
      <c r="A3" s="2236" t="s">
        <v>1176</v>
      </c>
      <c r="B3" s="2237"/>
      <c r="C3" s="2225"/>
      <c r="D3" s="2226"/>
      <c r="E3" s="2226"/>
      <c r="F3" s="2227"/>
    </row>
    <row r="4" spans="1:7" ht="12.75" customHeight="1" thickBot="1" x14ac:dyDescent="0.25">
      <c r="A4" s="2234" t="s">
        <v>651</v>
      </c>
      <c r="B4" s="2235"/>
      <c r="C4" s="581"/>
      <c r="D4" s="581"/>
      <c r="E4" s="581"/>
      <c r="F4" s="1777">
        <f>SUM(C4+D4)-E4</f>
        <v>0</v>
      </c>
    </row>
    <row r="5" spans="1:7" ht="15.75" customHeight="1" thickTop="1" x14ac:dyDescent="0.2">
      <c r="A5" s="2219" t="s">
        <v>1172</v>
      </c>
      <c r="B5" s="2220"/>
      <c r="C5" s="2228"/>
      <c r="D5" s="2229"/>
      <c r="E5" s="2229"/>
      <c r="F5" s="223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1" t="s">
        <v>652</v>
      </c>
      <c r="B15" s="2222"/>
      <c r="C15" s="1777">
        <f>SUM(C6:C14)</f>
        <v>0</v>
      </c>
      <c r="D15" s="1777">
        <f>SUM(D6:D14)</f>
        <v>0</v>
      </c>
      <c r="E15" s="1777">
        <f>SUM(E6:E14)</f>
        <v>0</v>
      </c>
      <c r="F15" s="1777">
        <f>SUM(F6:F14)</f>
        <v>0</v>
      </c>
      <c r="G15" s="552"/>
    </row>
    <row r="16" spans="1:7" s="202" customFormat="1" ht="15.75" customHeight="1" thickTop="1" x14ac:dyDescent="0.2">
      <c r="A16" s="2231" t="s">
        <v>1173</v>
      </c>
      <c r="B16" s="2220"/>
      <c r="C16" s="2228"/>
      <c r="D16" s="2229"/>
      <c r="E16" s="2229"/>
      <c r="F16" s="2230"/>
    </row>
    <row r="17" spans="1:11" ht="12.75" customHeight="1" thickBot="1" x14ac:dyDescent="0.25">
      <c r="A17" s="2244" t="s">
        <v>66</v>
      </c>
      <c r="B17" s="2245"/>
      <c r="C17" s="727"/>
      <c r="D17" s="585"/>
      <c r="E17" s="727"/>
      <c r="F17" s="1777">
        <f>SUM(C17+D17)-E17</f>
        <v>0</v>
      </c>
    </row>
    <row r="18" spans="1:11" ht="12.75" customHeight="1" thickTop="1" thickBot="1" x14ac:dyDescent="0.25">
      <c r="A18" s="2244" t="s">
        <v>6</v>
      </c>
      <c r="B18" s="2245"/>
      <c r="C18" s="727"/>
      <c r="D18" s="585"/>
      <c r="E18" s="727"/>
      <c r="F18" s="1777">
        <f>SUM(C18+D18)-E18</f>
        <v>0</v>
      </c>
    </row>
    <row r="19" spans="1:11" ht="12.75" customHeight="1" thickTop="1" thickBot="1" x14ac:dyDescent="0.25">
      <c r="A19" s="2244" t="s">
        <v>406</v>
      </c>
      <c r="B19" s="2245"/>
      <c r="C19" s="727"/>
      <c r="D19" s="585"/>
      <c r="E19" s="727"/>
      <c r="F19" s="1777">
        <f>SUM(C19+D19)-E19</f>
        <v>0</v>
      </c>
    </row>
    <row r="20" spans="1:11" ht="12.75" customHeight="1" thickTop="1" thickBot="1" x14ac:dyDescent="0.25">
      <c r="A20" s="2244" t="s">
        <v>468</v>
      </c>
      <c r="B20" s="2245"/>
      <c r="C20" s="727"/>
      <c r="D20" s="585"/>
      <c r="E20" s="727"/>
      <c r="F20" s="1777">
        <f>SUM(C20+D20)-E20</f>
        <v>0</v>
      </c>
    </row>
    <row r="21" spans="1:11" ht="14.25" thickTop="1" thickBot="1" x14ac:dyDescent="0.25">
      <c r="A21" s="2221" t="s">
        <v>653</v>
      </c>
      <c r="B21" s="2222"/>
      <c r="C21" s="1777">
        <f>SUM(C17:C20)</f>
        <v>0</v>
      </c>
      <c r="D21" s="1777">
        <f>SUM(D17:D20)</f>
        <v>0</v>
      </c>
      <c r="E21" s="1777">
        <f>SUM(E17:E20)</f>
        <v>0</v>
      </c>
      <c r="F21" s="1777">
        <f>SUM(F17:F20)</f>
        <v>0</v>
      </c>
      <c r="G21" s="552"/>
    </row>
    <row r="22" spans="1:11" ht="15.75" customHeight="1" thickTop="1" x14ac:dyDescent="0.2">
      <c r="A22" s="2246" t="s">
        <v>1174</v>
      </c>
      <c r="B22" s="2220"/>
      <c r="C22" s="2228"/>
      <c r="D22" s="2229"/>
      <c r="E22" s="2229"/>
      <c r="F22" s="2230"/>
    </row>
    <row r="23" spans="1:11" ht="13.5" thickBot="1" x14ac:dyDescent="0.25">
      <c r="A23" s="2234" t="s">
        <v>654</v>
      </c>
      <c r="B23" s="2235"/>
      <c r="C23" s="581"/>
      <c r="D23" s="581"/>
      <c r="E23" s="581"/>
      <c r="F23" s="1777">
        <f>SUM(C23+D23)-E23</f>
        <v>0</v>
      </c>
      <c r="G23" s="552"/>
    </row>
    <row r="24" spans="1:11" ht="15.75" customHeight="1" thickTop="1" x14ac:dyDescent="0.2">
      <c r="A24" s="2246" t="s">
        <v>1175</v>
      </c>
      <c r="B24" s="2220"/>
      <c r="C24" s="2228"/>
      <c r="D24" s="2229"/>
      <c r="E24" s="2229"/>
      <c r="F24" s="2230"/>
    </row>
    <row r="25" spans="1:11" ht="13.5" thickBot="1" x14ac:dyDescent="0.25">
      <c r="A25" s="2234" t="s">
        <v>655</v>
      </c>
      <c r="B25" s="2235"/>
      <c r="C25" s="581"/>
      <c r="D25" s="581"/>
      <c r="E25" s="581"/>
      <c r="F25" s="1777">
        <f>SUM(C25+D25)-E25</f>
        <v>0</v>
      </c>
      <c r="G25" s="552"/>
    </row>
    <row r="26" spans="1:11" ht="15.75" customHeight="1" thickTop="1" x14ac:dyDescent="0.2">
      <c r="A26" s="2219" t="s">
        <v>678</v>
      </c>
      <c r="B26" s="2220"/>
      <c r="C26" s="728"/>
      <c r="D26" s="728"/>
      <c r="E26" s="728"/>
      <c r="F26" s="729"/>
    </row>
    <row r="27" spans="1:11" ht="13.5" thickBot="1" x14ac:dyDescent="0.25">
      <c r="A27" s="2221" t="s">
        <v>1130</v>
      </c>
      <c r="B27" s="2222"/>
      <c r="C27" s="585"/>
      <c r="D27" s="585"/>
      <c r="E27" s="585"/>
      <c r="F27" s="1777">
        <f>SUM(C27+D27)-E27</f>
        <v>0</v>
      </c>
      <c r="G27" s="552"/>
    </row>
    <row r="28" spans="1:11" ht="7.5" customHeight="1" thickTop="1" x14ac:dyDescent="0.2">
      <c r="A28" s="594"/>
    </row>
    <row r="29" spans="1:11" ht="23.25" customHeight="1" x14ac:dyDescent="0.2">
      <c r="A29" s="2247" t="s">
        <v>603</v>
      </c>
      <c r="B29" s="2224"/>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2077</v>
      </c>
      <c r="B31" s="734">
        <v>41346</v>
      </c>
      <c r="C31" s="735">
        <v>400000</v>
      </c>
      <c r="D31" s="736">
        <v>1</v>
      </c>
      <c r="E31" s="735">
        <v>332000</v>
      </c>
      <c r="F31" s="735"/>
      <c r="G31" s="735"/>
      <c r="H31" s="735">
        <v>46000</v>
      </c>
      <c r="I31" s="1778">
        <f>((E31+F31)-H31)+G31</f>
        <v>286000</v>
      </c>
      <c r="J31" s="735">
        <v>277243</v>
      </c>
      <c r="K31" s="737"/>
    </row>
    <row r="32" spans="1:11" ht="12" customHeight="1" x14ac:dyDescent="0.2">
      <c r="A32" s="733" t="s">
        <v>2078</v>
      </c>
      <c r="B32" s="734">
        <v>41346</v>
      </c>
      <c r="C32" s="735">
        <v>39000</v>
      </c>
      <c r="D32" s="736">
        <v>3</v>
      </c>
      <c r="E32" s="735">
        <v>39000</v>
      </c>
      <c r="F32" s="735"/>
      <c r="G32" s="735"/>
      <c r="H32" s="735"/>
      <c r="I32" s="1778">
        <f>((E32+F32)-H32)+G32</f>
        <v>39000</v>
      </c>
      <c r="J32" s="735">
        <v>39000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439000</v>
      </c>
      <c r="D49" s="746"/>
      <c r="E49" s="1778">
        <f t="shared" ref="E49:J49" si="2">SUM(E31:E48)</f>
        <v>371000</v>
      </c>
      <c r="F49" s="1778">
        <f t="shared" si="2"/>
        <v>0</v>
      </c>
      <c r="G49" s="1778">
        <f t="shared" si="2"/>
        <v>0</v>
      </c>
      <c r="H49" s="1778">
        <f t="shared" si="2"/>
        <v>46000</v>
      </c>
      <c r="I49" s="1778">
        <f t="shared" si="2"/>
        <v>325000</v>
      </c>
      <c r="J49" s="1778">
        <f t="shared" si="2"/>
        <v>316243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8" t="s">
        <v>605</v>
      </c>
      <c r="C52" s="2239"/>
      <c r="D52" s="2239"/>
      <c r="E52" s="750" t="s">
        <v>900</v>
      </c>
      <c r="F52" s="2240"/>
      <c r="G52" s="2241"/>
      <c r="H52" s="737"/>
      <c r="I52" s="737"/>
      <c r="J52" s="747"/>
    </row>
    <row r="53" spans="1:11" ht="11.25" customHeight="1" x14ac:dyDescent="0.2">
      <c r="A53" s="751" t="s">
        <v>969</v>
      </c>
      <c r="B53" s="752" t="s">
        <v>1008</v>
      </c>
      <c r="C53" s="747"/>
      <c r="D53" s="738"/>
      <c r="E53" s="750" t="s">
        <v>518</v>
      </c>
      <c r="F53" s="2242"/>
      <c r="G53" s="2243"/>
      <c r="H53" s="737"/>
      <c r="I53" s="737"/>
      <c r="J53" s="747"/>
    </row>
    <row r="54" spans="1:11" ht="11.25" customHeight="1" x14ac:dyDescent="0.2">
      <c r="A54" s="753" t="s">
        <v>970</v>
      </c>
      <c r="B54" s="748" t="s">
        <v>1009</v>
      </c>
      <c r="C54" s="747"/>
      <c r="D54" s="738"/>
      <c r="E54" s="750" t="s">
        <v>519</v>
      </c>
      <c r="F54" s="2242"/>
      <c r="G54" s="224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5" right="0.25" top="0.75" bottom="0.5" header="0.5" footer="0.5"/>
  <pageSetup scale="65" firstPageNumber="24" fitToHeight="0"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2" t="s">
        <v>911</v>
      </c>
      <c r="B1" s="2273"/>
      <c r="C1" s="2273"/>
      <c r="D1" s="2273"/>
      <c r="E1" s="2273"/>
      <c r="F1" s="2273"/>
      <c r="G1" s="227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v>338253</v>
      </c>
      <c r="K3" s="766"/>
    </row>
    <row r="4" spans="1:11" x14ac:dyDescent="0.2">
      <c r="A4" s="2257" t="s">
        <v>387</v>
      </c>
      <c r="B4" s="2258"/>
      <c r="C4" s="2258"/>
      <c r="D4" s="2258"/>
      <c r="E4" s="2239"/>
      <c r="F4" s="767"/>
      <c r="G4" s="768"/>
      <c r="H4" s="769"/>
      <c r="I4" s="768"/>
      <c r="J4" s="770"/>
      <c r="K4" s="770"/>
    </row>
    <row r="5" spans="1:11" x14ac:dyDescent="0.2">
      <c r="A5" s="2275" t="s">
        <v>1129</v>
      </c>
      <c r="B5" s="2248"/>
      <c r="C5" s="2248"/>
      <c r="D5" s="2248"/>
      <c r="E5" s="2276"/>
      <c r="F5" s="771" t="s">
        <v>903</v>
      </c>
      <c r="G5" s="772"/>
      <c r="H5" s="765">
        <v>13964</v>
      </c>
      <c r="I5" s="773"/>
      <c r="J5" s="774"/>
      <c r="K5" s="774"/>
    </row>
    <row r="6" spans="1:11" x14ac:dyDescent="0.2">
      <c r="A6" s="775" t="s">
        <v>744</v>
      </c>
      <c r="B6" s="776"/>
      <c r="C6" s="776"/>
      <c r="D6" s="776"/>
      <c r="E6" s="777"/>
      <c r="F6" s="778" t="s">
        <v>904</v>
      </c>
      <c r="G6" s="765"/>
      <c r="H6" s="765"/>
      <c r="I6" s="765"/>
      <c r="J6" s="766">
        <v>554</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118633</v>
      </c>
      <c r="K8" s="770"/>
    </row>
    <row r="9" spans="1:11" x14ac:dyDescent="0.2">
      <c r="A9" s="779" t="s">
        <v>140</v>
      </c>
      <c r="B9" s="780"/>
      <c r="C9" s="780"/>
      <c r="D9" s="780"/>
      <c r="E9" s="781"/>
      <c r="F9" s="778" t="s">
        <v>908</v>
      </c>
      <c r="G9" s="783"/>
      <c r="H9" s="772"/>
      <c r="I9" s="772"/>
      <c r="J9" s="782"/>
      <c r="K9" s="766">
        <v>4006</v>
      </c>
    </row>
    <row r="10" spans="1:11" x14ac:dyDescent="0.2">
      <c r="A10" s="2275" t="s">
        <v>1920</v>
      </c>
      <c r="B10" s="2248"/>
      <c r="C10" s="2248"/>
      <c r="D10" s="2248"/>
      <c r="E10" s="2277"/>
      <c r="F10" s="784" t="s">
        <v>917</v>
      </c>
      <c r="G10" s="783"/>
      <c r="H10" s="785"/>
      <c r="I10" s="765"/>
      <c r="J10" s="766"/>
      <c r="K10" s="766"/>
    </row>
    <row r="11" spans="1:11" x14ac:dyDescent="0.2">
      <c r="A11" s="2275" t="s">
        <v>162</v>
      </c>
      <c r="B11" s="2248"/>
      <c r="C11" s="2248"/>
      <c r="D11" s="2248"/>
      <c r="E11" s="2276"/>
      <c r="F11" s="771" t="s">
        <v>907</v>
      </c>
      <c r="G11" s="772"/>
      <c r="H11" s="765"/>
      <c r="I11" s="765"/>
      <c r="J11" s="766"/>
      <c r="K11" s="774"/>
    </row>
    <row r="12" spans="1:11" ht="13.5" thickBot="1" x14ac:dyDescent="0.25">
      <c r="A12" s="2265" t="s">
        <v>961</v>
      </c>
      <c r="B12" s="2266"/>
      <c r="C12" s="2266"/>
      <c r="D12" s="2266"/>
      <c r="E12" s="2267"/>
      <c r="F12" s="1779"/>
      <c r="G12" s="1780">
        <f>SUM(G5:G11)</f>
        <v>0</v>
      </c>
      <c r="H12" s="1780">
        <f>SUM(H5:H11)</f>
        <v>13964</v>
      </c>
      <c r="I12" s="1780">
        <f>SUM(I5:I11)</f>
        <v>0</v>
      </c>
      <c r="J12" s="1780">
        <f>SUM(J5:J11)</f>
        <v>119187</v>
      </c>
      <c r="K12" s="1780">
        <f>SUM(K5:K11)</f>
        <v>4006</v>
      </c>
    </row>
    <row r="13" spans="1:11" ht="13.5" thickTop="1" x14ac:dyDescent="0.2">
      <c r="A13" s="2259" t="s">
        <v>388</v>
      </c>
      <c r="B13" s="2260"/>
      <c r="C13" s="2260"/>
      <c r="D13" s="2260"/>
      <c r="E13" s="2261"/>
      <c r="F13" s="786"/>
      <c r="G13" s="787"/>
      <c r="H13" s="788"/>
      <c r="I13" s="789"/>
      <c r="J13" s="789"/>
      <c r="K13" s="789"/>
    </row>
    <row r="14" spans="1:11" x14ac:dyDescent="0.2">
      <c r="A14" s="2281" t="s">
        <v>476</v>
      </c>
      <c r="B14" s="2281"/>
      <c r="C14" s="2281"/>
      <c r="D14" s="2281"/>
      <c r="E14" s="2282"/>
      <c r="F14" s="790" t="s">
        <v>909</v>
      </c>
      <c r="G14" s="783"/>
      <c r="H14" s="765">
        <v>13964</v>
      </c>
      <c r="I14" s="772"/>
      <c r="J14" s="774"/>
      <c r="K14" s="766">
        <v>4006</v>
      </c>
    </row>
    <row r="15" spans="1:11" x14ac:dyDescent="0.2">
      <c r="A15" s="2248" t="s">
        <v>4</v>
      </c>
      <c r="B15" s="2248"/>
      <c r="C15" s="2248"/>
      <c r="D15" s="2248"/>
      <c r="E15" s="2276"/>
      <c r="F15" s="790" t="s">
        <v>910</v>
      </c>
      <c r="G15" s="772"/>
      <c r="H15" s="765"/>
      <c r="I15" s="765"/>
      <c r="J15" s="766"/>
      <c r="K15" s="766"/>
    </row>
    <row r="16" spans="1:11" x14ac:dyDescent="0.2">
      <c r="A16" s="2248" t="s">
        <v>316</v>
      </c>
      <c r="B16" s="2248"/>
      <c r="C16" s="2248"/>
      <c r="D16" s="2248"/>
      <c r="E16" s="2276"/>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62" t="s">
        <v>386</v>
      </c>
      <c r="B18" s="2263"/>
      <c r="C18" s="2263"/>
      <c r="D18" s="2263"/>
      <c r="E18" s="2264"/>
      <c r="F18" s="790" t="s">
        <v>989</v>
      </c>
      <c r="G18" s="783"/>
      <c r="H18" s="783"/>
      <c r="I18" s="783"/>
      <c r="J18" s="766"/>
      <c r="K18" s="796"/>
    </row>
    <row r="19" spans="1:11" ht="21.75" customHeight="1" x14ac:dyDescent="0.2">
      <c r="A19" s="2283" t="s">
        <v>1916</v>
      </c>
      <c r="B19" s="2283"/>
      <c r="C19" s="2283"/>
      <c r="D19" s="2283"/>
      <c r="E19" s="2284"/>
      <c r="F19" s="790" t="s">
        <v>990</v>
      </c>
      <c r="G19" s="783"/>
      <c r="H19" s="783"/>
      <c r="I19" s="783"/>
      <c r="J19" s="766"/>
      <c r="K19" s="796"/>
    </row>
    <row r="20" spans="1:11" x14ac:dyDescent="0.2">
      <c r="A20" s="2262" t="s">
        <v>1921</v>
      </c>
      <c r="B20" s="2263"/>
      <c r="C20" s="2263"/>
      <c r="D20" s="2263"/>
      <c r="E20" s="2264"/>
      <c r="F20" s="790" t="s">
        <v>991</v>
      </c>
      <c r="G20" s="783"/>
      <c r="H20" s="783"/>
      <c r="I20" s="783"/>
      <c r="J20" s="766"/>
      <c r="K20" s="796"/>
    </row>
    <row r="21" spans="1:11" ht="13.5" thickBot="1" x14ac:dyDescent="0.25">
      <c r="A21" s="2268" t="s">
        <v>659</v>
      </c>
      <c r="B21" s="2268"/>
      <c r="C21" s="2268"/>
      <c r="D21" s="2268"/>
      <c r="E21" s="2268"/>
      <c r="F21" s="1781"/>
      <c r="G21" s="793"/>
      <c r="H21" s="797"/>
      <c r="I21" s="797"/>
      <c r="J21" s="1782">
        <f>SUM(J18:J20)</f>
        <v>0</v>
      </c>
      <c r="K21" s="794"/>
    </row>
    <row r="22" spans="1:11" ht="13.5" thickTop="1" x14ac:dyDescent="0.2">
      <c r="A22" s="2248" t="s">
        <v>1922</v>
      </c>
      <c r="B22" s="2248"/>
      <c r="C22" s="2248"/>
      <c r="D22" s="2248"/>
      <c r="E22" s="2276"/>
      <c r="F22" s="790" t="s">
        <v>917</v>
      </c>
      <c r="G22" s="783"/>
      <c r="H22" s="765"/>
      <c r="I22" s="765"/>
      <c r="J22" s="798">
        <v>146191</v>
      </c>
      <c r="K22" s="766"/>
    </row>
    <row r="23" spans="1:11" ht="13.5" thickBot="1" x14ac:dyDescent="0.25">
      <c r="A23" s="2269" t="s">
        <v>962</v>
      </c>
      <c r="B23" s="2268"/>
      <c r="C23" s="2268"/>
      <c r="D23" s="2268"/>
      <c r="E23" s="2268"/>
      <c r="F23" s="1783"/>
      <c r="G23" s="1780">
        <f>SUM(G14:G16,G21,G22)</f>
        <v>0</v>
      </c>
      <c r="H23" s="1780">
        <f>SUM(H14:H16,H21,H22)</f>
        <v>13964</v>
      </c>
      <c r="I23" s="1780">
        <f>SUM(I14:I16,I21,I22)</f>
        <v>0</v>
      </c>
      <c r="J23" s="1780">
        <f>SUM(J14:J16,J21,J22)</f>
        <v>146191</v>
      </c>
      <c r="K23" s="1780">
        <f>SUM(K14:K16,K21,K22)</f>
        <v>4006</v>
      </c>
    </row>
    <row r="24" spans="1:11" ht="14.25" thickTop="1" thickBot="1" x14ac:dyDescent="0.25">
      <c r="A24" s="2269" t="s">
        <v>2026</v>
      </c>
      <c r="B24" s="2268"/>
      <c r="C24" s="2268"/>
      <c r="D24" s="2268"/>
      <c r="E24" s="2268"/>
      <c r="F24" s="1784"/>
      <c r="G24" s="1785">
        <f>SUM(G3,G12)-G23</f>
        <v>0</v>
      </c>
      <c r="H24" s="1785">
        <f>SUM(H3,H12)-H23</f>
        <v>0</v>
      </c>
      <c r="I24" s="1785">
        <f>SUM(I3,I12)-I23</f>
        <v>0</v>
      </c>
      <c r="J24" s="1785">
        <f>SUM(J3,J12)-J23</f>
        <v>311249</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311249</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2079</v>
      </c>
      <c r="E30" s="809" t="s">
        <v>792</v>
      </c>
      <c r="F30" s="202"/>
      <c r="G30" s="806"/>
    </row>
    <row r="31" spans="1:11" x14ac:dyDescent="0.2">
      <c r="A31" s="810"/>
      <c r="D31" s="237"/>
      <c r="E31" s="811" t="s">
        <v>793</v>
      </c>
      <c r="F31" s="812" t="s">
        <v>560</v>
      </c>
      <c r="G31" s="765"/>
      <c r="H31" s="2278"/>
      <c r="I31" s="2279"/>
      <c r="J31" s="2279"/>
      <c r="K31" s="2279"/>
    </row>
    <row r="32" spans="1:11" x14ac:dyDescent="0.2">
      <c r="A32" s="810"/>
      <c r="B32" s="237"/>
      <c r="C32" s="237"/>
      <c r="D32" s="237"/>
      <c r="E32" s="806"/>
      <c r="F32" s="812" t="s">
        <v>561</v>
      </c>
      <c r="G32" s="765"/>
      <c r="H32" s="2280"/>
      <c r="I32" s="2279"/>
      <c r="J32" s="2279"/>
      <c r="K32" s="2279"/>
    </row>
    <row r="33" spans="1:11" ht="1.5" customHeight="1" x14ac:dyDescent="0.2">
      <c r="A33" s="813" t="s">
        <v>1231</v>
      </c>
      <c r="B33" s="364"/>
      <c r="C33" s="364"/>
      <c r="D33" s="364"/>
      <c r="E33" s="364"/>
      <c r="F33" s="364"/>
      <c r="G33" s="814"/>
      <c r="H33" s="2280"/>
      <c r="I33" s="2279"/>
      <c r="J33" s="2279"/>
      <c r="K33" s="227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5" right="0.5" top="1" bottom="0.5" header="0.75" footer="0.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&amp;L&amp;8&amp;F&amp;CReference should be made to the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2035</v>
      </c>
      <c r="B1" s="2288"/>
      <c r="C1" s="2289"/>
      <c r="D1" s="827"/>
      <c r="E1" s="828"/>
      <c r="F1" s="828"/>
      <c r="G1" s="829"/>
      <c r="H1" s="830"/>
      <c r="I1" s="831"/>
      <c r="J1" s="2285"/>
      <c r="K1" s="2286"/>
      <c r="L1" s="228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61089</v>
      </c>
      <c r="D5" s="842"/>
      <c r="E5" s="842"/>
      <c r="F5" s="1782">
        <f>(C5+D5)-E5</f>
        <v>61089</v>
      </c>
      <c r="G5" s="838"/>
      <c r="H5" s="843"/>
      <c r="I5" s="843"/>
      <c r="J5" s="843"/>
      <c r="K5" s="794"/>
      <c r="L5" s="1791">
        <f>F5-K5</f>
        <v>61089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2041809</v>
      </c>
      <c r="D8" s="845"/>
      <c r="E8" s="845"/>
      <c r="F8" s="1782">
        <f>(C8+D8)-E8</f>
        <v>2041809</v>
      </c>
      <c r="G8" s="844">
        <v>50</v>
      </c>
      <c r="H8" s="766">
        <v>2030652</v>
      </c>
      <c r="I8" s="766">
        <v>1859</v>
      </c>
      <c r="J8" s="766"/>
      <c r="K8" s="1791">
        <f>(H8+I8)-J8</f>
        <v>2032511</v>
      </c>
      <c r="L8" s="1791">
        <f>F8-K8</f>
        <v>9298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40338</v>
      </c>
      <c r="D10" s="847"/>
      <c r="E10" s="847"/>
      <c r="F10" s="1786">
        <f>(C10+D10)-E10</f>
        <v>40338</v>
      </c>
      <c r="G10" s="844">
        <v>20</v>
      </c>
      <c r="H10" s="848">
        <v>40338</v>
      </c>
      <c r="I10" s="848"/>
      <c r="J10" s="848"/>
      <c r="K10" s="1791">
        <f>(H10+I10)-J10</f>
        <v>40338</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596768</v>
      </c>
      <c r="D12" s="845"/>
      <c r="E12" s="845"/>
      <c r="F12" s="1782">
        <f>(C12+D12)-E12</f>
        <v>596768</v>
      </c>
      <c r="G12" s="844">
        <v>10</v>
      </c>
      <c r="H12" s="766">
        <v>596768</v>
      </c>
      <c r="I12" s="766"/>
      <c r="J12" s="766"/>
      <c r="K12" s="1791">
        <f>(H12+I12)-J12</f>
        <v>596768</v>
      </c>
      <c r="L12" s="1791">
        <f>F12-K12</f>
        <v>0</v>
      </c>
    </row>
    <row r="13" spans="1:14" ht="14.25" thickTop="1" thickBot="1" x14ac:dyDescent="0.25">
      <c r="A13" s="849" t="s">
        <v>1184</v>
      </c>
      <c r="B13" s="841">
        <v>252</v>
      </c>
      <c r="C13" s="845">
        <v>787963</v>
      </c>
      <c r="D13" s="845"/>
      <c r="E13" s="845"/>
      <c r="F13" s="1782">
        <f>(C13+D13)-E13</f>
        <v>787963</v>
      </c>
      <c r="G13" s="844">
        <v>5</v>
      </c>
      <c r="H13" s="766">
        <v>673916</v>
      </c>
      <c r="I13" s="766">
        <v>57025</v>
      </c>
      <c r="J13" s="766"/>
      <c r="K13" s="1791">
        <f>(H13+I13)-J13</f>
        <v>730941</v>
      </c>
      <c r="L13" s="1791">
        <f>F13-K13</f>
        <v>57022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3527967</v>
      </c>
      <c r="D16" s="1782">
        <f>SUM(D3,D5:D6,D8:D10,D12:D15)</f>
        <v>0</v>
      </c>
      <c r="E16" s="1782">
        <f>SUM(E3,E5:E6,E8:E10,E12:E15)</f>
        <v>0</v>
      </c>
      <c r="F16" s="1782">
        <f>SUM(F3,F5:F6,F8:F10,F12:F15)</f>
        <v>3527967</v>
      </c>
      <c r="G16" s="844"/>
      <c r="H16" s="1782">
        <f>SUM(H3,H6,H8:H10,H12:H14,)</f>
        <v>3341674</v>
      </c>
      <c r="I16" s="1782">
        <f>SUM(I3,I6,I8:I10,I12:I14,)</f>
        <v>58884</v>
      </c>
      <c r="J16" s="1782">
        <f>SUM(J3,J6,J8:J10,J12:J14,)</f>
        <v>0</v>
      </c>
      <c r="K16" s="1782">
        <f>(H16+I16)-J16</f>
        <v>3400558</v>
      </c>
      <c r="L16" s="1782">
        <f>F16-K16</f>
        <v>127409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58884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orizontalCentered="1" headings="1"/>
  <pageMargins left="0.5" right="0.5" top="1.25" bottom="0.5" header="0.75" footer="0.5"/>
  <pageSetup scale="75" firstPageNumber="26" orientation="landscape" useFirstPageNumber="1" r:id="rId1"/>
  <headerFooter alignWithMargins="0">
    <oddHeader>&amp;L&amp;8Page &amp;P&amp;C &amp;R&amp;8Page &amp;P</oddHeader>
    <oddFooter>&amp;L&amp;8&amp;F&amp;CReference should be made to the accountant's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3" t="s">
        <v>1699</v>
      </c>
      <c r="B1" s="2294"/>
      <c r="C1" s="2294"/>
      <c r="D1" s="2294"/>
      <c r="E1" s="2294"/>
      <c r="F1" s="2295"/>
      <c r="G1" s="856"/>
    </row>
    <row r="2" spans="1:7" ht="15" customHeight="1" thickBot="1" x14ac:dyDescent="0.25">
      <c r="A2" s="2296" t="s">
        <v>498</v>
      </c>
      <c r="B2" s="2297"/>
      <c r="C2" s="2297"/>
      <c r="D2" s="2297"/>
      <c r="E2" s="2297"/>
      <c r="F2" s="229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2008614</v>
      </c>
      <c r="G8" s="866"/>
    </row>
    <row r="9" spans="1:7" x14ac:dyDescent="0.2">
      <c r="A9" s="870" t="s">
        <v>480</v>
      </c>
      <c r="B9" s="871" t="s">
        <v>1989</v>
      </c>
      <c r="C9" s="872"/>
      <c r="D9" s="870" t="s">
        <v>522</v>
      </c>
      <c r="E9" s="869"/>
      <c r="F9" s="1935">
        <f>'Expenditures 15-22'!K151</f>
        <v>274046</v>
      </c>
      <c r="G9" s="873"/>
    </row>
    <row r="10" spans="1:7" x14ac:dyDescent="0.2">
      <c r="A10" s="870" t="s">
        <v>520</v>
      </c>
      <c r="B10" s="871" t="s">
        <v>1990</v>
      </c>
      <c r="C10" s="872"/>
      <c r="D10" s="870" t="s">
        <v>522</v>
      </c>
      <c r="E10" s="869"/>
      <c r="F10" s="1935">
        <f>'Expenditures 15-22'!K174</f>
        <v>60657</v>
      </c>
      <c r="G10" s="873"/>
    </row>
    <row r="11" spans="1:7" x14ac:dyDescent="0.2">
      <c r="A11" s="870" t="s">
        <v>481</v>
      </c>
      <c r="B11" s="871" t="s">
        <v>1991</v>
      </c>
      <c r="C11" s="872"/>
      <c r="D11" s="870" t="s">
        <v>522</v>
      </c>
      <c r="E11" s="869"/>
      <c r="F11" s="1935">
        <f>'Expenditures 15-22'!K210</f>
        <v>134980</v>
      </c>
      <c r="G11" s="873"/>
    </row>
    <row r="12" spans="1:7" x14ac:dyDescent="0.2">
      <c r="A12" s="870" t="s">
        <v>482</v>
      </c>
      <c r="B12" s="871" t="s">
        <v>1992</v>
      </c>
      <c r="C12" s="872"/>
      <c r="D12" s="870" t="s">
        <v>522</v>
      </c>
      <c r="E12" s="869"/>
      <c r="F12" s="1935">
        <f>'Expenditures 15-22'!K295</f>
        <v>62407</v>
      </c>
      <c r="G12" s="873"/>
    </row>
    <row r="13" spans="1:7" x14ac:dyDescent="0.2">
      <c r="A13" s="870" t="s">
        <v>108</v>
      </c>
      <c r="B13" s="871" t="s">
        <v>1993</v>
      </c>
      <c r="C13" s="872"/>
      <c r="D13" s="870" t="s">
        <v>522</v>
      </c>
      <c r="E13" s="869"/>
      <c r="F13" s="1935">
        <f>'Expenditures 15-22'!K342</f>
        <v>35613</v>
      </c>
      <c r="G13" s="874"/>
    </row>
    <row r="14" spans="1:7" ht="12" customHeight="1" thickBot="1" x14ac:dyDescent="0.25">
      <c r="A14" s="1792"/>
      <c r="B14" s="1793"/>
      <c r="C14" s="1794"/>
      <c r="D14" s="1795" t="s">
        <v>522</v>
      </c>
      <c r="E14" s="1796" t="s">
        <v>1015</v>
      </c>
      <c r="F14" s="1797">
        <f>SUM(F8:F13)</f>
        <v>2576317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62473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46318</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15188</v>
      </c>
      <c r="G52" s="866"/>
    </row>
    <row r="53" spans="1:7" x14ac:dyDescent="0.2">
      <c r="A53" s="870" t="s">
        <v>479</v>
      </c>
      <c r="B53" s="870" t="s">
        <v>1551</v>
      </c>
      <c r="C53" s="890">
        <f>'Expenditures 15-22'!B102</f>
        <v>4000</v>
      </c>
      <c r="D53" s="889" t="str">
        <f>'Expenditures 15-22'!A102</f>
        <v>Total Payments to Other Govt Units</v>
      </c>
      <c r="E53" s="869"/>
      <c r="F53" s="1939">
        <f>'Expenditures 15-22'!K102</f>
        <v>304596</v>
      </c>
      <c r="G53" s="866"/>
    </row>
    <row r="54" spans="1:7" x14ac:dyDescent="0.2">
      <c r="A54" s="870" t="s">
        <v>479</v>
      </c>
      <c r="B54" s="870" t="s">
        <v>1552</v>
      </c>
      <c r="C54" s="890" t="s">
        <v>1039</v>
      </c>
      <c r="D54" s="886" t="s">
        <v>1157</v>
      </c>
      <c r="E54" s="869"/>
      <c r="F54" s="1939">
        <f>'Expenditures 15-22'!G114</f>
        <v>70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11333</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46000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1876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487854</v>
      </c>
      <c r="G76" s="866"/>
    </row>
    <row r="77" spans="1:8" s="894" customFormat="1" ht="12" customHeight="1" thickTop="1" thickBot="1" x14ac:dyDescent="0.25">
      <c r="A77" s="1801"/>
      <c r="B77" s="1798"/>
      <c r="C77" s="1794"/>
      <c r="D77" s="1799" t="s">
        <v>2012</v>
      </c>
      <c r="E77" s="1796"/>
      <c r="F77" s="1802">
        <f>(F14-F76)</f>
        <v>2088463</v>
      </c>
      <c r="G77" s="870"/>
    </row>
    <row r="78" spans="1:8" s="894" customFormat="1" ht="12" customHeight="1" thickTop="1" x14ac:dyDescent="0.2">
      <c r="A78" s="1803"/>
      <c r="B78" s="1798"/>
      <c r="C78" s="1794"/>
      <c r="D78" s="1799" t="s">
        <v>2059</v>
      </c>
      <c r="E78" s="1796"/>
      <c r="F78" s="899">
        <v>231.47</v>
      </c>
      <c r="G78" s="900"/>
      <c r="H78" s="870"/>
    </row>
    <row r="79" spans="1:8" s="894" customFormat="1" ht="12" customHeight="1" thickBot="1" x14ac:dyDescent="0.25">
      <c r="A79" s="1804"/>
      <c r="B79" s="1798"/>
      <c r="C79" s="1794"/>
      <c r="D79" s="1799" t="s">
        <v>2013</v>
      </c>
      <c r="E79" s="1796" t="s">
        <v>1015</v>
      </c>
      <c r="F79" s="1805">
        <f>IF(F78&gt;0,F77/F78," Complete Line 78")</f>
        <v>9022.6076813409945</v>
      </c>
      <c r="G79" s="870"/>
    </row>
    <row r="80" spans="1:8" s="894" customFormat="1" ht="8.25" customHeight="1" thickTop="1" x14ac:dyDescent="0.2">
      <c r="A80" s="901"/>
      <c r="B80" s="870"/>
      <c r="C80" s="872"/>
      <c r="D80" s="902"/>
      <c r="E80" s="869"/>
      <c r="F80" s="903"/>
      <c r="G80" s="870"/>
    </row>
    <row r="81" spans="1:7" s="894" customFormat="1" ht="12" thickBot="1" x14ac:dyDescent="0.25">
      <c r="A81" s="2290" t="s">
        <v>1167</v>
      </c>
      <c r="B81" s="2291"/>
      <c r="C81" s="2291"/>
      <c r="D81" s="2291"/>
      <c r="E81" s="2291"/>
      <c r="F81" s="229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32603</v>
      </c>
      <c r="G94" s="913"/>
    </row>
    <row r="95" spans="1:7" x14ac:dyDescent="0.2">
      <c r="A95" s="909" t="s">
        <v>142</v>
      </c>
      <c r="B95" s="909" t="s">
        <v>177</v>
      </c>
      <c r="C95" s="911">
        <v>1700</v>
      </c>
      <c r="D95" s="919" t="str">
        <f>'Revenues 9-14'!A82</f>
        <v>Total District/School Activity Income</v>
      </c>
      <c r="E95" s="907"/>
      <c r="F95" s="1811">
        <f>SUM('Revenues 9-14'!C82,'Revenues 9-14'!D82)</f>
        <v>17082</v>
      </c>
      <c r="G95" s="913"/>
    </row>
    <row r="96" spans="1:7" x14ac:dyDescent="0.2">
      <c r="A96" s="909" t="s">
        <v>479</v>
      </c>
      <c r="B96" s="909" t="s">
        <v>178</v>
      </c>
      <c r="C96" s="911">
        <f>'Revenues 9-14'!B84</f>
        <v>1811</v>
      </c>
      <c r="D96" s="912" t="str">
        <f>'Revenues 9-14'!A84</f>
        <v>Rentals - Regular Textbooks</v>
      </c>
      <c r="E96" s="907"/>
      <c r="F96" s="1811">
        <f>'Revenues 9-14'!C84</f>
        <v>10546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15600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750</v>
      </c>
      <c r="G104" s="913"/>
    </row>
    <row r="105" spans="1:7" x14ac:dyDescent="0.2">
      <c r="A105" s="909" t="s">
        <v>524</v>
      </c>
      <c r="B105" s="909" t="s">
        <v>842</v>
      </c>
      <c r="C105" s="914">
        <v>3100</v>
      </c>
      <c r="D105" s="920" t="str">
        <f>'Revenues 9-14'!A131</f>
        <v>Total Special Education</v>
      </c>
      <c r="E105" s="907"/>
      <c r="F105" s="1811">
        <f>SUM('Revenues 9-14'!C131:D131,'Revenues 9-14'!F131)</f>
        <v>49728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939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965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4006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95142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56400</v>
      </c>
      <c r="G128" s="931"/>
    </row>
    <row r="129" spans="1:7" x14ac:dyDescent="0.2">
      <c r="A129" s="928" t="s">
        <v>685</v>
      </c>
      <c r="B129" s="928" t="s">
        <v>803</v>
      </c>
      <c r="C129" s="933">
        <v>4200</v>
      </c>
      <c r="D129" s="930" t="str">
        <f>'Revenues 9-14'!A201</f>
        <v>Total Food Service</v>
      </c>
      <c r="E129" s="907"/>
      <c r="F129" s="1811">
        <f>SUM('Revenues 9-14'!C201,'Revenues 9-14'!G201)</f>
        <v>73356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52672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34120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15567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1496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461722</v>
      </c>
    </row>
    <row r="179" spans="1:7" ht="12" customHeight="1" x14ac:dyDescent="0.2">
      <c r="A179" s="1792"/>
      <c r="B179" s="1806"/>
      <c r="C179" s="1807"/>
      <c r="D179" s="1808" t="s">
        <v>2015</v>
      </c>
      <c r="E179" s="1809"/>
      <c r="F179" s="1811">
        <f>'PCTC-OEPP 27-28'!F77-F178</f>
        <v>1626741</v>
      </c>
    </row>
    <row r="180" spans="1:7" ht="12" customHeight="1" x14ac:dyDescent="0.2">
      <c r="A180" s="1792"/>
      <c r="B180" s="1806"/>
      <c r="C180" s="1807"/>
      <c r="D180" s="1808" t="s">
        <v>1924</v>
      </c>
      <c r="E180" s="1809"/>
      <c r="F180" s="1811">
        <f>'Cap Outlay Deprec 26'!I18</f>
        <v>58884</v>
      </c>
    </row>
    <row r="181" spans="1:7" ht="12" customHeight="1" x14ac:dyDescent="0.2">
      <c r="A181" s="1792"/>
      <c r="B181" s="1806"/>
      <c r="C181" s="1807"/>
      <c r="D181" s="1808" t="s">
        <v>2016</v>
      </c>
      <c r="E181" s="1809"/>
      <c r="F181" s="1811">
        <f>F179+F180</f>
        <v>1685625</v>
      </c>
    </row>
    <row r="182" spans="1:7" ht="12" customHeight="1" x14ac:dyDescent="0.2">
      <c r="A182" s="1792"/>
      <c r="B182" s="1812"/>
      <c r="C182" s="1807"/>
      <c r="D182" s="1808" t="str">
        <f>D78</f>
        <v>9 Month ADA from District Average Daily Attendance/Prior General State Aid Inquiry 2017-2018</v>
      </c>
      <c r="E182" s="1809"/>
      <c r="F182" s="1813">
        <f>'PCTC-OEPP 27-28'!F78</f>
        <v>231.47</v>
      </c>
      <c r="G182" s="931"/>
    </row>
    <row r="183" spans="1:7" ht="12" customHeight="1" thickBot="1" x14ac:dyDescent="0.25">
      <c r="A183" s="1792"/>
      <c r="B183" s="1812"/>
      <c r="C183" s="1807"/>
      <c r="D183" s="1808" t="s">
        <v>2017</v>
      </c>
      <c r="E183" s="1809" t="s">
        <v>1626</v>
      </c>
      <c r="F183" s="1814">
        <f>F181/F182</f>
        <v>7282.2612001555281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0.5" right="0.5" top="0.75" bottom="0.5" header="0.5" footer="0.5"/>
  <pageSetup scale="65" firstPageNumber="27" orientation="portrait" useFirstPageNumber="1" r:id="rId2"/>
  <headerFooter alignWithMargins="0">
    <oddHeader>&amp;L&amp;8Page &amp;P&amp;C &amp;R&amp;8Page &amp;P</oddHeader>
    <oddFooter>&amp;L&amp;8&amp;F&amp;CReference should be made to the accountant's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selection activeCell="A41" sqref="A4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4" t="s">
        <v>1925</v>
      </c>
      <c r="B4" s="2305"/>
      <c r="C4" s="2305"/>
      <c r="D4" s="2305"/>
      <c r="E4" s="2305"/>
      <c r="F4" s="2305"/>
      <c r="G4" s="2306"/>
    </row>
    <row r="5" spans="1:7" x14ac:dyDescent="0.25">
      <c r="A5" s="2307"/>
      <c r="B5" s="2308"/>
      <c r="C5" s="2308"/>
      <c r="D5" s="2308"/>
      <c r="E5" s="2308"/>
      <c r="F5" s="2308"/>
      <c r="G5" s="2309"/>
    </row>
    <row r="6" spans="1:7" ht="18.75" x14ac:dyDescent="0.25">
      <c r="A6" s="1556" t="s">
        <v>1926</v>
      </c>
      <c r="B6" s="1557"/>
      <c r="C6" s="1557"/>
      <c r="D6" s="1557"/>
      <c r="E6" s="1557"/>
      <c r="F6" s="1557"/>
      <c r="G6" s="1558"/>
    </row>
    <row r="7" spans="1:7" ht="30.75" customHeight="1" x14ac:dyDescent="0.25">
      <c r="A7" s="2310" t="s">
        <v>2075</v>
      </c>
      <c r="B7" s="2311"/>
      <c r="C7" s="2311"/>
      <c r="D7" s="2311"/>
      <c r="E7" s="2311"/>
      <c r="F7" s="2311"/>
      <c r="G7" s="2312"/>
    </row>
    <row r="8" spans="1:7" ht="15.75" customHeight="1" x14ac:dyDescent="0.25">
      <c r="A8" s="2313" t="s">
        <v>2024</v>
      </c>
      <c r="B8" s="2314"/>
      <c r="C8" s="2314"/>
      <c r="D8" s="2314"/>
      <c r="E8" s="2314"/>
      <c r="F8" s="2314"/>
      <c r="G8" s="2315"/>
    </row>
    <row r="9" spans="1:7" ht="35.25" customHeight="1" x14ac:dyDescent="0.25">
      <c r="A9" s="2310" t="s">
        <v>2023</v>
      </c>
      <c r="B9" s="2311"/>
      <c r="C9" s="2311"/>
      <c r="D9" s="2311"/>
      <c r="E9" s="2311"/>
      <c r="F9" s="2311"/>
      <c r="G9" s="2312"/>
    </row>
    <row r="10" spans="1:7" ht="15" customHeight="1" x14ac:dyDescent="0.25">
      <c r="A10" s="1559" t="s">
        <v>1927</v>
      </c>
      <c r="B10" s="1560"/>
      <c r="C10" s="1560"/>
      <c r="D10" s="1560"/>
      <c r="E10" s="1560"/>
      <c r="F10" s="1560"/>
      <c r="G10" s="1561"/>
    </row>
    <row r="11" spans="1:7" ht="17.25" customHeight="1" x14ac:dyDescent="0.25">
      <c r="A11" s="2310" t="s">
        <v>1941</v>
      </c>
      <c r="B11" s="2311"/>
      <c r="C11" s="2311"/>
      <c r="D11" s="2311"/>
      <c r="E11" s="2311"/>
      <c r="F11" s="2311"/>
      <c r="G11" s="2312"/>
    </row>
    <row r="12" spans="1:7" ht="15" customHeight="1" x14ac:dyDescent="0.25">
      <c r="A12" s="1559" t="s">
        <v>1932</v>
      </c>
      <c r="B12" s="1560"/>
      <c r="C12" s="1560"/>
      <c r="D12" s="1560"/>
      <c r="E12" s="1560"/>
      <c r="F12" s="1560"/>
      <c r="G12" s="1561"/>
    </row>
    <row r="13" spans="1:7" ht="32.25" customHeight="1" x14ac:dyDescent="0.25">
      <c r="A13" s="2301" t="s">
        <v>1933</v>
      </c>
      <c r="B13" s="2302"/>
      <c r="C13" s="2302"/>
      <c r="D13" s="2302"/>
      <c r="E13" s="2302"/>
      <c r="F13" s="2302"/>
      <c r="G13" s="2303"/>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2100</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0.5" bottom="0.5" header="0.5" footer="0.5"/>
  <pageSetup scale="75" firstPageNumber="30" fitToHeight="0" orientation="landscape" r:id="rId1"/>
  <headerFooter>
    <oddFooter>&amp;L&amp;F&amp;CReference should be made to the accountant's report regarding this information.</oddFooter>
  </headerFooter>
  <rowBreaks count="1" manualBreakCount="1">
    <brk id="4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6" t="s">
        <v>1778</v>
      </c>
      <c r="B5" s="2317"/>
      <c r="C5" s="2317"/>
      <c r="D5" s="2317"/>
      <c r="E5" s="2317"/>
      <c r="F5" s="2317"/>
      <c r="G5" s="231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63030</v>
      </c>
      <c r="F10" s="975"/>
      <c r="G10" s="976"/>
      <c r="H10" s="162"/>
      <c r="I10" s="162"/>
    </row>
    <row r="11" spans="1:9" s="669" customFormat="1" ht="22.5" customHeight="1" x14ac:dyDescent="0.2">
      <c r="A11" s="2321" t="s">
        <v>1945</v>
      </c>
      <c r="B11" s="2322"/>
      <c r="C11" s="2322"/>
      <c r="D11" s="2323"/>
      <c r="E11" s="978">
        <v>9968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1089713</v>
      </c>
      <c r="F19" s="1822"/>
      <c r="G19" s="1824">
        <f>'Expenditures 15-22'!K33-SUM('Expenditures 15-22'!G33,'Expenditures 15-22'!I33)+'Expenditures 15-22'!D229</f>
        <v>1089713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33140</v>
      </c>
      <c r="F21" s="1825"/>
      <c r="G21" s="1828">
        <f>'Expenditures 15-22'!K42-SUM('Expenditures 15-22'!G42,'Expenditures 15-22'!I42)+'Expenditures 15-22'!K120-SUM('Expenditures 15-22'!G120,'Expenditures 15-22'!I120)+'Expenditures 15-22'!K180-SUM('Expenditures 15-22'!G180,'Expenditures 15-22'!I180)+'Expenditures 15-22'!D238</f>
        <v>33140</v>
      </c>
      <c r="H21" s="988"/>
      <c r="I21" s="162"/>
    </row>
    <row r="22" spans="1:9" s="669" customFormat="1" ht="12" customHeight="1" x14ac:dyDescent="0.2">
      <c r="A22" s="995" t="s">
        <v>585</v>
      </c>
      <c r="B22" s="996"/>
      <c r="C22" s="994">
        <v>2200</v>
      </c>
      <c r="D22" s="1825"/>
      <c r="E22" s="1827">
        <f>'Expenditures 15-22'!K47-SUM('Expenditures 15-22'!G47,'Expenditures 15-22'!I47)+'Expenditures 15-22'!D243</f>
        <v>36336</v>
      </c>
      <c r="F22" s="1825"/>
      <c r="G22" s="1828">
        <f>'Expenditures 15-22'!K47-SUM('Expenditures 15-22'!G47,'Expenditures 15-22'!I47)+'Expenditures 15-22'!D243</f>
        <v>36336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218354</v>
      </c>
      <c r="F23" s="1825"/>
      <c r="G23" s="1827">
        <f>'Expenditures 15-22'!K53-SUM('Expenditures 15-22'!G53,'Expenditures 15-22'!I53)+'Expenditures 15-22'!D257+'Expenditures 15-22'!K330-SUM('Expenditures 15-22'!G330,'Expenditures 15-22'!I330)</f>
        <v>218354</v>
      </c>
      <c r="H23" s="988"/>
      <c r="I23" s="162"/>
    </row>
    <row r="24" spans="1:9" s="669" customFormat="1" ht="12" customHeight="1" x14ac:dyDescent="0.2">
      <c r="A24" s="995" t="s">
        <v>587</v>
      </c>
      <c r="B24" s="996"/>
      <c r="C24" s="994">
        <v>2400</v>
      </c>
      <c r="D24" s="1825"/>
      <c r="E24" s="1827">
        <f>'Expenditures 15-22'!K57-SUM('Expenditures 15-22'!G57,'Expenditures 15-22'!I57)+'Expenditures 15-22'!D261</f>
        <v>124349</v>
      </c>
      <c r="F24" s="1825"/>
      <c r="G24" s="1828">
        <f>'Expenditures 15-22'!K57-SUM('Expenditures 15-22'!G57,'Expenditures 15-22'!I57)+'Expenditures 15-22'!D261</f>
        <v>124349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56450</v>
      </c>
      <c r="E27" s="1827">
        <f>E8</f>
        <v>0</v>
      </c>
      <c r="F27" s="1827">
        <f>'Expenditures 15-22'!K60-SUM('Expenditures 15-22'!G60,'Expenditures 15-22'!I60)+'Expenditures 15-22'!D264-E8</f>
        <v>56450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283484</v>
      </c>
      <c r="F28" s="1829">
        <f>'Expenditures 15-22'!K61-SUM('Expenditures 15-22'!G61,'Expenditures 15-22'!I61)+'Expenditures 15-22'!K124-SUM('Expenditures 15-22'!G124,'Expenditures 15-22'!I124)+'Expenditures 15-22'!D266-E9</f>
        <v>283484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145254</v>
      </c>
      <c r="F29" s="1825"/>
      <c r="G29" s="1828">
        <f>'Expenditures 15-22'!K62-SUM('Expenditures 15-22'!G62,'Expenditures 15-22'!I62)+'Expenditures 15-22'!K125-SUM('Expenditures 15-22'!G125,'Expenditures 15-22'!I125)+'Expenditures 15-22'!K182-SUM('Expenditures 15-22'!G182,'Expenditures 15-22'!I182)+'Expenditures 15-22'!D267</f>
        <v>145254</v>
      </c>
      <c r="H29" s="986"/>
    </row>
    <row r="30" spans="1:9" ht="12" customHeight="1" x14ac:dyDescent="0.2">
      <c r="A30" s="995" t="s">
        <v>102</v>
      </c>
      <c r="B30" s="998"/>
      <c r="C30" s="994">
        <v>2560</v>
      </c>
      <c r="D30" s="1825"/>
      <c r="E30" s="1827">
        <f>'Expenditures 15-22'!K63-SUM('Expenditures 15-22'!G63,'Expenditures 15-22'!I63)+'Expenditures 15-22'!D268-E10</f>
        <v>91714</v>
      </c>
      <c r="F30" s="1825"/>
      <c r="G30" s="1827">
        <f>'Expenditures 15-22'!K63-SUM('Expenditures 15-22'!G63,'Expenditures 15-22'!I63)+'Expenditures 15-22'!D268-E10</f>
        <v>91714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42649</v>
      </c>
      <c r="E37" s="1827">
        <f>E14</f>
        <v>0</v>
      </c>
      <c r="F37" s="1827">
        <f>'Expenditures 15-22'!K71-SUM('Expenditures 15-22'!G71,'Expenditures 15-22'!I71)+'Expenditures 15-22'!D276-E14</f>
        <v>42649</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15188</v>
      </c>
      <c r="F39" s="1825"/>
      <c r="G39" s="1827">
        <f>'Expenditures 15-22'!K75-SUM('Expenditures 15-22'!G75,'Expenditures 15-22'!I75)+'Expenditures 15-22'!K130-SUM('Expenditures 15-22'!G130,'Expenditures 15-22'!I130)+'Expenditures 15-22'!K185-SUM('Expenditures 15-22'!G185,'Expenditures 15-22'!I185)+'Expenditures 15-22'!D280</f>
        <v>15188</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99099</v>
      </c>
      <c r="E41" s="1829">
        <f>SUM(E19:E40)</f>
        <v>2037532</v>
      </c>
      <c r="F41" s="1829">
        <f>SUM(F19:F39)</f>
        <v>382583</v>
      </c>
      <c r="G41" s="1829">
        <f>SUM(G19:G40)</f>
        <v>1754048</v>
      </c>
    </row>
    <row r="42" spans="1:7" x14ac:dyDescent="0.2">
      <c r="A42" s="988"/>
      <c r="B42" s="162"/>
      <c r="C42" s="1002"/>
      <c r="D42" s="2319" t="s">
        <v>543</v>
      </c>
      <c r="E42" s="2320"/>
      <c r="F42" s="1003" t="s">
        <v>544</v>
      </c>
      <c r="G42" s="1004"/>
    </row>
    <row r="43" spans="1:7" ht="12" customHeight="1" x14ac:dyDescent="0.2">
      <c r="A43" s="988"/>
      <c r="B43" s="162"/>
      <c r="C43" s="1002"/>
      <c r="D43" s="1830" t="s">
        <v>493</v>
      </c>
      <c r="E43" s="1831">
        <f>D41</f>
        <v>99099</v>
      </c>
      <c r="F43" s="1830" t="s">
        <v>495</v>
      </c>
      <c r="G43" s="1831">
        <f>F41</f>
        <v>382583</v>
      </c>
    </row>
    <row r="44" spans="1:7" ht="12" customHeight="1" x14ac:dyDescent="0.2">
      <c r="A44" s="988"/>
      <c r="B44" s="162"/>
      <c r="C44" s="1002"/>
      <c r="D44" s="1830" t="s">
        <v>494</v>
      </c>
      <c r="E44" s="1831">
        <f>E41</f>
        <v>2037532</v>
      </c>
      <c r="F44" s="1830" t="s">
        <v>494</v>
      </c>
      <c r="G44" s="1831">
        <f>G41</f>
        <v>1754048</v>
      </c>
    </row>
    <row r="45" spans="1:7" ht="12" customHeight="1" x14ac:dyDescent="0.2">
      <c r="A45" s="988"/>
      <c r="B45" s="162"/>
      <c r="C45" s="162"/>
      <c r="D45" s="1832" t="s">
        <v>1063</v>
      </c>
      <c r="E45" s="1833">
        <f>(E43/E44)</f>
        <v>4.863678214624359E-2</v>
      </c>
      <c r="F45" s="1832" t="s">
        <v>1063</v>
      </c>
      <c r="G45" s="1833">
        <f>(G43/G44)</f>
        <v>0.2181143275440581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5" right="0.5" top="1.25" bottom="0.5" header="0.75" footer="0.5"/>
  <pageSetup scale="75" firstPageNumber="30" orientation="landscape" useFirstPageNumber="1" r:id="rId1"/>
  <headerFooter alignWithMargins="0">
    <oddHeader>&amp;L&amp;8Page &amp;P&amp;C&amp;"Arial,Bold"
ESTIMATED INDIRECT COST DATA&amp;R&amp;8Page &amp;P</oddHeader>
    <oddFooter>&amp;L&amp;8&amp;F&amp;CReference should be made to the accountant's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10" width="3" style="1903" bestFit="1" customWidth="1"/>
    <col min="11" max="11" width="9" style="1903" customWidth="1"/>
    <col min="12" max="16384" width="9.140625" style="1872"/>
  </cols>
  <sheetData>
    <row r="1" spans="1:10" x14ac:dyDescent="0.2">
      <c r="A1" s="2327" t="s">
        <v>1446</v>
      </c>
      <c r="B1" s="2327"/>
      <c r="C1" s="2327"/>
      <c r="D1" s="2327"/>
      <c r="E1" s="2327"/>
      <c r="F1" s="2327"/>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8" t="s">
        <v>1627</v>
      </c>
      <c r="B5" s="2329"/>
      <c r="C5" s="2330"/>
      <c r="D5" s="2330"/>
      <c r="E5" s="2330"/>
      <c r="F5" s="2330"/>
    </row>
    <row r="6" spans="1:10" ht="12" customHeight="1" x14ac:dyDescent="0.25">
      <c r="A6" s="1875"/>
      <c r="B6" s="1876"/>
      <c r="C6" s="2331" t="str">
        <f>COVER!A17</f>
        <v>Edinburg CUSD 4</v>
      </c>
      <c r="D6" s="2331"/>
      <c r="E6" s="2331"/>
      <c r="F6" s="1877"/>
    </row>
    <row r="7" spans="1:10" ht="11.25" customHeight="1" thickBot="1" x14ac:dyDescent="0.3">
      <c r="A7" s="1875"/>
      <c r="B7" s="1876"/>
      <c r="C7" s="2332">
        <f>COVER!A13</f>
        <v>3011004026</v>
      </c>
      <c r="D7" s="2332"/>
      <c r="E7" s="2332"/>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2079</v>
      </c>
      <c r="D13" s="1890" t="s">
        <v>2079</v>
      </c>
      <c r="E13" s="1893" t="s">
        <v>2079</v>
      </c>
      <c r="F13" s="1892" t="s">
        <v>2101</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2079</v>
      </c>
      <c r="D26" s="1890" t="s">
        <v>2079</v>
      </c>
      <c r="E26" s="1893" t="s">
        <v>2079</v>
      </c>
      <c r="F26" s="1892" t="s">
        <v>2082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2079</v>
      </c>
      <c r="D31" s="1890" t="s">
        <v>2079</v>
      </c>
      <c r="E31" s="1893" t="s">
        <v>2079</v>
      </c>
      <c r="F31" s="1892" t="s">
        <v>2081</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2079</v>
      </c>
      <c r="D33" s="1890" t="s">
        <v>2079</v>
      </c>
      <c r="E33" s="1893" t="s">
        <v>2079</v>
      </c>
      <c r="F33" s="1892" t="s">
        <v>2080</v>
      </c>
      <c r="H33" s="1903">
        <f t="shared" si="0"/>
        <v>5</v>
      </c>
      <c r="I33" s="1903">
        <f t="shared" si="1"/>
        <v>5</v>
      </c>
      <c r="J33" s="1903">
        <f t="shared" si="2"/>
        <v>5</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33"/>
      <c r="D35" s="2333"/>
      <c r="E35" s="2333"/>
      <c r="F35" s="2334"/>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38"/>
      <c r="B38" s="2339"/>
      <c r="C38" s="2339"/>
      <c r="D38" s="2339"/>
      <c r="E38" s="2339"/>
      <c r="F38" s="2340"/>
    </row>
    <row r="39" spans="1:11" ht="4.5" hidden="1" customHeight="1" x14ac:dyDescent="0.2">
      <c r="A39" s="1898"/>
      <c r="B39" s="1898"/>
      <c r="C39" s="1898"/>
      <c r="D39" s="1898"/>
      <c r="E39" s="1898"/>
      <c r="F39" s="1898"/>
    </row>
    <row r="40" spans="1:11" s="1895" customFormat="1" ht="12" customHeight="1" x14ac:dyDescent="0.25">
      <c r="A40" s="1899" t="s">
        <v>1458</v>
      </c>
      <c r="B40" s="1900"/>
      <c r="C40" s="2341"/>
      <c r="D40" s="2341"/>
      <c r="E40" s="2341"/>
      <c r="F40" s="2342"/>
      <c r="H40" s="1904"/>
      <c r="I40" s="1904"/>
      <c r="J40" s="1904"/>
      <c r="K40" s="1904"/>
    </row>
    <row r="41" spans="1:11" s="1895" customFormat="1" ht="12" customHeight="1" x14ac:dyDescent="0.25">
      <c r="A41" s="2343"/>
      <c r="B41" s="2344"/>
      <c r="C41" s="2344"/>
      <c r="D41" s="2344"/>
      <c r="E41" s="2344"/>
      <c r="F41" s="2345"/>
      <c r="H41" s="1904"/>
      <c r="I41" s="1904"/>
      <c r="J41" s="1904"/>
      <c r="K41" s="1904"/>
    </row>
    <row r="42" spans="1:11" s="1895" customFormat="1" ht="12" customHeight="1" x14ac:dyDescent="0.25">
      <c r="A42" s="2343"/>
      <c r="B42" s="2344"/>
      <c r="C42" s="2344"/>
      <c r="D42" s="2344"/>
      <c r="E42" s="2344"/>
      <c r="F42" s="2345"/>
      <c r="H42" s="1904"/>
      <c r="I42" s="1904"/>
      <c r="J42" s="1904"/>
      <c r="K42" s="1904"/>
    </row>
    <row r="43" spans="1:11" s="1895" customFormat="1" ht="15" x14ac:dyDescent="0.25">
      <c r="A43" s="2335"/>
      <c r="B43" s="2336"/>
      <c r="C43" s="2336"/>
      <c r="D43" s="2336"/>
      <c r="E43" s="2336"/>
      <c r="F43" s="2337"/>
      <c r="H43" s="1904"/>
      <c r="I43" s="1904"/>
      <c r="J43" s="1904"/>
      <c r="K43" s="1904"/>
    </row>
    <row r="44" spans="1:11" s="1895" customFormat="1" ht="12" hidden="1" customHeight="1" x14ac:dyDescent="0.25">
      <c r="A44" s="2335"/>
      <c r="B44" s="2336"/>
      <c r="C44" s="2336"/>
      <c r="D44" s="2336"/>
      <c r="E44" s="2336"/>
      <c r="F44" s="233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25" bottom="0.5" header="0.75" footer="0.5"/>
  <pageSetup scale="65" orientation="landscape" r:id="rId1"/>
  <headerFooter>
    <oddFooter>&amp;L&amp;F&amp;CReference should be made to the accountant's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1" t="str">
        <f>COVER!A17</f>
        <v>Edinburg CUSD 4</v>
      </c>
      <c r="J6" s="2352"/>
      <c r="Q6" s="1686"/>
    </row>
    <row r="7" spans="1:17" x14ac:dyDescent="0.2">
      <c r="A7" s="2353" t="s">
        <v>924</v>
      </c>
      <c r="B7" s="2354"/>
      <c r="C7" s="2354"/>
      <c r="D7" s="2354"/>
      <c r="E7" s="2355"/>
      <c r="F7" s="1018"/>
      <c r="G7" s="1010"/>
      <c r="H7" s="1017" t="s">
        <v>390</v>
      </c>
      <c r="I7" s="2356">
        <f>COVER!A13</f>
        <v>3011004026</v>
      </c>
      <c r="J7" s="235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7" t="s">
        <v>502</v>
      </c>
      <c r="B11" s="2358"/>
      <c r="C11" s="235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161444</v>
      </c>
      <c r="F12" s="1040"/>
      <c r="G12" s="1834">
        <f t="shared" ref="G12:G18" si="0">SUM(E12:F12)</f>
        <v>161444</v>
      </c>
      <c r="H12" s="1041">
        <v>140400</v>
      </c>
      <c r="I12" s="1040"/>
      <c r="J12" s="1834">
        <f t="shared" ref="J12:J18" si="1">SUM(H12:I12)</f>
        <v>140400</v>
      </c>
    </row>
    <row r="13" spans="1:17" ht="15" customHeight="1" x14ac:dyDescent="0.2">
      <c r="A13" s="1036">
        <v>2</v>
      </c>
      <c r="B13" s="1037" t="s">
        <v>44</v>
      </c>
      <c r="C13" s="1038"/>
      <c r="D13" s="1039">
        <v>2330</v>
      </c>
      <c r="E13" s="1834">
        <f>'Expenditures 15-22'!K51</f>
        <v>11</v>
      </c>
      <c r="F13" s="1040"/>
      <c r="G13" s="1834">
        <f t="shared" si="0"/>
        <v>11</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0" t="s">
        <v>7</v>
      </c>
      <c r="C18" s="2361"/>
      <c r="D18" s="236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161455</v>
      </c>
      <c r="F19" s="1836">
        <f t="shared" si="2"/>
        <v>0</v>
      </c>
      <c r="G19" s="1836">
        <f t="shared" si="2"/>
        <v>161455</v>
      </c>
      <c r="H19" s="1836">
        <f t="shared" si="2"/>
        <v>140400</v>
      </c>
      <c r="I19" s="1836">
        <f t="shared" si="2"/>
        <v>0</v>
      </c>
      <c r="J19" s="1836">
        <f t="shared" si="2"/>
        <v>140400</v>
      </c>
    </row>
    <row r="20" spans="1:10" ht="13.5" thickTop="1" x14ac:dyDescent="0.2">
      <c r="A20" s="1036">
        <v>9</v>
      </c>
      <c r="B20" s="2363" t="s">
        <v>1703</v>
      </c>
      <c r="C20" s="2363"/>
      <c r="D20" s="2364"/>
      <c r="E20" s="1047"/>
      <c r="F20" s="1047"/>
      <c r="G20" s="1047"/>
      <c r="H20" s="1047"/>
      <c r="I20" s="1047"/>
      <c r="J20" s="1837">
        <f>IF(AND(G19&gt;0,J19&gt;0),(((J19-G19)/G19)),"Enter Budget Data")</f>
        <v>-0.13040785358149329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9"/>
      <c r="D26" s="2369"/>
      <c r="E26" s="1051"/>
      <c r="F26" s="2368">
        <v>43383</v>
      </c>
      <c r="G26" s="2368"/>
    </row>
    <row r="27" spans="1:10" x14ac:dyDescent="0.2">
      <c r="B27" s="1048"/>
      <c r="C27" s="1052" t="s">
        <v>1093</v>
      </c>
      <c r="D27" s="1053"/>
      <c r="E27" s="1054"/>
      <c r="F27" s="2365" t="s">
        <v>1589</v>
      </c>
      <c r="G27" s="2365"/>
    </row>
    <row r="28" spans="1:10" ht="28.5" customHeight="1" x14ac:dyDescent="0.2">
      <c r="B28" s="1048"/>
      <c r="C28" s="2367" t="s">
        <v>2083</v>
      </c>
      <c r="D28" s="2367"/>
      <c r="E28" s="1055"/>
      <c r="F28" s="2367" t="s">
        <v>2084</v>
      </c>
      <c r="G28" s="2367"/>
    </row>
    <row r="29" spans="1:10" x14ac:dyDescent="0.2">
      <c r="B29" s="1048"/>
      <c r="C29" s="1056" t="s">
        <v>1642</v>
      </c>
      <c r="E29" s="1057"/>
      <c r="F29" s="2366" t="s">
        <v>1590</v>
      </c>
      <c r="G29" s="236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8" t="s">
        <v>134</v>
      </c>
      <c r="D33" s="2349"/>
      <c r="E33" s="2349"/>
      <c r="F33" s="2349"/>
      <c r="G33" s="2349"/>
      <c r="H33" s="2349"/>
      <c r="I33" s="2349"/>
    </row>
    <row r="34" spans="1:10" ht="10.35" customHeight="1" x14ac:dyDescent="0.2">
      <c r="C34" s="2349"/>
      <c r="D34" s="2349"/>
      <c r="E34" s="2349"/>
      <c r="F34" s="2349"/>
      <c r="G34" s="2349"/>
      <c r="H34" s="2349"/>
      <c r="I34" s="2349"/>
    </row>
    <row r="35" spans="1:10" ht="7.5" customHeight="1" x14ac:dyDescent="0.2">
      <c r="C35" s="1063"/>
    </row>
    <row r="36" spans="1:10" ht="13.5" customHeight="1" x14ac:dyDescent="0.2">
      <c r="B36" s="1062"/>
      <c r="C36" s="2350" t="s">
        <v>1944</v>
      </c>
      <c r="D36" s="2349"/>
      <c r="E36" s="2349"/>
      <c r="F36" s="2349"/>
      <c r="G36" s="2349"/>
      <c r="H36" s="2349"/>
      <c r="I36" s="2349"/>
      <c r="J36" s="1064"/>
    </row>
    <row r="37" spans="1:10" ht="22.5" customHeight="1" x14ac:dyDescent="0.2">
      <c r="C37" s="2349"/>
      <c r="D37" s="2349"/>
      <c r="E37" s="2349"/>
      <c r="F37" s="2349"/>
      <c r="G37" s="2349"/>
      <c r="H37" s="2349"/>
      <c r="I37" s="2349"/>
      <c r="J37" s="1064"/>
    </row>
    <row r="38" spans="1:10" ht="7.5" customHeight="1" x14ac:dyDescent="0.2">
      <c r="C38" s="1063"/>
      <c r="D38" s="1065"/>
      <c r="E38" s="1066"/>
      <c r="F38" s="1067"/>
      <c r="G38" s="1066"/>
    </row>
    <row r="39" spans="1:10" ht="13.5" customHeight="1" x14ac:dyDescent="0.2">
      <c r="B39" s="1062"/>
      <c r="C39" s="2346" t="s">
        <v>937</v>
      </c>
      <c r="D39" s="2347"/>
      <c r="E39" s="2347"/>
      <c r="F39" s="2347"/>
      <c r="G39" s="2347"/>
      <c r="H39" s="2347"/>
      <c r="I39" s="234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25" bottom="0.5" header="0.75" footer="0.5"/>
  <pageSetup scale="85" firstPageNumber="31" orientation="landscape" useFirstPageNumber="1" r:id="rId1"/>
  <headerFooter alignWithMargins="0">
    <oddHeader>&amp;L&amp;8Page 32&amp;C &amp;R&amp;8Page 32</oddHeader>
    <oddFooter>&amp;L&amp;F&amp;CReference should be made to the accountant's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2161</v>
      </c>
    </row>
    <row r="6" spans="1:2" x14ac:dyDescent="0.2">
      <c r="A6" s="1069"/>
    </row>
    <row r="7" spans="1:2" x14ac:dyDescent="0.2">
      <c r="A7" s="1069">
        <v>2</v>
      </c>
      <c r="B7" s="329" t="s">
        <v>2162</v>
      </c>
    </row>
    <row r="8" spans="1:2" x14ac:dyDescent="0.2">
      <c r="A8" s="1069"/>
    </row>
    <row r="9" spans="1:2" x14ac:dyDescent="0.2">
      <c r="A9" s="1070">
        <v>3</v>
      </c>
      <c r="B9" s="329" t="s">
        <v>2163</v>
      </c>
    </row>
    <row r="10" spans="1:2" x14ac:dyDescent="0.2">
      <c r="A10" s="1070"/>
    </row>
    <row r="11" spans="1:2" x14ac:dyDescent="0.2">
      <c r="A11" s="1070">
        <v>4</v>
      </c>
      <c r="B11" s="329" t="s">
        <v>2164</v>
      </c>
    </row>
    <row r="12" spans="1:2" x14ac:dyDescent="0.2">
      <c r="A12" s="1070"/>
    </row>
    <row r="13" spans="1:2" x14ac:dyDescent="0.2">
      <c r="A13" s="1070">
        <v>5</v>
      </c>
      <c r="B13" s="329" t="s">
        <v>2165</v>
      </c>
    </row>
    <row r="14" spans="1:2" x14ac:dyDescent="0.2">
      <c r="A14" s="1070"/>
    </row>
    <row r="15" spans="1:2" x14ac:dyDescent="0.2">
      <c r="A15" s="1070">
        <v>6</v>
      </c>
      <c r="B15" s="329" t="s">
        <v>2166</v>
      </c>
    </row>
    <row r="16" spans="1:2" x14ac:dyDescent="0.2">
      <c r="A16" s="1070"/>
    </row>
    <row r="17" spans="1:2" x14ac:dyDescent="0.2">
      <c r="A17" s="1070">
        <v>7</v>
      </c>
      <c r="B17" s="329" t="s">
        <v>2167</v>
      </c>
    </row>
    <row r="18" spans="1:2" x14ac:dyDescent="0.2">
      <c r="A18" s="1070"/>
    </row>
    <row r="19" spans="1:2" x14ac:dyDescent="0.2">
      <c r="A19" s="1070"/>
    </row>
    <row r="20" spans="1:2" x14ac:dyDescent="0.2">
      <c r="A20" s="1070"/>
      <c r="B20" s="329" t="s">
        <v>2168</v>
      </c>
    </row>
    <row r="21" spans="1:2" x14ac:dyDescent="0.2">
      <c r="A21" s="1070"/>
      <c r="B21" s="329" t="s">
        <v>2169</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Edinburg CUSD 4</v>
      </c>
    </row>
    <row r="65" spans="2:2" x14ac:dyDescent="0.2">
      <c r="B65" s="1071">
        <f>COVER!A13</f>
        <v>3011004026</v>
      </c>
    </row>
  </sheetData>
  <phoneticPr fontId="14" type="noConversion"/>
  <printOptions horizontalCentered="1"/>
  <pageMargins left="0.5" right="0.5" top="1.25" bottom="0.75" header="0.5" footer="0.75"/>
  <pageSetup scale="80" firstPageNumber="32" orientation="portrait" useFirstPageNumber="1" r:id="rId1"/>
  <headerFooter alignWithMargins="0">
    <oddHeader>&amp;L&amp;8Page 33&amp;C &amp;R&amp;8Page 33</oddHeader>
    <oddFooter>&amp;CReference should be made to the accountant's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58" sqref="B5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rintOptions horizontalCentered="1"/>
  <pageMargins left="0.75" right="0.25" top="1.25" bottom="0.5" header="0.75" footer="0.6"/>
  <pageSetup scale="80" firstPageNumber="33" orientation="portrait" useFirstPageNumber="1" r:id="rId1"/>
  <headerFooter alignWithMargins="0">
    <oddHeader>&amp;L&amp;8Page 34&amp;R&amp;8Page 34</oddHeader>
    <oddFooter>&amp;CReference should be made to the accountant's report regarding this information.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F20"/>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 spans="1:6" x14ac:dyDescent="0.2">
      <c r="B1" s="329" t="s">
        <v>2170</v>
      </c>
    </row>
    <row r="2" spans="1:6" ht="60" customHeight="1" x14ac:dyDescent="0.2"/>
    <row r="3" spans="1:6" ht="9" customHeight="1" x14ac:dyDescent="0.2"/>
    <row r="4" spans="1:6" x14ac:dyDescent="0.2">
      <c r="B4" s="329" t="s">
        <v>2171</v>
      </c>
    </row>
    <row r="5" spans="1:6" ht="60" customHeight="1" x14ac:dyDescent="0.2"/>
    <row r="6" spans="1:6" ht="12" customHeight="1" x14ac:dyDescent="0.2"/>
    <row r="7" spans="1:6" x14ac:dyDescent="0.2">
      <c r="B7" s="329" t="s">
        <v>2172</v>
      </c>
    </row>
    <row r="8" spans="1:6" ht="70.5" customHeight="1" x14ac:dyDescent="0.2"/>
    <row r="10" spans="1:6" x14ac:dyDescent="0.2">
      <c r="B10" s="329" t="s">
        <v>2173</v>
      </c>
    </row>
    <row r="11" spans="1:6" ht="62.25" customHeight="1" x14ac:dyDescent="0.2"/>
    <row r="13" spans="1:6" x14ac:dyDescent="0.2">
      <c r="B13" s="1072"/>
      <c r="C13" s="1072"/>
      <c r="D13" s="1072"/>
      <c r="E13" s="1072"/>
      <c r="F13" s="1072"/>
    </row>
    <row r="15" spans="1:6" x14ac:dyDescent="0.2">
      <c r="A15" s="1073" t="s">
        <v>1573</v>
      </c>
    </row>
    <row r="17" spans="1:2" x14ac:dyDescent="0.2">
      <c r="A17" s="389" t="s">
        <v>912</v>
      </c>
    </row>
    <row r="18" spans="1:2" s="1072" customFormat="1" ht="45" customHeight="1" x14ac:dyDescent="0.2">
      <c r="A18" s="1074"/>
      <c r="B18" s="1074" t="s">
        <v>1783</v>
      </c>
    </row>
    <row r="19" spans="1:2" ht="6" customHeight="1" x14ac:dyDescent="0.2"/>
    <row r="20" spans="1:2" ht="24.75" customHeight="1" x14ac:dyDescent="0.2">
      <c r="A20" s="2370" t="s">
        <v>1784</v>
      </c>
      <c r="B20" s="2370"/>
    </row>
  </sheetData>
  <sheetProtection selectLockedCells="1"/>
  <mergeCells count="1">
    <mergeCell ref="A20:B20"/>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6865" r:id="rId4">
          <objectPr defaultSize="0" r:id="rId5">
            <anchor moveWithCells="1">
              <from>
                <xdr:col>1</xdr:col>
                <xdr:colOff>0</xdr:colOff>
                <xdr:row>1</xdr:row>
                <xdr:rowOff>0</xdr:rowOff>
              </from>
              <to>
                <xdr:col>1</xdr:col>
                <xdr:colOff>914400</xdr:colOff>
                <xdr:row>1</xdr:row>
                <xdr:rowOff>685800</xdr:rowOff>
              </to>
            </anchor>
          </objectPr>
        </oleObject>
      </mc:Choice>
      <mc:Fallback>
        <oleObject progId="AcroExch.Document.DC" dvAspect="DVASPECT_ICON" shapeId="36865" r:id="rId4"/>
      </mc:Fallback>
    </mc:AlternateContent>
    <mc:AlternateContent xmlns:mc="http://schemas.openxmlformats.org/markup-compatibility/2006">
      <mc:Choice Requires="x14">
        <oleObject progId="Acrobat Document" dvAspect="DVASPECT_ICON" shapeId="36866" r:id="rId6">
          <objectPr defaultSize="0" r:id="rId5">
            <anchor moveWithCells="1">
              <from>
                <xdr:col>1</xdr:col>
                <xdr:colOff>0</xdr:colOff>
                <xdr:row>4</xdr:row>
                <xdr:rowOff>0</xdr:rowOff>
              </from>
              <to>
                <xdr:col>1</xdr:col>
                <xdr:colOff>914400</xdr:colOff>
                <xdr:row>4</xdr:row>
                <xdr:rowOff>685800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7">
          <objectPr defaultSize="0" r:id="rId8">
            <anchor moveWithCells="1">
              <from>
                <xdr:col>0</xdr:col>
                <xdr:colOff>104775</xdr:colOff>
                <xdr:row>7</xdr:row>
                <xdr:rowOff>66675</xdr:rowOff>
              </from>
              <to>
                <xdr:col>1</xdr:col>
                <xdr:colOff>895350</xdr:colOff>
                <xdr:row>7</xdr:row>
                <xdr:rowOff>752475</xdr:rowOff>
              </to>
            </anchor>
          </objectPr>
        </oleObject>
      </mc:Choice>
      <mc:Fallback>
        <oleObject progId="Acrobat Document" dvAspect="DVASPECT_ICON" shapeId="36867" r:id="rId7"/>
      </mc:Fallback>
    </mc:AlternateContent>
    <mc:AlternateContent xmlns:mc="http://schemas.openxmlformats.org/markup-compatibility/2006">
      <mc:Choice Requires="x14">
        <oleObject progId="Acrobat Document" dvAspect="DVASPECT_ICON" shapeId="36868" r:id="rId9">
          <objectPr defaultSize="0" r:id="rId10">
            <anchor moveWithCells="1">
              <from>
                <xdr:col>1</xdr:col>
                <xdr:colOff>0</xdr:colOff>
                <xdr:row>10</xdr:row>
                <xdr:rowOff>0</xdr:rowOff>
              </from>
              <to>
                <xdr:col>1</xdr:col>
                <xdr:colOff>914400</xdr:colOff>
                <xdr:row>10</xdr:row>
                <xdr:rowOff>685800</xdr:rowOff>
              </to>
            </anchor>
          </objectPr>
        </oleObject>
      </mc:Choice>
      <mc:Fallback>
        <oleObject progId="Acrobat Document" dvAspect="DVASPECT_ICON" shapeId="36868"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1" t="s">
        <v>1790</v>
      </c>
      <c r="B1" s="2372"/>
      <c r="C1" s="2372"/>
      <c r="D1" s="2372"/>
      <c r="E1" s="2372"/>
      <c r="F1" s="2373"/>
    </row>
    <row r="2" spans="1:8" ht="45" customHeight="1" x14ac:dyDescent="0.2">
      <c r="A2" s="2381" t="s">
        <v>1791</v>
      </c>
      <c r="B2" s="2382"/>
      <c r="C2" s="2382"/>
      <c r="D2" s="2382"/>
      <c r="E2" s="2382"/>
      <c r="F2" s="2383"/>
      <c r="G2" s="1075"/>
      <c r="H2" s="1075"/>
    </row>
    <row r="3" spans="1:8" ht="57" customHeight="1" x14ac:dyDescent="0.2">
      <c r="A3" s="2384" t="s">
        <v>1786</v>
      </c>
      <c r="B3" s="2385"/>
      <c r="C3" s="2385"/>
      <c r="D3" s="2385"/>
      <c r="E3" s="2385"/>
      <c r="F3" s="2386"/>
      <c r="G3" s="1075"/>
      <c r="H3" s="1075"/>
    </row>
    <row r="4" spans="1:8" ht="14.25" customHeight="1" x14ac:dyDescent="0.2">
      <c r="A4" s="2390" t="s">
        <v>2056</v>
      </c>
      <c r="B4" s="2391"/>
      <c r="C4" s="2391"/>
      <c r="D4" s="2391"/>
      <c r="E4" s="2391"/>
      <c r="F4" s="2392"/>
      <c r="G4" s="1075"/>
      <c r="H4" s="1075"/>
    </row>
    <row r="5" spans="1:8" ht="14.25" customHeight="1" x14ac:dyDescent="0.2">
      <c r="A5" s="2393" t="s">
        <v>2057</v>
      </c>
      <c r="B5" s="2394"/>
      <c r="C5" s="2394"/>
      <c r="D5" s="2394"/>
      <c r="E5" s="2394"/>
      <c r="F5" s="2395"/>
      <c r="G5" s="1075"/>
      <c r="H5" s="1075"/>
    </row>
    <row r="6" spans="1:8" s="1076" customFormat="1" ht="41.25" customHeight="1" x14ac:dyDescent="0.2">
      <c r="A6" s="2387" t="s">
        <v>1792</v>
      </c>
      <c r="B6" s="2388"/>
      <c r="C6" s="2388"/>
      <c r="D6" s="2388"/>
      <c r="E6" s="2388"/>
      <c r="F6" s="238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2382256</v>
      </c>
      <c r="C8" s="1838">
        <f>'Acct Summary 7-8'!D8</f>
        <v>256254</v>
      </c>
      <c r="D8" s="1838">
        <f>'Acct Summary 7-8'!F8</f>
        <v>167235</v>
      </c>
      <c r="E8" s="1838">
        <f>'Acct Summary 7-8'!I8</f>
        <v>22736</v>
      </c>
      <c r="F8" s="1838">
        <f>SUM(B8:E8)</f>
        <v>2828481</v>
      </c>
    </row>
    <row r="9" spans="1:8" s="1080" customFormat="1" ht="14.25" customHeight="1" thickBot="1" x14ac:dyDescent="0.25">
      <c r="A9" s="1079" t="s">
        <v>1436</v>
      </c>
      <c r="B9" s="1839">
        <f>'Acct Summary 7-8'!C17</f>
        <v>2008614</v>
      </c>
      <c r="C9" s="1839">
        <f>'Acct Summary 7-8'!D17</f>
        <v>274046</v>
      </c>
      <c r="D9" s="1839">
        <f>'Acct Summary 7-8'!F17</f>
        <v>134980</v>
      </c>
      <c r="E9" s="1838"/>
      <c r="F9" s="1838">
        <f>SUM(B9:E9)</f>
        <v>2417640</v>
      </c>
    </row>
    <row r="10" spans="1:8" s="1080" customFormat="1" ht="14.25" thickTop="1" thickBot="1" x14ac:dyDescent="0.25">
      <c r="A10" s="1081" t="s">
        <v>1437</v>
      </c>
      <c r="B10" s="1840">
        <f>(B8-B9)</f>
        <v>373642</v>
      </c>
      <c r="C10" s="1840">
        <f>(C8-C9)</f>
        <v>-17792</v>
      </c>
      <c r="D10" s="1840">
        <f>(D8-D9)</f>
        <v>32255</v>
      </c>
      <c r="E10" s="1839">
        <f>(E8-E9)</f>
        <v>22736</v>
      </c>
      <c r="F10" s="1841">
        <f>SUM(F8-F9)</f>
        <v>410841</v>
      </c>
    </row>
    <row r="11" spans="1:8" s="1080" customFormat="1" ht="14.25" thickTop="1" thickBot="1" x14ac:dyDescent="0.25">
      <c r="A11" s="1082" t="s">
        <v>1785</v>
      </c>
      <c r="B11" s="1842">
        <f>'Acct Summary 7-8'!C81</f>
        <v>2403656</v>
      </c>
      <c r="C11" s="1842">
        <f>'Acct Summary 7-8'!D81</f>
        <v>106215</v>
      </c>
      <c r="D11" s="1842">
        <f>'Acct Summary 7-8'!F81</f>
        <v>171525</v>
      </c>
      <c r="E11" s="1842">
        <f>'Acct Summary 7-8'!I81</f>
        <v>637025</v>
      </c>
      <c r="F11" s="1843">
        <f>SUM(B11:E11)</f>
        <v>3318421</v>
      </c>
    </row>
    <row r="12" spans="1:8" ht="16.5" customHeight="1" thickTop="1" x14ac:dyDescent="0.2">
      <c r="A12" s="1083"/>
      <c r="B12" s="1084"/>
      <c r="C12" s="2375" t="str">
        <f>IF(AND(F10&lt;0,F11&gt;=0,ABS(F10*3)&gt;ABS(F11)),A16,IF(AND(F10&lt;0,F11&gt;0,ABS(F10*3)&lt;=ABS(F11)),A17,IF(AND(F10&lt;0,F11&lt;0),A16,IF(F11=0,A19,A18))))</f>
        <v>Balanced - no deficit reduction plan is required.</v>
      </c>
      <c r="D12" s="2376"/>
      <c r="E12" s="2376"/>
      <c r="F12" s="2377"/>
    </row>
    <row r="13" spans="1:8" ht="19.5" customHeight="1" x14ac:dyDescent="0.2">
      <c r="A13" s="1085"/>
      <c r="B13" s="1086"/>
      <c r="C13" s="2375"/>
      <c r="D13" s="2376"/>
      <c r="E13" s="2376"/>
      <c r="F13" s="2377"/>
      <c r="H13" s="1075"/>
    </row>
    <row r="14" spans="1:8" ht="19.5" customHeight="1" x14ac:dyDescent="0.2">
      <c r="A14" s="1085"/>
      <c r="B14" s="1086"/>
      <c r="C14" s="2375"/>
      <c r="D14" s="2376"/>
      <c r="E14" s="2376"/>
      <c r="F14" s="2377"/>
      <c r="H14" s="1075"/>
    </row>
    <row r="15" spans="1:8" ht="17.25" customHeight="1" x14ac:dyDescent="0.2">
      <c r="A15" s="1085"/>
      <c r="B15" s="1086"/>
      <c r="C15" s="2378"/>
      <c r="D15" s="2379"/>
      <c r="E15" s="2379"/>
      <c r="F15" s="2380"/>
      <c r="H15" s="1075"/>
    </row>
    <row r="16" spans="1:8" s="310" customFormat="1" ht="51.75" hidden="1" customHeight="1" x14ac:dyDescent="0.2">
      <c r="A16" s="2374" t="s">
        <v>1787</v>
      </c>
      <c r="B16" s="2374"/>
      <c r="C16" s="2374"/>
      <c r="D16" s="2374"/>
      <c r="E16" s="237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6" t="s">
        <v>686</v>
      </c>
      <c r="B3" s="2397"/>
      <c r="C3" s="2397"/>
      <c r="D3" s="239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7" t="s">
        <v>1584</v>
      </c>
      <c r="D7" s="240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9" t="s">
        <v>1065</v>
      </c>
      <c r="B15" s="2400"/>
      <c r="C15" s="2400"/>
      <c r="D15" s="2401"/>
    </row>
    <row r="16" spans="1:4" s="669" customFormat="1" ht="24" customHeight="1" x14ac:dyDescent="0.2">
      <c r="A16" s="2402" t="s">
        <v>684</v>
      </c>
      <c r="B16" s="2403"/>
      <c r="C16" s="2403"/>
      <c r="D16" s="240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1" t="s">
        <v>332</v>
      </c>
      <c r="D21" s="2412"/>
    </row>
    <row r="22" spans="1:10" ht="12.75" x14ac:dyDescent="0.2">
      <c r="A22" s="1140"/>
      <c r="B22" s="1141">
        <v>2</v>
      </c>
      <c r="C22" s="2409" t="s">
        <v>1605</v>
      </c>
      <c r="D22" s="241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3" t="s">
        <v>557</v>
      </c>
      <c r="D43" s="241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5" t="s">
        <v>817</v>
      </c>
      <c r="D56" s="240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5" t="s">
        <v>1797</v>
      </c>
      <c r="D70" s="240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3011004026</v>
      </c>
    </row>
    <row r="3" spans="1:2" x14ac:dyDescent="0.2">
      <c r="A3" t="s">
        <v>1013</v>
      </c>
      <c r="B3" s="138" t="str">
        <f>COVER!A15</f>
        <v>Christian and Sangamon</v>
      </c>
    </row>
    <row r="4" spans="1:2" x14ac:dyDescent="0.2">
      <c r="A4" t="s">
        <v>1064</v>
      </c>
      <c r="B4" s="138" t="str">
        <f>COVER!A17</f>
        <v>Edinburg CUSD 4</v>
      </c>
    </row>
    <row r="5" spans="1:2" x14ac:dyDescent="0.2">
      <c r="A5" t="s">
        <v>728</v>
      </c>
      <c r="B5" s="138" t="str">
        <f>COVER!A38</f>
        <v>Fred Lamkey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f>COVER!T23</f>
        <v>66003847</v>
      </c>
    </row>
    <row r="16" spans="1:2" x14ac:dyDescent="0.2">
      <c r="A16" t="s">
        <v>442</v>
      </c>
      <c r="B16" s="138" t="str">
        <f>COVER!T13</f>
        <v>LMHN, Ltd., CPA's</v>
      </c>
    </row>
    <row r="17" spans="1:2" x14ac:dyDescent="0.2">
      <c r="A17" t="s">
        <v>939</v>
      </c>
      <c r="B17" s="138" t="str">
        <f>COVER!T15</f>
        <v>Richard K. Hooper, CPA</v>
      </c>
    </row>
    <row r="18" spans="1:2" x14ac:dyDescent="0.2">
      <c r="A18" t="s">
        <v>1212</v>
      </c>
      <c r="B18" s="138" t="str">
        <f>COVER!T17</f>
        <v>900 N. Webster, PO Box 87</v>
      </c>
    </row>
    <row r="19" spans="1:2" x14ac:dyDescent="0.2">
      <c r="A19" t="s">
        <v>941</v>
      </c>
      <c r="B19" s="138" t="str">
        <f>COVER!T25</f>
        <v>rkh_cpa@yahoo.com</v>
      </c>
    </row>
    <row r="20" spans="1:2" x14ac:dyDescent="0.2">
      <c r="A20" t="s">
        <v>942</v>
      </c>
      <c r="B20" s="138" t="str">
        <f>COVER!T19</f>
        <v>Taylorville</v>
      </c>
    </row>
    <row r="21" spans="1:2" x14ac:dyDescent="0.2">
      <c r="A21" t="s">
        <v>500</v>
      </c>
      <c r="B21" s="138" t="str">
        <f>COVER!X19</f>
        <v>IL</v>
      </c>
    </row>
    <row r="22" spans="1:2" x14ac:dyDescent="0.2">
      <c r="A22" t="s">
        <v>943</v>
      </c>
      <c r="B22" s="138">
        <f>COVER!Z19</f>
        <v>62568</v>
      </c>
    </row>
    <row r="23" spans="1:2" x14ac:dyDescent="0.2">
      <c r="A23" t="s">
        <v>1214</v>
      </c>
      <c r="B23" s="138" t="str">
        <f>COVER!T21</f>
        <v>217-824-9661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1310703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2403656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2403656</v>
      </c>
      <c r="D92" s="2" t="str">
        <f t="shared" si="0"/>
        <v>Error?</v>
      </c>
    </row>
    <row r="93" spans="1:4" x14ac:dyDescent="0.2">
      <c r="A93" s="5">
        <v>32</v>
      </c>
      <c r="B93" s="138">
        <f>'Assets-Liab 5-6'!C41</f>
        <v>2403656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100994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106215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106215</v>
      </c>
      <c r="D123" s="2" t="str">
        <f t="shared" si="0"/>
        <v>Error?</v>
      </c>
    </row>
    <row r="124" spans="1:4" x14ac:dyDescent="0.2">
      <c r="A124" s="5">
        <v>63</v>
      </c>
      <c r="B124" s="138">
        <f>'Assets-Liab 5-6'!D41</f>
        <v>106215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1911</v>
      </c>
      <c r="D129" s="2" t="str">
        <f t="shared" si="1"/>
        <v>Error?</v>
      </c>
    </row>
    <row r="130" spans="1:4" x14ac:dyDescent="0.2">
      <c r="A130" s="5">
        <v>69</v>
      </c>
      <c r="B130" s="138">
        <f>'Assets-Liab 5-6'!E12</f>
        <v>0</v>
      </c>
      <c r="D130" s="2" t="str">
        <f t="shared" si="1"/>
        <v>Error?</v>
      </c>
    </row>
    <row r="131" spans="1:4" x14ac:dyDescent="0.2">
      <c r="A131" s="5">
        <v>70</v>
      </c>
      <c r="B131" s="138">
        <f>'Assets-Liab 5-6'!E13</f>
        <v>8757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8757</v>
      </c>
      <c r="D140" s="2" t="str">
        <f t="shared" si="1"/>
        <v>Error?</v>
      </c>
    </row>
    <row r="141" spans="1:4" x14ac:dyDescent="0.2">
      <c r="A141" s="5">
        <v>80</v>
      </c>
      <c r="B141" s="138">
        <f>'Assets-Liab 5-6'!E41</f>
        <v>8757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40255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171525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171525</v>
      </c>
      <c r="D170" s="2" t="str">
        <f t="shared" si="1"/>
        <v>Error?</v>
      </c>
    </row>
    <row r="171" spans="1:4" x14ac:dyDescent="0.2">
      <c r="A171" s="5">
        <v>110</v>
      </c>
      <c r="B171" s="138">
        <f>'Assets-Liab 5-6'!F41</f>
        <v>171525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63380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63380</v>
      </c>
      <c r="D189" s="2" t="str">
        <f t="shared" si="1"/>
        <v>Error?</v>
      </c>
    </row>
    <row r="190" spans="1:4" x14ac:dyDescent="0.2">
      <c r="A190" s="5">
        <v>129</v>
      </c>
      <c r="B190" s="138">
        <f>'Assets-Liab 5-6'!G41</f>
        <v>63380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311249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311249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61089</v>
      </c>
      <c r="D273" s="2" t="str">
        <f t="shared" si="3"/>
        <v>Error?</v>
      </c>
    </row>
    <row r="274" spans="1:4" x14ac:dyDescent="0.2">
      <c r="A274" s="5">
        <v>213</v>
      </c>
      <c r="B274" s="138">
        <f>'Assets-Liab 5-6'!M17</f>
        <v>2041809</v>
      </c>
      <c r="D274" s="2" t="str">
        <f t="shared" si="3"/>
        <v>Error?</v>
      </c>
    </row>
    <row r="275" spans="1:4" x14ac:dyDescent="0.2">
      <c r="A275" s="5">
        <v>214</v>
      </c>
      <c r="B275" s="138">
        <f>'Assets-Liab 5-6'!M18</f>
        <v>40338</v>
      </c>
      <c r="D275" s="2" t="str">
        <f t="shared" si="3"/>
        <v>Error?</v>
      </c>
    </row>
    <row r="276" spans="1:4" x14ac:dyDescent="0.2">
      <c r="A276" s="5">
        <v>215</v>
      </c>
      <c r="B276" s="138">
        <f>'Assets-Liab 5-6'!M19</f>
        <v>1384731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3527967</v>
      </c>
      <c r="C279" s="2" t="s">
        <v>594</v>
      </c>
      <c r="D279" s="2" t="str">
        <f t="shared" si="3"/>
        <v>Error?</v>
      </c>
    </row>
    <row r="280" spans="1:4" x14ac:dyDescent="0.2">
      <c r="A280" s="5">
        <v>219</v>
      </c>
      <c r="B280" s="138">
        <f>'Assets-Liab 5-6'!M40</f>
        <v>3527967</v>
      </c>
      <c r="D280" s="2" t="str">
        <f t="shared" si="3"/>
        <v>Error?</v>
      </c>
    </row>
    <row r="281" spans="1:4" x14ac:dyDescent="0.2">
      <c r="A281" s="5">
        <v>220</v>
      </c>
      <c r="B281" s="138">
        <f>'Assets-Liab 5-6'!M41</f>
        <v>3527967</v>
      </c>
      <c r="C281" s="2" t="s">
        <v>594</v>
      </c>
      <c r="D281" s="2" t="str">
        <f t="shared" si="3"/>
        <v>Error?</v>
      </c>
    </row>
    <row r="282" spans="1:4" x14ac:dyDescent="0.2">
      <c r="A282" s="5">
        <v>221</v>
      </c>
      <c r="B282" s="138">
        <f>'Assets-Liab 5-6'!N21</f>
        <v>8757</v>
      </c>
      <c r="D282" s="2" t="str">
        <f t="shared" si="3"/>
        <v>Error?</v>
      </c>
    </row>
    <row r="283" spans="1:4" x14ac:dyDescent="0.2">
      <c r="A283" s="5">
        <v>222</v>
      </c>
      <c r="B283" s="138">
        <f>'Assets-Liab 5-6'!N22</f>
        <v>316243</v>
      </c>
      <c r="D283" s="2" t="str">
        <f t="shared" si="3"/>
        <v>Error?</v>
      </c>
    </row>
    <row r="284" spans="1:4" x14ac:dyDescent="0.2">
      <c r="A284" s="5">
        <v>223</v>
      </c>
      <c r="B284" s="138">
        <f>'Assets-Liab 5-6'!N23</f>
        <v>325000</v>
      </c>
      <c r="C284" s="2" t="s">
        <v>594</v>
      </c>
      <c r="D284" s="2" t="str">
        <f t="shared" si="3"/>
        <v>Error?</v>
      </c>
    </row>
    <row r="285" spans="1:4" x14ac:dyDescent="0.2">
      <c r="A285" s="5">
        <v>224</v>
      </c>
      <c r="B285" s="138">
        <f>'Assets-Liab 5-6'!N36</f>
        <v>325000</v>
      </c>
      <c r="D285" s="2" t="str">
        <f t="shared" si="3"/>
        <v>Error?</v>
      </c>
    </row>
    <row r="286" spans="1:4" x14ac:dyDescent="0.2">
      <c r="A286" s="10">
        <v>225</v>
      </c>
      <c r="D286" s="2" t="str">
        <f t="shared" si="3"/>
        <v>OK</v>
      </c>
    </row>
    <row r="287" spans="1:4" x14ac:dyDescent="0.2">
      <c r="A287" s="5">
        <v>226</v>
      </c>
      <c r="B287" s="138">
        <f>'Assets-Liab 5-6'!N37</f>
        <v>325000</v>
      </c>
      <c r="C287" s="2" t="s">
        <v>594</v>
      </c>
      <c r="D287" s="2" t="str">
        <f t="shared" si="3"/>
        <v>Error?</v>
      </c>
    </row>
    <row r="288" spans="1:4" x14ac:dyDescent="0.2">
      <c r="A288" s="5">
        <v>227</v>
      </c>
      <c r="B288" s="138">
        <f>'Assets-Liab 5-6'!N41</f>
        <v>325000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598963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64856</v>
      </c>
      <c r="D717" s="2" t="str">
        <f t="shared" si="10"/>
        <v>Error?</v>
      </c>
    </row>
    <row r="718" spans="1:4" x14ac:dyDescent="0.2">
      <c r="A718" s="5">
        <v>657</v>
      </c>
      <c r="B718" s="138">
        <f>'Expenditures 15-22'!C14</f>
        <v>32131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776356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31649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31649</v>
      </c>
      <c r="C727" s="2" t="s">
        <v>594</v>
      </c>
      <c r="D727" s="2" t="str">
        <f t="shared" si="10"/>
        <v>Error?</v>
      </c>
    </row>
    <row r="728" spans="1:4" x14ac:dyDescent="0.2">
      <c r="A728" s="5">
        <v>667</v>
      </c>
      <c r="B728" s="138">
        <f>'Expenditures 15-22'!C44</f>
        <v>1105</v>
      </c>
      <c r="D728" s="2" t="str">
        <f t="shared" si="10"/>
        <v>Error?</v>
      </c>
    </row>
    <row r="729" spans="1:4" x14ac:dyDescent="0.2">
      <c r="A729" s="5">
        <v>668</v>
      </c>
      <c r="B729" s="138">
        <f>'Expenditures 15-22'!C45</f>
        <v>20636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21741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121232</v>
      </c>
      <c r="D733" s="2" t="str">
        <f t="shared" si="10"/>
        <v>Error?</v>
      </c>
    </row>
    <row r="734" spans="1:4" x14ac:dyDescent="0.2">
      <c r="A734" s="5">
        <v>673</v>
      </c>
      <c r="B734" s="138">
        <f>'Expenditures 15-22'!C53</f>
        <v>121232</v>
      </c>
      <c r="C734" s="2" t="s">
        <v>594</v>
      </c>
      <c r="D734" s="2" t="str">
        <f t="shared" si="10"/>
        <v>Error?</v>
      </c>
    </row>
    <row r="735" spans="1:4" x14ac:dyDescent="0.2">
      <c r="A735" s="5">
        <v>674</v>
      </c>
      <c r="B735" s="138">
        <f>'Expenditures 15-22'!C55</f>
        <v>103727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103727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34341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58438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92779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371128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1147484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134444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14229</v>
      </c>
      <c r="D775" s="2" t="str">
        <f t="shared" si="11"/>
        <v>Error?</v>
      </c>
    </row>
    <row r="776" spans="1:4" x14ac:dyDescent="0.2">
      <c r="A776" s="5">
        <v>715</v>
      </c>
      <c r="B776" s="138">
        <f>'Expenditures 15-22'!D14</f>
        <v>1885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168515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2441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2441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33053</v>
      </c>
      <c r="D791" s="2" t="str">
        <f t="shared" si="11"/>
        <v>Error?</v>
      </c>
    </row>
    <row r="792" spans="1:4" x14ac:dyDescent="0.2">
      <c r="A792" s="5">
        <v>731</v>
      </c>
      <c r="B792" s="138">
        <f>'Expenditures 15-22'!D53</f>
        <v>33053</v>
      </c>
      <c r="C792" s="2" t="s">
        <v>594</v>
      </c>
      <c r="D792" s="2" t="str">
        <f t="shared" si="11"/>
        <v>Error?</v>
      </c>
    </row>
    <row r="793" spans="1:4" x14ac:dyDescent="0.2">
      <c r="A793" s="5">
        <v>732</v>
      </c>
      <c r="B793" s="138">
        <f>'Expenditures 15-22'!D55</f>
        <v>9211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9211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23218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74607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243122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226</v>
      </c>
      <c r="D833" s="2" t="str">
        <f t="shared" si="12"/>
        <v>Error?</v>
      </c>
    </row>
    <row r="834" spans="1:4" x14ac:dyDescent="0.2">
      <c r="A834" s="5">
        <v>773</v>
      </c>
      <c r="B834" s="138">
        <f>'Expenditures 15-22'!E14</f>
        <v>11348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17218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906</v>
      </c>
      <c r="C843" s="2" t="s">
        <v>594</v>
      </c>
      <c r="D843" s="2" t="str">
        <f t="shared" si="12"/>
        <v>Error?</v>
      </c>
    </row>
    <row r="844" spans="1:4" x14ac:dyDescent="0.2">
      <c r="A844" s="5">
        <v>783</v>
      </c>
      <c r="B844" s="138">
        <f>'Expenditures 15-22'!E44</f>
        <v>9555</v>
      </c>
      <c r="D844" s="2" t="str">
        <f t="shared" si="12"/>
        <v>Error?</v>
      </c>
    </row>
    <row r="845" spans="1:4" x14ac:dyDescent="0.2">
      <c r="A845" s="5">
        <v>784</v>
      </c>
      <c r="B845" s="138">
        <f>'Expenditures 15-22'!E45</f>
        <v>1838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11393</v>
      </c>
      <c r="C847" s="2" t="s">
        <v>594</v>
      </c>
      <c r="D847" s="2" t="str">
        <f t="shared" si="12"/>
        <v>Error?</v>
      </c>
    </row>
    <row r="848" spans="1:4" x14ac:dyDescent="0.2">
      <c r="A848" s="5">
        <v>787</v>
      </c>
      <c r="B848" s="138">
        <f>'Expenditures 15-22'!E49</f>
        <v>11173</v>
      </c>
      <c r="D848" s="2" t="str">
        <f t="shared" si="12"/>
        <v>Error?</v>
      </c>
    </row>
    <row r="849" spans="1:4" x14ac:dyDescent="0.2">
      <c r="A849" s="5">
        <v>788</v>
      </c>
      <c r="B849" s="138">
        <f>'Expenditures 15-22'!E50</f>
        <v>4935</v>
      </c>
      <c r="D849" s="2" t="str">
        <f t="shared" si="12"/>
        <v>Error?</v>
      </c>
    </row>
    <row r="850" spans="1:4" x14ac:dyDescent="0.2">
      <c r="A850" s="5">
        <v>789</v>
      </c>
      <c r="B850" s="138">
        <f>'Expenditures 15-22'!E53</f>
        <v>16108</v>
      </c>
      <c r="C850" s="2" t="s">
        <v>594</v>
      </c>
      <c r="D850" s="2" t="str">
        <f t="shared" si="12"/>
        <v>Error?</v>
      </c>
    </row>
    <row r="851" spans="1:4" x14ac:dyDescent="0.2">
      <c r="A851" s="5">
        <v>790</v>
      </c>
      <c r="B851" s="138">
        <f>'Expenditures 15-22'!E55</f>
        <v>5064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5064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7946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8113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40148</v>
      </c>
      <c r="D867" s="2" t="str">
        <f t="shared" si="12"/>
        <v>Error?</v>
      </c>
    </row>
    <row r="868" spans="1:4" x14ac:dyDescent="0.2">
      <c r="A868" s="10">
        <v>807</v>
      </c>
      <c r="D868" s="2" t="str">
        <f t="shared" si="12"/>
        <v>OK</v>
      </c>
    </row>
    <row r="869" spans="1:4" x14ac:dyDescent="0.2">
      <c r="A869" s="5">
        <v>808</v>
      </c>
      <c r="B869" s="138">
        <f>'Expenditures 15-22'!E72</f>
        <v>40148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81732</v>
      </c>
      <c r="C871" s="2" t="s">
        <v>594</v>
      </c>
      <c r="D871" s="2" t="str">
        <f t="shared" si="12"/>
        <v>Error?</v>
      </c>
    </row>
    <row r="872" spans="1:4" x14ac:dyDescent="0.2">
      <c r="A872" s="5">
        <v>811</v>
      </c>
      <c r="B872" s="138">
        <f>'Expenditures 15-22'!E75</f>
        <v>237</v>
      </c>
      <c r="D872" s="2" t="str">
        <f t="shared" si="12"/>
        <v>Error?</v>
      </c>
    </row>
    <row r="873" spans="1:4" x14ac:dyDescent="0.2">
      <c r="A873" s="5">
        <v>812</v>
      </c>
      <c r="B873" s="138">
        <f>'Expenditures 15-22'!E114</f>
        <v>99187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37810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2409</v>
      </c>
      <c r="D891" s="2" t="str">
        <f t="shared" si="12"/>
        <v>Error?</v>
      </c>
    </row>
    <row r="892" spans="1:4" x14ac:dyDescent="0.2">
      <c r="A892" s="5">
        <v>831</v>
      </c>
      <c r="B892" s="138">
        <f>'Expenditures 15-22'!F14</f>
        <v>13415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61367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126</v>
      </c>
      <c r="C901" s="2" t="s">
        <v>594</v>
      </c>
      <c r="D901" s="2" t="str">
        <f t="shared" si="13"/>
        <v>Error?</v>
      </c>
    </row>
    <row r="902" spans="1:4" x14ac:dyDescent="0.2">
      <c r="A902" s="5">
        <v>841</v>
      </c>
      <c r="B902" s="138">
        <f>'Expenditures 15-22'!F44</f>
        <v>5</v>
      </c>
      <c r="D902" s="2" t="str">
        <f t="shared" si="13"/>
        <v>Error?</v>
      </c>
    </row>
    <row r="903" spans="1:4" x14ac:dyDescent="0.2">
      <c r="A903" s="5">
        <v>842</v>
      </c>
      <c r="B903" s="138">
        <f>'Expenditures 15-22'!F45</f>
        <v>457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462</v>
      </c>
      <c r="C905" s="2" t="s">
        <v>594</v>
      </c>
      <c r="D905" s="2" t="str">
        <f t="shared" si="13"/>
        <v>Error?</v>
      </c>
    </row>
    <row r="906" spans="1:4" x14ac:dyDescent="0.2">
      <c r="A906" s="5">
        <v>845</v>
      </c>
      <c r="B906" s="138">
        <f>'Expenditures 15-22'!F49</f>
        <v>1811</v>
      </c>
      <c r="D906" s="2" t="str">
        <f t="shared" si="13"/>
        <v>Error?</v>
      </c>
    </row>
    <row r="907" spans="1:4" x14ac:dyDescent="0.2">
      <c r="A907" s="5">
        <v>846</v>
      </c>
      <c r="B907" s="138">
        <f>'Expenditures 15-22'!F50</f>
        <v>1679</v>
      </c>
      <c r="D907" s="2" t="str">
        <f t="shared" si="13"/>
        <v>Error?</v>
      </c>
    </row>
    <row r="908" spans="1:4" x14ac:dyDescent="0.2">
      <c r="A908" s="5">
        <v>847</v>
      </c>
      <c r="B908" s="138">
        <f>'Expenditures 15-22'!F53</f>
        <v>3501</v>
      </c>
      <c r="C908" s="2" t="s">
        <v>594</v>
      </c>
      <c r="D908" s="2" t="str">
        <f t="shared" si="13"/>
        <v>Error?</v>
      </c>
    </row>
    <row r="909" spans="1:4" x14ac:dyDescent="0.2">
      <c r="A909" s="5">
        <v>848</v>
      </c>
      <c r="B909" s="138">
        <f>'Expenditures 15-22'!F55</f>
        <v>386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183</v>
      </c>
      <c r="D913" s="2" t="str">
        <f t="shared" si="13"/>
        <v>Error?</v>
      </c>
    </row>
    <row r="914" spans="1:4" x14ac:dyDescent="0.2">
      <c r="A914" s="5">
        <v>853</v>
      </c>
      <c r="B914" s="138">
        <f>'Expenditures 15-22'!F61</f>
        <v>6231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64259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70673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2501</v>
      </c>
      <c r="D925" s="2" t="str">
        <f t="shared" si="13"/>
        <v>Error?</v>
      </c>
    </row>
    <row r="926" spans="1:4" x14ac:dyDescent="0.2">
      <c r="A926" s="10">
        <v>865</v>
      </c>
      <c r="D926" s="2" t="str">
        <f t="shared" si="13"/>
        <v>OK</v>
      </c>
    </row>
    <row r="927" spans="1:4" x14ac:dyDescent="0.2">
      <c r="A927" s="5">
        <v>866</v>
      </c>
      <c r="B927" s="138">
        <f>'Expenditures 15-22'!F72</f>
        <v>2501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77649</v>
      </c>
      <c r="C929" s="2" t="s">
        <v>594</v>
      </c>
      <c r="D929" s="2" t="str">
        <f t="shared" si="13"/>
        <v>Error?</v>
      </c>
    </row>
    <row r="930" spans="1:4" x14ac:dyDescent="0.2">
      <c r="A930" s="5">
        <v>869</v>
      </c>
      <c r="B930" s="138">
        <f>'Expenditures 15-22'!F75</f>
        <v>14951</v>
      </c>
      <c r="D930" s="2" t="str">
        <f t="shared" si="13"/>
        <v>Error?</v>
      </c>
    </row>
    <row r="931" spans="1:4" x14ac:dyDescent="0.2">
      <c r="A931" s="5">
        <v>870</v>
      </c>
      <c r="B931" s="138">
        <f>'Expenditures 15-22'!F114</f>
        <v>153967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70</v>
      </c>
      <c r="D983" s="2" t="str">
        <f t="shared" si="14"/>
        <v>Error?</v>
      </c>
    </row>
    <row r="984" spans="1:4" x14ac:dyDescent="0.2">
      <c r="A984" s="10">
        <v>923</v>
      </c>
      <c r="D984" s="2" t="str">
        <f t="shared" si="14"/>
        <v>OK</v>
      </c>
    </row>
    <row r="985" spans="1:4" x14ac:dyDescent="0.2">
      <c r="A985" s="5">
        <v>924</v>
      </c>
      <c r="B985" s="138">
        <f>'Expenditures 15-22'!G72</f>
        <v>70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52638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4341</v>
      </c>
      <c r="D1022" s="2" t="str">
        <f t="shared" si="14"/>
        <v>Error?</v>
      </c>
    </row>
    <row r="1023" spans="1:4" x14ac:dyDescent="0.2">
      <c r="A1023" s="5">
        <v>962</v>
      </c>
      <c r="B1023" s="138">
        <f>'Expenditures 15-22'!H50</f>
        <v>545</v>
      </c>
      <c r="D1023" s="2" t="str">
        <f t="shared" ref="D1023:D1086" si="15">IF(ISBLANK(B1023),"OK",IF(A1023-B1023=0,"OK","Error?"))</f>
        <v>Error?</v>
      </c>
    </row>
    <row r="1024" spans="1:4" x14ac:dyDescent="0.2">
      <c r="A1024" s="5">
        <v>963</v>
      </c>
      <c r="B1024" s="138">
        <f>'Expenditures 15-22'!H53</f>
        <v>4886</v>
      </c>
      <c r="C1024" s="2" t="s">
        <v>594</v>
      </c>
      <c r="D1024" s="2" t="str">
        <f t="shared" si="15"/>
        <v>Error?</v>
      </c>
    </row>
    <row r="1025" spans="1:4" x14ac:dyDescent="0.2">
      <c r="A1025" s="5">
        <v>964</v>
      </c>
      <c r="B1025" s="138">
        <f>'Expenditures 15-22'!H55</f>
        <v>626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2038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2038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7550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304596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364784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776021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81720</v>
      </c>
      <c r="C1105" s="2" t="s">
        <v>594</v>
      </c>
      <c r="D1105" s="2" t="str">
        <f t="shared" si="16"/>
        <v>Error?</v>
      </c>
    </row>
    <row r="1106" spans="1:4" x14ac:dyDescent="0.2">
      <c r="A1106" s="5">
        <v>1045</v>
      </c>
      <c r="B1106" s="138">
        <f>'Expenditures 15-22'!K14</f>
        <v>65099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1076094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31649</v>
      </c>
      <c r="C1110" s="2" t="s">
        <v>594</v>
      </c>
      <c r="D1110" s="2" t="str">
        <f t="shared" si="16"/>
        <v>Error?</v>
      </c>
    </row>
    <row r="1111" spans="1:4" x14ac:dyDescent="0.2">
      <c r="A1111" s="5">
        <v>1050</v>
      </c>
      <c r="B1111" s="138">
        <f>'Expenditures 15-22'!K38</f>
        <v>1032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32681</v>
      </c>
      <c r="C1115" s="2" t="s">
        <v>594</v>
      </c>
      <c r="D1115" s="2" t="str">
        <f t="shared" si="16"/>
        <v>Error?</v>
      </c>
    </row>
    <row r="1116" spans="1:4" x14ac:dyDescent="0.2">
      <c r="A1116" s="5">
        <v>1055</v>
      </c>
      <c r="B1116" s="138">
        <f>'Expenditures 15-22'!K44</f>
        <v>10665</v>
      </c>
      <c r="C1116" s="2" t="s">
        <v>594</v>
      </c>
      <c r="D1116" s="2" t="str">
        <f t="shared" si="16"/>
        <v>Error?</v>
      </c>
    </row>
    <row r="1117" spans="1:4" x14ac:dyDescent="0.2">
      <c r="A1117" s="5">
        <v>1056</v>
      </c>
      <c r="B1117" s="138">
        <f>'Expenditures 15-22'!K45</f>
        <v>25372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36037</v>
      </c>
      <c r="C1119" s="2" t="s">
        <v>594</v>
      </c>
      <c r="D1119" s="2" t="str">
        <f t="shared" si="16"/>
        <v>Error?</v>
      </c>
    </row>
    <row r="1120" spans="1:4" x14ac:dyDescent="0.2">
      <c r="A1120" s="5">
        <v>1059</v>
      </c>
      <c r="B1120" s="138">
        <f>'Expenditures 15-22'!K49</f>
        <v>17325</v>
      </c>
      <c r="C1120" s="2" t="s">
        <v>594</v>
      </c>
      <c r="D1120" s="2" t="str">
        <f t="shared" si="16"/>
        <v>Error?</v>
      </c>
    </row>
    <row r="1121" spans="1:4" x14ac:dyDescent="0.2">
      <c r="A1121" s="5">
        <v>1060</v>
      </c>
      <c r="B1121" s="138">
        <f>'Expenditures 15-22'!K50</f>
        <v>161444</v>
      </c>
      <c r="C1121" s="2" t="s">
        <v>594</v>
      </c>
      <c r="D1121" s="2" t="str">
        <f t="shared" si="16"/>
        <v>Error?</v>
      </c>
    </row>
    <row r="1122" spans="1:4" x14ac:dyDescent="0.2">
      <c r="A1122" s="5">
        <v>1061</v>
      </c>
      <c r="B1122" s="138">
        <f>'Expenditures 15-22'!K53</f>
        <v>178780</v>
      </c>
      <c r="C1122" s="2" t="s">
        <v>594</v>
      </c>
      <c r="D1122" s="2" t="str">
        <f t="shared" si="16"/>
        <v>Error?</v>
      </c>
    </row>
    <row r="1123" spans="1:4" x14ac:dyDescent="0.2">
      <c r="A1123" s="5">
        <v>1062</v>
      </c>
      <c r="B1123" s="138">
        <f>'Expenditures 15-22'!K55</f>
        <v>119014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119014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51192</v>
      </c>
      <c r="C1127" s="2" t="s">
        <v>594</v>
      </c>
      <c r="D1127" s="2" t="str">
        <f t="shared" si="16"/>
        <v>Error?</v>
      </c>
    </row>
    <row r="1128" spans="1:4" x14ac:dyDescent="0.2">
      <c r="A1128" s="5">
        <v>1067</v>
      </c>
      <c r="B1128" s="138">
        <f>'Expenditures 15-22'!K61</f>
        <v>6231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146082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203505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42719</v>
      </c>
      <c r="C1139" s="2" t="s">
        <v>594</v>
      </c>
      <c r="D1139" s="2" t="str">
        <f t="shared" si="16"/>
        <v>Error?</v>
      </c>
    </row>
    <row r="1140" spans="1:4" x14ac:dyDescent="0.2">
      <c r="A1140" s="10">
        <v>1079</v>
      </c>
      <c r="D1140" s="2" t="str">
        <f t="shared" si="16"/>
        <v>OK</v>
      </c>
    </row>
    <row r="1141" spans="1:4" x14ac:dyDescent="0.2">
      <c r="A1141" s="5">
        <v>1080</v>
      </c>
      <c r="B1141" s="138">
        <f>'Expenditures 15-22'!K72</f>
        <v>42719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612736</v>
      </c>
      <c r="C1143" s="2" t="s">
        <v>594</v>
      </c>
      <c r="D1143" s="2" t="str">
        <f t="shared" si="16"/>
        <v>Error?</v>
      </c>
    </row>
    <row r="1144" spans="1:4" x14ac:dyDescent="0.2">
      <c r="A1144" s="5">
        <v>1083</v>
      </c>
      <c r="B1144" s="138">
        <f>'Expenditures 15-22'!K75</f>
        <v>15188</v>
      </c>
      <c r="C1144" s="2" t="s">
        <v>594</v>
      </c>
      <c r="D1144" s="2" t="str">
        <f t="shared" si="16"/>
        <v>Error?</v>
      </c>
    </row>
    <row r="1145" spans="1:4" x14ac:dyDescent="0.2">
      <c r="A1145" s="5">
        <v>1084</v>
      </c>
      <c r="B1145" s="138">
        <f>'Expenditures 15-22'!K102</f>
        <v>304596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2008614</v>
      </c>
      <c r="C1152" s="2" t="s">
        <v>594</v>
      </c>
      <c r="D1152" s="2" t="str">
        <f t="shared" si="17"/>
        <v>Error?</v>
      </c>
    </row>
    <row r="1153" spans="1:4" x14ac:dyDescent="0.2">
      <c r="A1153" s="5">
        <v>1092</v>
      </c>
      <c r="B1153" s="138">
        <f>'Expenditures 15-22'!K115</f>
        <v>373642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94992</v>
      </c>
      <c r="D1221" s="2" t="str">
        <f t="shared" si="18"/>
        <v>Error?</v>
      </c>
    </row>
    <row r="1222" spans="1:4" x14ac:dyDescent="0.2">
      <c r="A1222" s="10">
        <v>1161</v>
      </c>
      <c r="D1222" s="2" t="str">
        <f t="shared" si="18"/>
        <v>OK</v>
      </c>
    </row>
    <row r="1223" spans="1:4" x14ac:dyDescent="0.2">
      <c r="A1223" s="5">
        <v>1162</v>
      </c>
      <c r="B1223" s="138">
        <f>'Expenditures 15-22'!C127</f>
        <v>94992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94992</v>
      </c>
      <c r="C1225" s="2" t="s">
        <v>594</v>
      </c>
      <c r="D1225" s="2" t="str">
        <f t="shared" si="18"/>
        <v>Error?</v>
      </c>
    </row>
    <row r="1226" spans="1:4" x14ac:dyDescent="0.2">
      <c r="A1226" s="5">
        <v>1165</v>
      </c>
      <c r="B1226" s="138">
        <f>'Expenditures 15-22'!C151</f>
        <v>94992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20038</v>
      </c>
      <c r="D1229" s="2" t="str">
        <f t="shared" si="18"/>
        <v>Error?</v>
      </c>
    </row>
    <row r="1230" spans="1:4" x14ac:dyDescent="0.2">
      <c r="A1230" s="10">
        <v>1169</v>
      </c>
      <c r="D1230" s="2" t="str">
        <f t="shared" si="18"/>
        <v>OK</v>
      </c>
    </row>
    <row r="1231" spans="1:4" x14ac:dyDescent="0.2">
      <c r="A1231" s="5">
        <v>1170</v>
      </c>
      <c r="B1231" s="138">
        <f>'Expenditures 15-22'!D127</f>
        <v>20038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20038</v>
      </c>
      <c r="C1233" s="2" t="s">
        <v>594</v>
      </c>
      <c r="D1233" s="2" t="str">
        <f t="shared" si="18"/>
        <v>Error?</v>
      </c>
    </row>
    <row r="1234" spans="1:4" x14ac:dyDescent="0.2">
      <c r="A1234" s="5">
        <v>1173</v>
      </c>
      <c r="B1234" s="138">
        <f>'Expenditures 15-22'!D151</f>
        <v>20038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79907</v>
      </c>
      <c r="D1237" s="2" t="str">
        <f t="shared" si="18"/>
        <v>Error?</v>
      </c>
    </row>
    <row r="1238" spans="1:4" x14ac:dyDescent="0.2">
      <c r="A1238" s="10">
        <v>1177</v>
      </c>
      <c r="D1238" s="2" t="str">
        <f t="shared" si="18"/>
        <v>OK</v>
      </c>
    </row>
    <row r="1239" spans="1:4" x14ac:dyDescent="0.2">
      <c r="A1239" s="5">
        <v>1178</v>
      </c>
      <c r="B1239" s="138">
        <f>'Expenditures 15-22'!E127</f>
        <v>79907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79907</v>
      </c>
      <c r="C1241" s="2" t="s">
        <v>594</v>
      </c>
      <c r="D1241" s="2" t="str">
        <f t="shared" si="18"/>
        <v>Error?</v>
      </c>
    </row>
    <row r="1242" spans="1:4" x14ac:dyDescent="0.2">
      <c r="A1242" s="5">
        <v>1181</v>
      </c>
      <c r="B1242" s="138">
        <f>'Expenditures 15-22'!E151</f>
        <v>79907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67776</v>
      </c>
      <c r="D1245" s="2" t="str">
        <f t="shared" si="18"/>
        <v>Error?</v>
      </c>
    </row>
    <row r="1246" spans="1:4" x14ac:dyDescent="0.2">
      <c r="A1246" s="10">
        <v>1185</v>
      </c>
      <c r="D1246" s="2" t="str">
        <f t="shared" si="18"/>
        <v>OK</v>
      </c>
    </row>
    <row r="1247" spans="1:4" x14ac:dyDescent="0.2">
      <c r="A1247" s="5">
        <v>1186</v>
      </c>
      <c r="B1247" s="138">
        <f>'Expenditures 15-22'!F127</f>
        <v>67776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67776</v>
      </c>
      <c r="C1249" s="2" t="s">
        <v>594</v>
      </c>
      <c r="D1249" s="2" t="str">
        <f t="shared" si="18"/>
        <v>Error?</v>
      </c>
    </row>
    <row r="1250" spans="1:4" x14ac:dyDescent="0.2">
      <c r="A1250" s="5">
        <v>1189</v>
      </c>
      <c r="B1250" s="138">
        <f>'Expenditures 15-22'!F151</f>
        <v>67776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11333</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11333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262713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262713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262713</v>
      </c>
      <c r="C1281" s="2" t="s">
        <v>594</v>
      </c>
      <c r="D1281" s="2" t="str">
        <f t="shared" si="19"/>
        <v>Error?</v>
      </c>
    </row>
    <row r="1282" spans="1:4" x14ac:dyDescent="0.2">
      <c r="A1282" s="5">
        <v>1221</v>
      </c>
      <c r="B1282" s="138">
        <f>'Expenditures 15-22'!K139</f>
        <v>11333</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274046</v>
      </c>
      <c r="C1288" s="2" t="s">
        <v>594</v>
      </c>
      <c r="D1288" s="2" t="str">
        <f t="shared" si="19"/>
        <v>Error?</v>
      </c>
    </row>
    <row r="1289" spans="1:4" x14ac:dyDescent="0.2">
      <c r="A1289" s="5">
        <v>1228</v>
      </c>
      <c r="B1289" s="138">
        <f>'Expenditures 15-22'!K152</f>
        <v>-17792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14157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60657</v>
      </c>
      <c r="C1317" s="2" t="s">
        <v>594</v>
      </c>
      <c r="D1317" s="2" t="str">
        <f t="shared" si="19"/>
        <v>Error?</v>
      </c>
    </row>
    <row r="1318" spans="1:4" x14ac:dyDescent="0.2">
      <c r="A1318" s="5">
        <v>1257</v>
      </c>
      <c r="B1318" s="138">
        <f>'Expenditures 15-22'!H174</f>
        <v>60657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14157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60657</v>
      </c>
      <c r="C1331" s="2" t="s">
        <v>594</v>
      </c>
      <c r="D1331" s="2" t="str">
        <f t="shared" si="19"/>
        <v>Error?</v>
      </c>
    </row>
    <row r="1332" spans="1:4" x14ac:dyDescent="0.2">
      <c r="A1332" s="5">
        <v>1271</v>
      </c>
      <c r="B1332" s="138">
        <f>'Expenditures 15-22'!K174</f>
        <v>60657</v>
      </c>
      <c r="C1332" s="2" t="s">
        <v>594</v>
      </c>
      <c r="D1332" s="2" t="str">
        <f t="shared" si="19"/>
        <v>Error?</v>
      </c>
    </row>
    <row r="1333" spans="1:4" x14ac:dyDescent="0.2">
      <c r="A1333" s="5">
        <v>1272</v>
      </c>
      <c r="B1333" s="138">
        <f>'Expenditures 15-22'!K175</f>
        <v>-331</v>
      </c>
      <c r="C1333" s="2" t="s">
        <v>594</v>
      </c>
      <c r="D1333" s="2" t="str">
        <f t="shared" si="19"/>
        <v>Error?</v>
      </c>
    </row>
    <row r="1334" spans="1:4" x14ac:dyDescent="0.2">
      <c r="A1334" s="10">
        <v>1273</v>
      </c>
      <c r="D1334" s="2" t="str">
        <f t="shared" si="19"/>
        <v>OK</v>
      </c>
    </row>
    <row r="1335" spans="1:4" x14ac:dyDescent="0.2">
      <c r="A1335" s="5">
        <v>1274</v>
      </c>
      <c r="B1335" s="138">
        <f>'Expenditures 15-22'!C182</f>
        <v>82926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82926</v>
      </c>
      <c r="C1339" s="2" t="s">
        <v>594</v>
      </c>
      <c r="D1339" s="2" t="str">
        <f t="shared" si="19"/>
        <v>Error?</v>
      </c>
    </row>
    <row r="1340" spans="1:4" x14ac:dyDescent="0.2">
      <c r="A1340" s="5">
        <v>1279</v>
      </c>
      <c r="B1340" s="138">
        <f>'Expenditures 15-22'!C210</f>
        <v>82926</v>
      </c>
      <c r="C1340" s="2" t="s">
        <v>594</v>
      </c>
      <c r="D1340" s="2" t="str">
        <f t="shared" si="19"/>
        <v>Error?</v>
      </c>
    </row>
    <row r="1341" spans="1:4" x14ac:dyDescent="0.2">
      <c r="A1341" s="5">
        <v>1280</v>
      </c>
      <c r="B1341" s="138">
        <f>'Expenditures 15-22'!D182</f>
        <v>4846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4846</v>
      </c>
      <c r="C1345" s="2" t="s">
        <v>594</v>
      </c>
      <c r="D1345" s="2" t="str">
        <f t="shared" si="20"/>
        <v>Error?</v>
      </c>
    </row>
    <row r="1346" spans="1:4" x14ac:dyDescent="0.2">
      <c r="A1346" s="5">
        <v>1285</v>
      </c>
      <c r="B1346" s="138">
        <f>'Expenditures 15-22'!D210</f>
        <v>4846</v>
      </c>
      <c r="C1346" s="2" t="s">
        <v>594</v>
      </c>
      <c r="D1346" s="2" t="str">
        <f t="shared" si="20"/>
        <v>Error?</v>
      </c>
    </row>
    <row r="1347" spans="1:4" x14ac:dyDescent="0.2">
      <c r="A1347" s="5">
        <v>1286</v>
      </c>
      <c r="B1347" s="138">
        <f>'Expenditures 15-22'!E182</f>
        <v>20983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20983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20983</v>
      </c>
      <c r="C1353" s="2" t="s">
        <v>594</v>
      </c>
      <c r="D1353" s="2" t="str">
        <f t="shared" si="20"/>
        <v>Error?</v>
      </c>
    </row>
    <row r="1354" spans="1:4" x14ac:dyDescent="0.2">
      <c r="A1354" s="5">
        <v>1293</v>
      </c>
      <c r="B1354" s="138">
        <f>'Expenditures 15-22'!F182</f>
        <v>26225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26225</v>
      </c>
      <c r="C1358" s="2" t="s">
        <v>594</v>
      </c>
      <c r="D1358" s="2" t="str">
        <f t="shared" si="20"/>
        <v>Error?</v>
      </c>
    </row>
    <row r="1359" spans="1:4" x14ac:dyDescent="0.2">
      <c r="A1359" s="5">
        <v>1298</v>
      </c>
      <c r="B1359" s="138">
        <f>'Expenditures 15-22'!F210</f>
        <v>26225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134980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134980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134980</v>
      </c>
      <c r="C1388" s="2" t="s">
        <v>594</v>
      </c>
      <c r="D1388" s="2" t="str">
        <f t="shared" si="20"/>
        <v>Error?</v>
      </c>
    </row>
    <row r="1389" spans="1:4" x14ac:dyDescent="0.2">
      <c r="A1389" s="5">
        <v>1328</v>
      </c>
      <c r="B1389" s="138">
        <f>'Expenditures 15-22'!K211</f>
        <v>32255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940</v>
      </c>
      <c r="D1407" s="2" t="str">
        <f t="shared" ref="D1407:D1470" si="21">IF(ISBLANK(B1407),"OK",IF(A1407-B1407=0,"OK","Error?"))</f>
        <v>Error?</v>
      </c>
    </row>
    <row r="1408" spans="1:4" x14ac:dyDescent="0.2">
      <c r="A1408" s="5">
        <v>1347</v>
      </c>
      <c r="B1408" s="138">
        <f>'Expenditures 15-22'!D223</f>
        <v>1369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13619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459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3961</v>
      </c>
      <c r="D1423" s="2" t="str">
        <f t="shared" si="21"/>
        <v>Error?</v>
      </c>
    </row>
    <row r="1424" spans="1:4" x14ac:dyDescent="0.2">
      <c r="A1424" s="5">
        <v>1363</v>
      </c>
      <c r="B1424" s="138">
        <f>'Expenditures 15-22'!D257</f>
        <v>3961</v>
      </c>
      <c r="C1424" s="2" t="s">
        <v>594</v>
      </c>
      <c r="D1424" s="2" t="str">
        <f t="shared" si="21"/>
        <v>Error?</v>
      </c>
    </row>
    <row r="1425" spans="1:4" x14ac:dyDescent="0.2">
      <c r="A1425" s="5">
        <v>1364</v>
      </c>
      <c r="B1425" s="138">
        <f>'Expenditures 15-22'!D259</f>
        <v>5335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5335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5258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14540</v>
      </c>
      <c r="D1431" s="2" t="str">
        <f t="shared" si="21"/>
        <v>Error?</v>
      </c>
    </row>
    <row r="1432" spans="1:4" x14ac:dyDescent="0.2">
      <c r="A1432" s="5">
        <v>1371</v>
      </c>
      <c r="B1432" s="138">
        <f>'Expenditures 15-22'!D267</f>
        <v>10274</v>
      </c>
      <c r="D1432" s="2" t="str">
        <f t="shared" si="21"/>
        <v>Error?</v>
      </c>
    </row>
    <row r="1433" spans="1:4" x14ac:dyDescent="0.2">
      <c r="A1433" s="5">
        <v>1372</v>
      </c>
      <c r="B1433" s="138">
        <f>'Expenditures 15-22'!D268</f>
        <v>8662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38734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48788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62407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940</v>
      </c>
      <c r="C1471" s="2" t="s">
        <v>594</v>
      </c>
      <c r="D1471" s="2" t="str">
        <f t="shared" ref="D1471:D1534" si="22">IF(ISBLANK(B1471),"OK",IF(A1471-B1471=0,"OK","Error?"))</f>
        <v>Error?</v>
      </c>
    </row>
    <row r="1472" spans="1:4" x14ac:dyDescent="0.2">
      <c r="A1472" s="5">
        <v>1411</v>
      </c>
      <c r="B1472" s="138">
        <f>'Expenditures 15-22'!K223</f>
        <v>1369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13619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459</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459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299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3961</v>
      </c>
      <c r="C1487" s="2" t="s">
        <v>594</v>
      </c>
      <c r="D1487" s="2" t="str">
        <f t="shared" si="22"/>
        <v>Error?</v>
      </c>
    </row>
    <row r="1488" spans="1:4" x14ac:dyDescent="0.2">
      <c r="A1488" s="5">
        <v>1427</v>
      </c>
      <c r="B1488" s="138">
        <f>'Expenditures 15-22'!K257</f>
        <v>3961</v>
      </c>
      <c r="C1488" s="2" t="s">
        <v>594</v>
      </c>
      <c r="D1488" s="2" t="str">
        <f t="shared" si="22"/>
        <v>Error?</v>
      </c>
    </row>
    <row r="1489" spans="1:4" x14ac:dyDescent="0.2">
      <c r="A1489" s="5">
        <v>1428</v>
      </c>
      <c r="B1489" s="138">
        <f>'Expenditures 15-22'!K259</f>
        <v>5335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5335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5258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14540</v>
      </c>
      <c r="C1495" s="2" t="s">
        <v>594</v>
      </c>
      <c r="D1495" s="2" t="str">
        <f t="shared" si="22"/>
        <v>Error?</v>
      </c>
    </row>
    <row r="1496" spans="1:4" x14ac:dyDescent="0.2">
      <c r="A1496" s="5">
        <v>1435</v>
      </c>
      <c r="B1496" s="138">
        <f>'Expenditures 15-22'!K267</f>
        <v>10274</v>
      </c>
      <c r="C1496" s="2" t="s">
        <v>594</v>
      </c>
      <c r="D1496" s="2" t="str">
        <f t="shared" si="22"/>
        <v>Error?</v>
      </c>
    </row>
    <row r="1497" spans="1:4" x14ac:dyDescent="0.2">
      <c r="A1497" s="5">
        <v>1436</v>
      </c>
      <c r="B1497" s="138">
        <f>'Expenditures 15-22'!K268</f>
        <v>8662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38734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48788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62407</v>
      </c>
      <c r="C1517" s="2" t="s">
        <v>594</v>
      </c>
      <c r="D1517" s="2" t="str">
        <f t="shared" si="22"/>
        <v>Error?</v>
      </c>
    </row>
    <row r="1518" spans="1:4" x14ac:dyDescent="0.2">
      <c r="A1518" s="5">
        <v>1457</v>
      </c>
      <c r="B1518" s="138">
        <f>'Expenditures 15-22'!K296</f>
        <v>8191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146191</v>
      </c>
      <c r="D1534" s="2" t="str">
        <f t="shared" si="22"/>
        <v>Error?</v>
      </c>
    </row>
    <row r="1535" spans="1:4" x14ac:dyDescent="0.2">
      <c r="A1535" s="5">
        <v>1474</v>
      </c>
      <c r="B1535" s="138">
        <f>'Expenditures 15-22'!E303</f>
        <v>146191</v>
      </c>
      <c r="C1535" s="2" t="s">
        <v>594</v>
      </c>
      <c r="D1535" s="2" t="str">
        <f t="shared" ref="D1535:D1598" si="23">IF(ISBLANK(B1535),"OK",IF(A1535-B1535=0,"OK","Error?"))</f>
        <v>Error?</v>
      </c>
    </row>
    <row r="1536" spans="1:4" x14ac:dyDescent="0.2">
      <c r="A1536" s="5">
        <v>1475</v>
      </c>
      <c r="B1536" s="138">
        <f>'Expenditures 15-22'!E312</f>
        <v>146191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146191</v>
      </c>
      <c r="C1558" s="2" t="s">
        <v>594</v>
      </c>
      <c r="D1558" s="2" t="str">
        <f t="shared" si="23"/>
        <v>Error?</v>
      </c>
    </row>
    <row r="1559" spans="1:4" x14ac:dyDescent="0.2">
      <c r="A1559" s="5">
        <v>1498</v>
      </c>
      <c r="B1559" s="138">
        <f>'Expenditures 15-22'!K303</f>
        <v>146191</v>
      </c>
      <c r="C1559" s="2" t="s">
        <v>594</v>
      </c>
      <c r="D1559" s="2" t="str">
        <f t="shared" si="23"/>
        <v>Error?</v>
      </c>
    </row>
    <row r="1560" spans="1:4" x14ac:dyDescent="0.2">
      <c r="A1560" s="5">
        <v>1499</v>
      </c>
      <c r="B1560" s="138">
        <f>'Expenditures 15-22'!K312</f>
        <v>146191</v>
      </c>
      <c r="C1560" s="2" t="s">
        <v>594</v>
      </c>
      <c r="D1560" s="2" t="str">
        <f t="shared" si="23"/>
        <v>Error?</v>
      </c>
    </row>
    <row r="1561" spans="1:4" x14ac:dyDescent="0.2">
      <c r="A1561" s="5">
        <v>1500</v>
      </c>
      <c r="B1561" s="138">
        <f>'Expenditures 15-22'!K313</f>
        <v>-27004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2030014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2403656</v>
      </c>
      <c r="C1630" s="2" t="s">
        <v>594</v>
      </c>
      <c r="D1630" s="2" t="str">
        <f t="shared" si="24"/>
        <v>Error?</v>
      </c>
    </row>
    <row r="1631" spans="1:4" x14ac:dyDescent="0.2">
      <c r="A1631" s="5">
        <v>1570</v>
      </c>
      <c r="B1631" s="138">
        <f>'Acct Summary 7-8'!D79</f>
        <v>124007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106215</v>
      </c>
      <c r="C1644" s="2" t="s">
        <v>594</v>
      </c>
      <c r="D1644" s="2" t="str">
        <f t="shared" si="24"/>
        <v>Error?</v>
      </c>
    </row>
    <row r="1645" spans="1:4" x14ac:dyDescent="0.2">
      <c r="A1645" s="5">
        <v>1584</v>
      </c>
      <c r="B1645" s="138">
        <f>'Acct Summary 7-8'!E79</f>
        <v>9088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8757</v>
      </c>
      <c r="C1658" s="2" t="s">
        <v>594</v>
      </c>
      <c r="D1658" s="2" t="str">
        <f t="shared" si="24"/>
        <v>Error?</v>
      </c>
    </row>
    <row r="1659" spans="1:4" x14ac:dyDescent="0.2">
      <c r="A1659" s="5">
        <v>1598</v>
      </c>
      <c r="B1659" s="138">
        <f>'Acct Summary 7-8'!F79</f>
        <v>139270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171525</v>
      </c>
      <c r="C1672" s="2" t="s">
        <v>594</v>
      </c>
      <c r="D1672" s="2" t="str">
        <f t="shared" si="25"/>
        <v>Error?</v>
      </c>
    </row>
    <row r="1673" spans="1:4" x14ac:dyDescent="0.2">
      <c r="A1673" s="5">
        <v>1612</v>
      </c>
      <c r="B1673" s="138">
        <f>'Acct Summary 7-8'!G79</f>
        <v>55189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63380</v>
      </c>
      <c r="C1686" s="2" t="s">
        <v>594</v>
      </c>
      <c r="D1686" s="2" t="str">
        <f t="shared" si="25"/>
        <v>Error?</v>
      </c>
    </row>
    <row r="1687" spans="1:4" x14ac:dyDescent="0.2">
      <c r="A1687" s="5">
        <v>1626</v>
      </c>
      <c r="B1687" s="138">
        <f>'Acct Summary 7-8'!H79</f>
        <v>338253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311249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1210323</v>
      </c>
      <c r="C1744" s="2" t="s">
        <v>594</v>
      </c>
      <c r="D1744" s="2" t="str">
        <f t="shared" si="26"/>
        <v>Error?</v>
      </c>
    </row>
    <row r="1745" spans="1:5" x14ac:dyDescent="0.2">
      <c r="A1745" s="5">
        <v>1684</v>
      </c>
      <c r="B1745" s="138">
        <f>'Tax Sched 23'!B5</f>
        <v>255925</v>
      </c>
      <c r="C1745" s="2" t="s">
        <v>594</v>
      </c>
      <c r="D1745" s="2" t="str">
        <f t="shared" si="26"/>
        <v>Error?</v>
      </c>
    </row>
    <row r="1746" spans="1:5" x14ac:dyDescent="0.2">
      <c r="A1746" s="5">
        <v>1685</v>
      </c>
      <c r="B1746" s="138">
        <f>'Tax Sched 23'!B6</f>
        <v>60280</v>
      </c>
      <c r="C1746" s="2" t="s">
        <v>594</v>
      </c>
      <c r="D1746" s="2" t="str">
        <f t="shared" si="26"/>
        <v>Error?</v>
      </c>
    </row>
    <row r="1747" spans="1:5" x14ac:dyDescent="0.2">
      <c r="A1747" s="5">
        <v>1686</v>
      </c>
      <c r="B1747" s="138">
        <f>'Tax Sched 23'!B7</f>
        <v>65624</v>
      </c>
      <c r="C1747" s="2" t="s">
        <v>594</v>
      </c>
      <c r="D1747" s="2" t="str">
        <f t="shared" si="26"/>
        <v>Error?</v>
      </c>
    </row>
    <row r="1748" spans="1:5" x14ac:dyDescent="0.2">
      <c r="A1748" s="5">
        <v>1687</v>
      </c>
      <c r="B1748" s="138">
        <f>'Tax Sched 23'!B8</f>
        <v>322</v>
      </c>
      <c r="C1748" s="2" t="s">
        <v>594</v>
      </c>
      <c r="D1748" s="2" t="str">
        <f t="shared" si="26"/>
        <v>Error?</v>
      </c>
    </row>
    <row r="1749" spans="1:5" x14ac:dyDescent="0.2">
      <c r="A1749" s="5">
        <v>1688</v>
      </c>
      <c r="B1749" s="138">
        <f>'Tax Sched 23'!B10</f>
        <v>19547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26973</v>
      </c>
      <c r="C1752" s="2" t="s">
        <v>594</v>
      </c>
      <c r="D1752" s="2" t="str">
        <f t="shared" si="26"/>
        <v>Error?</v>
      </c>
    </row>
    <row r="1753" spans="1:5" x14ac:dyDescent="0.2">
      <c r="A1753" s="5">
        <v>1692</v>
      </c>
      <c r="B1753" s="138">
        <f>'Tax Sched 23'!B12</f>
        <v>23285</v>
      </c>
      <c r="C1753" s="2" t="s">
        <v>594</v>
      </c>
      <c r="D1753" s="2" t="str">
        <f t="shared" si="26"/>
        <v>Error?</v>
      </c>
    </row>
    <row r="1754" spans="1:5" x14ac:dyDescent="0.2">
      <c r="A1754" s="5">
        <v>1693</v>
      </c>
      <c r="B1754" s="138">
        <f>'Tax Sched 23'!B14</f>
        <v>13964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1776406</v>
      </c>
      <c r="C1759" s="2" t="s">
        <v>594</v>
      </c>
      <c r="D1759" s="2" t="str">
        <f t="shared" si="26"/>
        <v>Error?</v>
      </c>
    </row>
    <row r="1760" spans="1:5" x14ac:dyDescent="0.2">
      <c r="A1760" s="5">
        <v>1699</v>
      </c>
      <c r="B1760" s="138">
        <f>'Tax Sched 23'!D4</f>
        <v>1210323</v>
      </c>
      <c r="C1760" s="2" t="s">
        <v>594</v>
      </c>
      <c r="D1760" s="2" t="str">
        <f t="shared" si="26"/>
        <v>Error?</v>
      </c>
    </row>
    <row r="1761" spans="1:5" x14ac:dyDescent="0.2">
      <c r="A1761" s="5">
        <v>1700</v>
      </c>
      <c r="B1761" s="138">
        <f>'Tax Sched 23'!D5</f>
        <v>255925</v>
      </c>
      <c r="C1761" s="2" t="s">
        <v>594</v>
      </c>
      <c r="D1761" s="2" t="str">
        <f t="shared" si="26"/>
        <v>Error?</v>
      </c>
    </row>
    <row r="1762" spans="1:5" s="8" customFormat="1" x14ac:dyDescent="0.2">
      <c r="A1762" s="5">
        <v>1701</v>
      </c>
      <c r="B1762" s="138">
        <f>'Tax Sched 23'!D6</f>
        <v>60280</v>
      </c>
      <c r="C1762" s="2" t="s">
        <v>594</v>
      </c>
      <c r="D1762" s="2" t="str">
        <f t="shared" si="26"/>
        <v>Error?</v>
      </c>
      <c r="E1762" s="9"/>
    </row>
    <row r="1763" spans="1:5" x14ac:dyDescent="0.2">
      <c r="A1763" s="5">
        <v>1702</v>
      </c>
      <c r="B1763" s="138">
        <f>'Tax Sched 23'!D7</f>
        <v>65624</v>
      </c>
      <c r="C1763" s="2" t="s">
        <v>594</v>
      </c>
      <c r="D1763" s="2" t="str">
        <f t="shared" si="26"/>
        <v>Error?</v>
      </c>
    </row>
    <row r="1764" spans="1:5" x14ac:dyDescent="0.2">
      <c r="A1764" s="5">
        <v>1703</v>
      </c>
      <c r="B1764" s="138">
        <f>'Tax Sched 23'!D8</f>
        <v>322</v>
      </c>
      <c r="C1764" s="2" t="s">
        <v>594</v>
      </c>
      <c r="D1764" s="2" t="str">
        <f t="shared" si="26"/>
        <v>Error?</v>
      </c>
    </row>
    <row r="1765" spans="1:5" x14ac:dyDescent="0.2">
      <c r="A1765" s="5">
        <v>1704</v>
      </c>
      <c r="B1765" s="138">
        <f>'Tax Sched 23'!D10</f>
        <v>19547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26973</v>
      </c>
      <c r="C1768" s="2" t="s">
        <v>594</v>
      </c>
      <c r="D1768" s="2" t="str">
        <f t="shared" si="26"/>
        <v>Error?</v>
      </c>
    </row>
    <row r="1769" spans="1:5" x14ac:dyDescent="0.2">
      <c r="A1769" s="5">
        <v>1708</v>
      </c>
      <c r="B1769" s="138">
        <f>'Tax Sched 23'!D12</f>
        <v>23285</v>
      </c>
      <c r="C1769" s="2" t="s">
        <v>594</v>
      </c>
      <c r="D1769" s="2" t="str">
        <f t="shared" si="26"/>
        <v>Error?</v>
      </c>
    </row>
    <row r="1770" spans="1:5" x14ac:dyDescent="0.2">
      <c r="A1770" s="5">
        <v>1709</v>
      </c>
      <c r="B1770" s="138">
        <f>'Tax Sched 23'!D14</f>
        <v>13964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1776406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1306915</v>
      </c>
      <c r="C1792" s="2" t="s">
        <v>594</v>
      </c>
      <c r="D1792" s="2" t="str">
        <f t="shared" si="27"/>
        <v>Error?</v>
      </c>
    </row>
    <row r="1793" spans="1:4" x14ac:dyDescent="0.2">
      <c r="A1793" s="5">
        <v>1732</v>
      </c>
      <c r="B1793" s="138">
        <f>'Tax Sched 23'!F5</f>
        <v>260086</v>
      </c>
      <c r="C1793" s="2" t="s">
        <v>594</v>
      </c>
      <c r="D1793" s="2" t="str">
        <f t="shared" si="27"/>
        <v>Error?</v>
      </c>
    </row>
    <row r="1794" spans="1:4" x14ac:dyDescent="0.2">
      <c r="A1794" s="5">
        <v>1733</v>
      </c>
      <c r="B1794" s="138">
        <f>'Tax Sched 23'!F6</f>
        <v>59990</v>
      </c>
      <c r="C1794" s="2" t="s">
        <v>594</v>
      </c>
      <c r="D1794" s="2" t="str">
        <f t="shared" si="27"/>
        <v>Error?</v>
      </c>
    </row>
    <row r="1795" spans="1:4" x14ac:dyDescent="0.2">
      <c r="A1795" s="5">
        <v>1734</v>
      </c>
      <c r="B1795" s="138">
        <f>'Tax Sched 23'!F7</f>
        <v>83599</v>
      </c>
      <c r="C1795" s="2" t="s">
        <v>594</v>
      </c>
      <c r="D1795" s="2" t="str">
        <f t="shared" si="27"/>
        <v>Error?</v>
      </c>
    </row>
    <row r="1796" spans="1:4" x14ac:dyDescent="0.2">
      <c r="A1796" s="5">
        <v>1735</v>
      </c>
      <c r="B1796" s="138">
        <f>'Tax Sched 23'!F8</f>
        <v>5578</v>
      </c>
      <c r="C1796" s="2" t="s">
        <v>594</v>
      </c>
      <c r="D1796" s="2" t="str">
        <f t="shared" si="27"/>
        <v>Error?</v>
      </c>
    </row>
    <row r="1797" spans="1:4" x14ac:dyDescent="0.2">
      <c r="A1797" s="5">
        <v>1736</v>
      </c>
      <c r="B1797" s="138">
        <f>'Tax Sched 23'!F10</f>
        <v>20440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931</v>
      </c>
      <c r="C1800" s="2" t="s">
        <v>594</v>
      </c>
      <c r="D1800" s="2" t="str">
        <f t="shared" si="27"/>
        <v>Error?</v>
      </c>
    </row>
    <row r="1801" spans="1:4" x14ac:dyDescent="0.2">
      <c r="A1801" s="5">
        <v>1740</v>
      </c>
      <c r="B1801" s="138">
        <f>'Tax Sched 23'!F12</f>
        <v>43685</v>
      </c>
      <c r="C1801" s="2" t="s">
        <v>594</v>
      </c>
      <c r="D1801" s="2" t="str">
        <f t="shared" si="27"/>
        <v>Error?</v>
      </c>
    </row>
    <row r="1802" spans="1:4" x14ac:dyDescent="0.2">
      <c r="A1802" s="5">
        <v>1741</v>
      </c>
      <c r="B1802" s="138">
        <f>'Tax Sched 23'!F14</f>
        <v>15793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1841612</v>
      </c>
      <c r="C1807" s="2" t="s">
        <v>594</v>
      </c>
      <c r="D1807" s="2" t="str">
        <f t="shared" si="27"/>
        <v>Error?</v>
      </c>
    </row>
    <row r="1808" spans="1:4" x14ac:dyDescent="0.2">
      <c r="A1808" s="5">
        <v>1747</v>
      </c>
      <c r="B1808" s="138">
        <f>'Tax Sched 23'!E4</f>
        <v>1306915</v>
      </c>
      <c r="D1808" s="2" t="str">
        <f t="shared" si="27"/>
        <v>Error?</v>
      </c>
    </row>
    <row r="1809" spans="1:4" x14ac:dyDescent="0.2">
      <c r="A1809" s="5">
        <v>1748</v>
      </c>
      <c r="B1809" s="138">
        <f>'Tax Sched 23'!E5</f>
        <v>260086</v>
      </c>
      <c r="D1809" s="2" t="str">
        <f t="shared" si="27"/>
        <v>Error?</v>
      </c>
    </row>
    <row r="1810" spans="1:4" x14ac:dyDescent="0.2">
      <c r="A1810" s="5">
        <v>1749</v>
      </c>
      <c r="B1810" s="138">
        <f>'Tax Sched 23'!E6</f>
        <v>59990</v>
      </c>
      <c r="D1810" s="2" t="str">
        <f t="shared" si="27"/>
        <v>Error?</v>
      </c>
    </row>
    <row r="1811" spans="1:4" x14ac:dyDescent="0.2">
      <c r="A1811" s="5">
        <v>1750</v>
      </c>
      <c r="B1811" s="138">
        <f>'Tax Sched 23'!E7</f>
        <v>83599</v>
      </c>
      <c r="D1811" s="2" t="str">
        <f t="shared" si="27"/>
        <v>Error?</v>
      </c>
    </row>
    <row r="1812" spans="1:4" x14ac:dyDescent="0.2">
      <c r="A1812" s="5">
        <v>1751</v>
      </c>
      <c r="B1812" s="138">
        <f>'Tax Sched 23'!E8</f>
        <v>5578</v>
      </c>
      <c r="D1812" s="2" t="str">
        <f t="shared" si="27"/>
        <v>Error?</v>
      </c>
    </row>
    <row r="1813" spans="1:4" x14ac:dyDescent="0.2">
      <c r="A1813" s="5">
        <v>1752</v>
      </c>
      <c r="B1813" s="138">
        <f>'Tax Sched 23'!E10</f>
        <v>20440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931</v>
      </c>
      <c r="D1816" s="2" t="str">
        <f t="shared" si="27"/>
        <v>Error?</v>
      </c>
    </row>
    <row r="1817" spans="1:4" x14ac:dyDescent="0.2">
      <c r="A1817" s="5">
        <v>1756</v>
      </c>
      <c r="B1817" s="138">
        <f>'Tax Sched 23'!E12</f>
        <v>43685</v>
      </c>
      <c r="D1817" s="2" t="str">
        <f t="shared" si="27"/>
        <v>Error?</v>
      </c>
    </row>
    <row r="1818" spans="1:4" x14ac:dyDescent="0.2">
      <c r="A1818" s="5">
        <v>1757</v>
      </c>
      <c r="B1818" s="138">
        <f>'Tax Sched 23'!E14</f>
        <v>15793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1841612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371000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13964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13964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13964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61089</v>
      </c>
      <c r="D2008" s="2" t="str">
        <f t="shared" si="30"/>
        <v>Error?</v>
      </c>
    </row>
    <row r="2009" spans="1:4" x14ac:dyDescent="0.2">
      <c r="A2009" s="5">
        <v>1948</v>
      </c>
      <c r="B2009" s="138">
        <f>'Cap Outlay Deprec 26'!C8</f>
        <v>2041809</v>
      </c>
      <c r="D2009" s="2" t="str">
        <f t="shared" si="30"/>
        <v>Error?</v>
      </c>
    </row>
    <row r="2010" spans="1:4" x14ac:dyDescent="0.2">
      <c r="A2010" s="5">
        <v>1949</v>
      </c>
      <c r="B2010" s="138">
        <f>'Cap Outlay Deprec 26'!C10</f>
        <v>40338</v>
      </c>
      <c r="D2010" s="2" t="str">
        <f t="shared" si="30"/>
        <v>Error?</v>
      </c>
    </row>
    <row r="2011" spans="1:4" x14ac:dyDescent="0.2">
      <c r="A2011" s="5">
        <v>1950</v>
      </c>
      <c r="B2011" s="138">
        <f>'Cap Outlay Deprec 26'!C12</f>
        <v>596768</v>
      </c>
      <c r="D2011" s="2" t="str">
        <f t="shared" si="30"/>
        <v>Error?</v>
      </c>
    </row>
    <row r="2012" spans="1:4" x14ac:dyDescent="0.2">
      <c r="A2012" s="5">
        <v>1951</v>
      </c>
      <c r="B2012" s="138">
        <f>'Cap Outlay Deprec 26'!C13</f>
        <v>787963</v>
      </c>
      <c r="D2012" s="2" t="str">
        <f t="shared" si="30"/>
        <v>Error?</v>
      </c>
    </row>
    <row r="2013" spans="1:4" x14ac:dyDescent="0.2">
      <c r="A2013" s="5">
        <v>1952</v>
      </c>
      <c r="B2013" s="138">
        <f>'Cap Outlay Deprec 26'!C16</f>
        <v>3527967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61089</v>
      </c>
      <c r="C2026" s="2" t="s">
        <v>594</v>
      </c>
      <c r="D2026" s="2" t="str">
        <f t="shared" si="30"/>
        <v>Error?</v>
      </c>
    </row>
    <row r="2027" spans="1:4" x14ac:dyDescent="0.2">
      <c r="A2027" s="5">
        <v>1966</v>
      </c>
      <c r="B2027" s="138">
        <f>'Cap Outlay Deprec 26'!F8</f>
        <v>2041809</v>
      </c>
      <c r="C2027" s="2" t="s">
        <v>594</v>
      </c>
      <c r="D2027" s="2" t="str">
        <f t="shared" si="30"/>
        <v>Error?</v>
      </c>
    </row>
    <row r="2028" spans="1:4" x14ac:dyDescent="0.2">
      <c r="A2028" s="5">
        <v>1967</v>
      </c>
      <c r="B2028" s="138">
        <f>'Cap Outlay Deprec 26'!F10</f>
        <v>40338</v>
      </c>
      <c r="C2028" s="2" t="s">
        <v>594</v>
      </c>
      <c r="D2028" s="2" t="str">
        <f t="shared" si="30"/>
        <v>Error?</v>
      </c>
    </row>
    <row r="2029" spans="1:4" x14ac:dyDescent="0.2">
      <c r="A2029" s="5">
        <v>1968</v>
      </c>
      <c r="B2029" s="138">
        <f>'Cap Outlay Deprec 26'!F12</f>
        <v>596768</v>
      </c>
      <c r="C2029" s="2" t="s">
        <v>594</v>
      </c>
      <c r="D2029" s="2" t="str">
        <f t="shared" si="30"/>
        <v>Error?</v>
      </c>
    </row>
    <row r="2030" spans="1:4" x14ac:dyDescent="0.2">
      <c r="A2030" s="5">
        <v>1969</v>
      </c>
      <c r="B2030" s="138">
        <f>'Cap Outlay Deprec 26'!F13</f>
        <v>787963</v>
      </c>
      <c r="C2030" s="2" t="s">
        <v>594</v>
      </c>
      <c r="D2030" s="2" t="str">
        <f t="shared" si="30"/>
        <v>Error?</v>
      </c>
    </row>
    <row r="2031" spans="1:4" x14ac:dyDescent="0.2">
      <c r="A2031" s="5">
        <v>1970</v>
      </c>
      <c r="B2031" s="138">
        <f>'Cap Outlay Deprec 26'!F16</f>
        <v>3527967</v>
      </c>
      <c r="C2031" s="2" t="s">
        <v>594</v>
      </c>
      <c r="D2031" s="2" t="str">
        <f t="shared" si="30"/>
        <v>Error?</v>
      </c>
    </row>
    <row r="2032" spans="1:4" x14ac:dyDescent="0.2">
      <c r="A2032" s="10">
        <v>1971</v>
      </c>
      <c r="D2032" s="2" t="str">
        <f t="shared" si="30"/>
        <v>OK</v>
      </c>
    </row>
    <row r="2033" spans="1:4" x14ac:dyDescent="0.2">
      <c r="A2033" s="5">
        <v>1972</v>
      </c>
      <c r="B2033" s="138">
        <f>'Cap Outlay Deprec 26'!H8</f>
        <v>2030652</v>
      </c>
      <c r="D2033" s="2" t="str">
        <f t="shared" si="30"/>
        <v>Error?</v>
      </c>
    </row>
    <row r="2034" spans="1:4" x14ac:dyDescent="0.2">
      <c r="A2034" s="5">
        <v>1973</v>
      </c>
      <c r="B2034" s="138">
        <f>'Cap Outlay Deprec 26'!H10</f>
        <v>40338</v>
      </c>
      <c r="D2034" s="2" t="str">
        <f t="shared" si="30"/>
        <v>Error?</v>
      </c>
    </row>
    <row r="2035" spans="1:4" x14ac:dyDescent="0.2">
      <c r="A2035" s="5">
        <v>1974</v>
      </c>
      <c r="B2035" s="138">
        <f>'Cap Outlay Deprec 26'!H12</f>
        <v>596768</v>
      </c>
      <c r="D2035" s="2" t="str">
        <f t="shared" si="30"/>
        <v>Error?</v>
      </c>
    </row>
    <row r="2036" spans="1:4" x14ac:dyDescent="0.2">
      <c r="A2036" s="5">
        <v>1975</v>
      </c>
      <c r="B2036" s="138">
        <f>'Cap Outlay Deprec 26'!H13</f>
        <v>673916</v>
      </c>
      <c r="D2036" s="2" t="str">
        <f t="shared" si="30"/>
        <v>Error?</v>
      </c>
    </row>
    <row r="2037" spans="1:4" x14ac:dyDescent="0.2">
      <c r="A2037" s="5">
        <v>1976</v>
      </c>
      <c r="B2037" s="138">
        <f>'Cap Outlay Deprec 26'!H16</f>
        <v>3341674</v>
      </c>
      <c r="C2037" s="2" t="s">
        <v>594</v>
      </c>
      <c r="D2037" s="2" t="str">
        <f t="shared" si="30"/>
        <v>Error?</v>
      </c>
    </row>
    <row r="2038" spans="1:4" x14ac:dyDescent="0.2">
      <c r="A2038" s="10">
        <v>1977</v>
      </c>
      <c r="D2038" s="2" t="str">
        <f t="shared" si="30"/>
        <v>OK</v>
      </c>
    </row>
    <row r="2039" spans="1:4" x14ac:dyDescent="0.2">
      <c r="A2039" s="5">
        <v>1978</v>
      </c>
      <c r="B2039" s="138">
        <f>'Cap Outlay Deprec 26'!I8</f>
        <v>1859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57025</v>
      </c>
      <c r="D2042" s="2" t="str">
        <f t="shared" si="30"/>
        <v>Error?</v>
      </c>
    </row>
    <row r="2043" spans="1:4" x14ac:dyDescent="0.2">
      <c r="A2043" s="5">
        <v>1982</v>
      </c>
      <c r="B2043" s="138">
        <f>'Cap Outlay Deprec 26'!I16</f>
        <v>58884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2032511</v>
      </c>
      <c r="C2051" s="2" t="s">
        <v>594</v>
      </c>
      <c r="D2051" s="2" t="str">
        <f t="shared" si="31"/>
        <v>Error?</v>
      </c>
    </row>
    <row r="2052" spans="1:4" x14ac:dyDescent="0.2">
      <c r="A2052" s="5">
        <v>1991</v>
      </c>
      <c r="B2052" s="138">
        <f>'Cap Outlay Deprec 26'!K10</f>
        <v>40338</v>
      </c>
      <c r="C2052" s="2" t="s">
        <v>594</v>
      </c>
      <c r="D2052" s="2" t="str">
        <f t="shared" si="31"/>
        <v>Error?</v>
      </c>
    </row>
    <row r="2053" spans="1:4" x14ac:dyDescent="0.2">
      <c r="A2053" s="5">
        <v>1992</v>
      </c>
      <c r="B2053" s="138">
        <f>'Cap Outlay Deprec 26'!K12</f>
        <v>596768</v>
      </c>
      <c r="C2053" s="2" t="s">
        <v>594</v>
      </c>
      <c r="D2053" s="2" t="str">
        <f t="shared" si="31"/>
        <v>Error?</v>
      </c>
    </row>
    <row r="2054" spans="1:4" x14ac:dyDescent="0.2">
      <c r="A2054" s="5">
        <v>1993</v>
      </c>
      <c r="B2054" s="138">
        <f>'Cap Outlay Deprec 26'!K13</f>
        <v>730941</v>
      </c>
      <c r="C2054" s="2" t="s">
        <v>594</v>
      </c>
      <c r="D2054" s="2" t="str">
        <f t="shared" si="31"/>
        <v>Error?</v>
      </c>
    </row>
    <row r="2055" spans="1:4" x14ac:dyDescent="0.2">
      <c r="A2055" s="5">
        <v>1994</v>
      </c>
      <c r="B2055" s="138">
        <f>'Cap Outlay Deprec 26'!K16</f>
        <v>3400558</v>
      </c>
      <c r="C2055" s="2" t="s">
        <v>594</v>
      </c>
      <c r="D2055" s="2" t="str">
        <f t="shared" si="31"/>
        <v>Error?</v>
      </c>
    </row>
    <row r="2056" spans="1:4" x14ac:dyDescent="0.2">
      <c r="A2056" s="5">
        <v>1995</v>
      </c>
      <c r="B2056" s="138">
        <f>'Cap Outlay Deprec 26'!L5</f>
        <v>61089</v>
      </c>
      <c r="C2056" s="2" t="s">
        <v>594</v>
      </c>
      <c r="D2056" s="2" t="str">
        <f t="shared" si="31"/>
        <v>Error?</v>
      </c>
    </row>
    <row r="2057" spans="1:4" x14ac:dyDescent="0.2">
      <c r="A2057" s="5">
        <v>1996</v>
      </c>
      <c r="B2057" s="138">
        <f>'Cap Outlay Deprec 26'!L8</f>
        <v>9298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57022</v>
      </c>
      <c r="C2060" s="2" t="s">
        <v>594</v>
      </c>
      <c r="D2060" s="2" t="str">
        <f t="shared" si="31"/>
        <v>Error?</v>
      </c>
    </row>
    <row r="2061" spans="1:4" x14ac:dyDescent="0.2">
      <c r="A2061" s="5">
        <v>2000</v>
      </c>
      <c r="B2061" s="138">
        <f>'Cap Outlay Deprec 26'!L16</f>
        <v>127409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304596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304596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11333</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11333</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311249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1430976</v>
      </c>
      <c r="C2551" s="2" t="s">
        <v>594</v>
      </c>
      <c r="D2551" s="2" t="str">
        <f t="shared" si="38"/>
        <v>Error?</v>
      </c>
    </row>
    <row r="2552" spans="1:4" x14ac:dyDescent="0.2">
      <c r="A2552" s="10">
        <v>2491</v>
      </c>
      <c r="D2552" s="2" t="str">
        <f t="shared" si="38"/>
        <v>OK</v>
      </c>
    </row>
    <row r="2553" spans="1:4" x14ac:dyDescent="0.2">
      <c r="A2553" s="5">
        <v>2492</v>
      </c>
      <c r="B2553" s="138">
        <f>'Acct Summary 7-8'!C6</f>
        <v>717669</v>
      </c>
      <c r="C2553" s="2" t="s">
        <v>594</v>
      </c>
      <c r="D2553" s="2" t="str">
        <f t="shared" si="38"/>
        <v>Error?</v>
      </c>
    </row>
    <row r="2554" spans="1:4" x14ac:dyDescent="0.2">
      <c r="A2554" s="5">
        <v>2493</v>
      </c>
      <c r="B2554" s="138">
        <f>'Acct Summary 7-8'!C7</f>
        <v>233611</v>
      </c>
      <c r="C2554" s="2" t="s">
        <v>594</v>
      </c>
      <c r="D2554" s="2" t="str">
        <f t="shared" si="38"/>
        <v>Error?</v>
      </c>
    </row>
    <row r="2555" spans="1:4" x14ac:dyDescent="0.2">
      <c r="A2555" s="5">
        <v>2494</v>
      </c>
      <c r="B2555" s="138">
        <f>'Acct Summary 7-8'!C8</f>
        <v>2382256</v>
      </c>
      <c r="C2555" s="2" t="s">
        <v>594</v>
      </c>
      <c r="D2555" s="2" t="str">
        <f t="shared" si="38"/>
        <v>Error?</v>
      </c>
    </row>
    <row r="2556" spans="1:4" x14ac:dyDescent="0.2">
      <c r="A2556" s="5">
        <v>2495</v>
      </c>
      <c r="B2556" s="138">
        <f>'Acct Summary 7-8'!C12</f>
        <v>1076094</v>
      </c>
      <c r="C2556" s="2" t="s">
        <v>594</v>
      </c>
      <c r="D2556" s="2" t="str">
        <f t="shared" si="38"/>
        <v>Error?</v>
      </c>
    </row>
    <row r="2557" spans="1:4" x14ac:dyDescent="0.2">
      <c r="A2557" s="5">
        <v>2496</v>
      </c>
      <c r="B2557" s="138">
        <f>'Acct Summary 7-8'!C13</f>
        <v>612736</v>
      </c>
      <c r="C2557" s="2" t="s">
        <v>594</v>
      </c>
      <c r="D2557" s="2" t="str">
        <f t="shared" si="38"/>
        <v>Error?</v>
      </c>
    </row>
    <row r="2558" spans="1:4" x14ac:dyDescent="0.2">
      <c r="A2558" s="5">
        <v>2497</v>
      </c>
      <c r="B2558" s="138">
        <f>'Acct Summary 7-8'!C14</f>
        <v>15188</v>
      </c>
      <c r="C2558" s="2" t="s">
        <v>594</v>
      </c>
      <c r="D2558" s="2" t="str">
        <f t="shared" si="38"/>
        <v>Error?</v>
      </c>
    </row>
    <row r="2559" spans="1:4" x14ac:dyDescent="0.2">
      <c r="A2559" s="5">
        <v>2498</v>
      </c>
      <c r="B2559" s="138">
        <f>'Acct Summary 7-8'!C15</f>
        <v>304596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2008614</v>
      </c>
      <c r="C2561" s="2" t="s">
        <v>594</v>
      </c>
      <c r="D2561" s="2" t="str">
        <f t="shared" si="39"/>
        <v>Error?</v>
      </c>
    </row>
    <row r="2562" spans="1:4" x14ac:dyDescent="0.2">
      <c r="A2562" s="5">
        <v>2501</v>
      </c>
      <c r="B2562" s="138">
        <f>'Acct Summary 7-8'!C20</f>
        <v>373642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256254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256254</v>
      </c>
      <c r="C2568" s="2" t="s">
        <v>594</v>
      </c>
      <c r="D2568" s="2" t="str">
        <f t="shared" si="39"/>
        <v>Error?</v>
      </c>
    </row>
    <row r="2569" spans="1:4" x14ac:dyDescent="0.2">
      <c r="A2569" s="5">
        <v>2508</v>
      </c>
      <c r="B2569" s="138">
        <f>'Acct Summary 7-8'!D13</f>
        <v>262713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11333</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274046</v>
      </c>
      <c r="C2573" s="2" t="s">
        <v>594</v>
      </c>
      <c r="D2573" s="2" t="str">
        <f t="shared" si="39"/>
        <v>Error?</v>
      </c>
    </row>
    <row r="2574" spans="1:4" x14ac:dyDescent="0.2">
      <c r="A2574" s="5">
        <v>2513</v>
      </c>
      <c r="B2574" s="138">
        <f>'Acct Summary 7-8'!D20</f>
        <v>-17792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72093</v>
      </c>
      <c r="C2591" s="2" t="s">
        <v>594</v>
      </c>
      <c r="D2591" s="2" t="str">
        <f t="shared" si="39"/>
        <v>Error?</v>
      </c>
    </row>
    <row r="2592" spans="1:4" x14ac:dyDescent="0.2">
      <c r="A2592" s="10">
        <v>2531</v>
      </c>
      <c r="D2592" s="2" t="str">
        <f t="shared" si="39"/>
        <v>OK</v>
      </c>
    </row>
    <row r="2593" spans="1:4" x14ac:dyDescent="0.2">
      <c r="A2593" s="5">
        <v>2532</v>
      </c>
      <c r="B2593" s="138">
        <f>'Acct Summary 7-8'!F6</f>
        <v>95142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167235</v>
      </c>
      <c r="C2595" s="2" t="s">
        <v>594</v>
      </c>
      <c r="D2595" s="2" t="str">
        <f t="shared" si="39"/>
        <v>Error?</v>
      </c>
    </row>
    <row r="2596" spans="1:4" x14ac:dyDescent="0.2">
      <c r="A2596" s="5">
        <v>2535</v>
      </c>
      <c r="B2596" s="138">
        <f>'Acct Summary 7-8'!F13</f>
        <v>134980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134980</v>
      </c>
      <c r="C2600" s="2" t="s">
        <v>594</v>
      </c>
      <c r="D2600" s="2" t="str">
        <f t="shared" si="39"/>
        <v>Error?</v>
      </c>
    </row>
    <row r="2601" spans="1:4" x14ac:dyDescent="0.2">
      <c r="A2601" s="5">
        <v>2540</v>
      </c>
      <c r="B2601" s="138">
        <f>'Acct Summary 7-8'!F20</f>
        <v>32255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70598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70598</v>
      </c>
      <c r="C2606" s="2" t="s">
        <v>594</v>
      </c>
      <c r="D2606" s="2" t="str">
        <f t="shared" si="39"/>
        <v>Error?</v>
      </c>
    </row>
    <row r="2607" spans="1:4" x14ac:dyDescent="0.2">
      <c r="A2607" s="5">
        <v>2546</v>
      </c>
      <c r="B2607" s="138">
        <f>'Acct Summary 7-8'!G12</f>
        <v>13619</v>
      </c>
      <c r="C2607" s="2" t="s">
        <v>594</v>
      </c>
      <c r="D2607" s="2" t="str">
        <f t="shared" si="39"/>
        <v>Error?</v>
      </c>
    </row>
    <row r="2608" spans="1:4" x14ac:dyDescent="0.2">
      <c r="A2608" s="5">
        <v>2547</v>
      </c>
      <c r="B2608" s="138">
        <f>'Acct Summary 7-8'!G13</f>
        <v>48788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62407</v>
      </c>
      <c r="C2612" s="2" t="s">
        <v>594</v>
      </c>
      <c r="D2612" s="2" t="str">
        <f t="shared" si="39"/>
        <v>Error?</v>
      </c>
    </row>
    <row r="2613" spans="1:4" x14ac:dyDescent="0.2">
      <c r="A2613" s="5">
        <v>2552</v>
      </c>
      <c r="B2613" s="138">
        <f>'Acct Summary 7-8'!G20</f>
        <v>8191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60326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60326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60657</v>
      </c>
      <c r="C2634" s="2" t="s">
        <v>594</v>
      </c>
      <c r="D2634" s="2" t="str">
        <f t="shared" si="40"/>
        <v>Error?</v>
      </c>
    </row>
    <row r="2635" spans="1:4" x14ac:dyDescent="0.2">
      <c r="A2635" s="5">
        <v>2574</v>
      </c>
      <c r="B2635" s="138">
        <f>'Acct Summary 7-8'!E17</f>
        <v>60657</v>
      </c>
      <c r="C2635" s="2" t="s">
        <v>594</v>
      </c>
      <c r="D2635" s="2" t="str">
        <f t="shared" si="40"/>
        <v>Error?</v>
      </c>
    </row>
    <row r="2636" spans="1:4" x14ac:dyDescent="0.2">
      <c r="A2636" s="5">
        <v>2575</v>
      </c>
      <c r="B2636" s="138">
        <f>'Acct Summary 7-8'!E20</f>
        <v>-331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119187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119187</v>
      </c>
      <c r="C2658" s="2" t="s">
        <v>594</v>
      </c>
      <c r="D2658" s="2" t="str">
        <f t="shared" si="40"/>
        <v>Error?</v>
      </c>
    </row>
    <row r="2659" spans="1:4" x14ac:dyDescent="0.2">
      <c r="A2659" s="5">
        <v>2598</v>
      </c>
      <c r="B2659" s="138">
        <f>'Acct Summary 7-8'!H13</f>
        <v>146191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146191</v>
      </c>
      <c r="C2661" s="2" t="s">
        <v>594</v>
      </c>
      <c r="D2661" s="2" t="str">
        <f t="shared" si="40"/>
        <v>Error?</v>
      </c>
    </row>
    <row r="2662" spans="1:4" x14ac:dyDescent="0.2">
      <c r="A2662" s="5">
        <v>2601</v>
      </c>
      <c r="B2662" s="138">
        <f>'Acct Summary 7-8'!H20</f>
        <v>-27004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534204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637025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59363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637025</v>
      </c>
      <c r="D2912" s="2" t="str">
        <f t="shared" si="44"/>
        <v>Error?</v>
      </c>
    </row>
    <row r="2913" spans="1:4" x14ac:dyDescent="0.2">
      <c r="A2913" s="5">
        <v>2852</v>
      </c>
      <c r="B2913" s="138">
        <f>'Assets-Liab 5-6'!I41</f>
        <v>637025</v>
      </c>
      <c r="C2913" s="2" t="s">
        <v>594</v>
      </c>
      <c r="D2913" s="2" t="str">
        <f t="shared" si="44"/>
        <v>Error?</v>
      </c>
    </row>
    <row r="2914" spans="1:4" x14ac:dyDescent="0.2">
      <c r="A2914" s="5">
        <v>2853</v>
      </c>
      <c r="B2914" s="138">
        <f>'Assets-Liab 5-6'!L33</f>
        <v>59363</v>
      </c>
      <c r="D2914" s="2" t="str">
        <f t="shared" si="44"/>
        <v>Error?</v>
      </c>
    </row>
    <row r="2915" spans="1:4" x14ac:dyDescent="0.2">
      <c r="A2915" s="10">
        <v>2854</v>
      </c>
      <c r="D2915" s="2" t="str">
        <f t="shared" si="44"/>
        <v>OK</v>
      </c>
    </row>
    <row r="2916" spans="1:4" x14ac:dyDescent="0.2">
      <c r="A2916" s="5">
        <v>2855</v>
      </c>
      <c r="B2916" s="138">
        <f>'Assets-Liab 5-6'!L34</f>
        <v>59363</v>
      </c>
      <c r="C2916" s="2" t="s">
        <v>594</v>
      </c>
      <c r="D2916" s="2" t="str">
        <f t="shared" si="44"/>
        <v>Error?</v>
      </c>
    </row>
    <row r="2917" spans="1:4" x14ac:dyDescent="0.2">
      <c r="A2917" s="5">
        <v>2856</v>
      </c>
      <c r="B2917" s="138">
        <f>'Assets-Liab 5-6'!L41</f>
        <v>59363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278496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26100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278496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26100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11333</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11333</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28945</v>
      </c>
      <c r="D3055" s="2" t="str">
        <f t="shared" si="46"/>
        <v>Error?</v>
      </c>
    </row>
    <row r="3056" spans="1:4" x14ac:dyDescent="0.2">
      <c r="A3056" s="5">
        <v>2995</v>
      </c>
      <c r="B3056" s="138">
        <f>'Expenditures 15-22'!D10</f>
        <v>8439</v>
      </c>
      <c r="D3056" s="2" t="str">
        <f t="shared" si="46"/>
        <v>Error?</v>
      </c>
    </row>
    <row r="3057" spans="1:4" x14ac:dyDescent="0.2">
      <c r="A3057" s="5">
        <v>2996</v>
      </c>
      <c r="B3057" s="138">
        <f>'Expenditures 15-22'!E10</f>
        <v>80</v>
      </c>
      <c r="D3057" s="2" t="str">
        <f t="shared" si="46"/>
        <v>Error?</v>
      </c>
    </row>
    <row r="3058" spans="1:4" x14ac:dyDescent="0.2">
      <c r="A3058" s="5">
        <v>2997</v>
      </c>
      <c r="B3058" s="138">
        <f>'Expenditures 15-22'!F10</f>
        <v>674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38138</v>
      </c>
      <c r="C3062" s="2" t="s">
        <v>594</v>
      </c>
      <c r="D3062" s="2" t="str">
        <f t="shared" si="46"/>
        <v>Error?</v>
      </c>
    </row>
    <row r="3063" spans="1:4" x14ac:dyDescent="0.2">
      <c r="A3063" s="10">
        <v>3002</v>
      </c>
      <c r="D3063" s="2" t="str">
        <f t="shared" si="46"/>
        <v>OK</v>
      </c>
    </row>
    <row r="3064" spans="1:4" x14ac:dyDescent="0.2">
      <c r="A3064" s="5">
        <v>3003</v>
      </c>
      <c r="B3064" s="138">
        <f>'Expenditures 15-22'!D219</f>
        <v>420</v>
      </c>
      <c r="D3064" s="2" t="str">
        <f t="shared" si="46"/>
        <v>Error?</v>
      </c>
    </row>
    <row r="3065" spans="1:4" x14ac:dyDescent="0.2">
      <c r="A3065" s="5">
        <v>3004</v>
      </c>
      <c r="B3065" s="138">
        <f>'Expenditures 15-22'!K219</f>
        <v>420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22736</v>
      </c>
      <c r="C3225" s="2" t="s">
        <v>594</v>
      </c>
      <c r="D3225" s="2" t="str">
        <f t="shared" si="49"/>
        <v>Error?</v>
      </c>
    </row>
    <row r="3226" spans="1:4" x14ac:dyDescent="0.2">
      <c r="A3226" s="5">
        <v>3165</v>
      </c>
      <c r="B3226" s="138">
        <f>'Acct Summary 7-8'!I8</f>
        <v>22736</v>
      </c>
      <c r="C3226" s="2" t="s">
        <v>594</v>
      </c>
      <c r="D3226" s="2" t="str">
        <f t="shared" si="49"/>
        <v>Error?</v>
      </c>
    </row>
    <row r="3227" spans="1:4" x14ac:dyDescent="0.2">
      <c r="A3227" s="5">
        <v>3166</v>
      </c>
      <c r="B3227" s="138">
        <f>'Acct Summary 7-8'!I20</f>
        <v>22736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373642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-17792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32255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8191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-331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-27004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22736</v>
      </c>
      <c r="C3320" s="2" t="s">
        <v>594</v>
      </c>
      <c r="D3320" s="2" t="str">
        <f t="shared" si="50"/>
        <v>Error?</v>
      </c>
    </row>
    <row r="3321" spans="1:4" x14ac:dyDescent="0.2">
      <c r="A3321" s="5">
        <v>3260</v>
      </c>
      <c r="B3321" s="138">
        <f>'Acct Summary 7-8'!I79</f>
        <v>614289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637025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8941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8941</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1092953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6846</v>
      </c>
      <c r="D3417" s="2" t="str">
        <f t="shared" si="52"/>
        <v>Error?</v>
      </c>
    </row>
    <row r="3418" spans="1:4" x14ac:dyDescent="0.2">
      <c r="A3418" s="10">
        <v>3357</v>
      </c>
      <c r="D3418" s="2" t="str">
        <f t="shared" si="52"/>
        <v>OK</v>
      </c>
    </row>
    <row r="3419" spans="1:4" x14ac:dyDescent="0.2">
      <c r="A3419" s="5">
        <v>3358</v>
      </c>
      <c r="B3419" s="138">
        <f>'Assets-Liab 5-6'!F4</f>
        <v>131270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63380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311249</v>
      </c>
      <c r="D3425" s="2" t="str">
        <f t="shared" si="52"/>
        <v>Error?</v>
      </c>
    </row>
    <row r="3426" spans="1:4" x14ac:dyDescent="0.2">
      <c r="A3426" s="10">
        <v>3365</v>
      </c>
      <c r="D3426" s="2" t="str">
        <f t="shared" si="52"/>
        <v>OK</v>
      </c>
    </row>
    <row r="3427" spans="1:4" x14ac:dyDescent="0.2">
      <c r="A3427" s="5">
        <v>3366</v>
      </c>
      <c r="B3427" s="138">
        <f>'Assets-Liab 5-6'!I4</f>
        <v>102821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59363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64793</v>
      </c>
      <c r="C3446" s="2" t="s">
        <v>594</v>
      </c>
      <c r="D3446" s="2" t="str">
        <f t="shared" si="52"/>
        <v>Error?</v>
      </c>
    </row>
    <row r="3447" spans="1:4" x14ac:dyDescent="0.2">
      <c r="A3447" s="5">
        <v>3386</v>
      </c>
      <c r="B3447" s="138">
        <f>'Tax Sched 23'!D16</f>
        <v>64793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9293</v>
      </c>
      <c r="C3449" s="2" t="s">
        <v>594</v>
      </c>
      <c r="D3449" s="2" t="str">
        <f t="shared" si="52"/>
        <v>Error?</v>
      </c>
    </row>
    <row r="3450" spans="1:4" x14ac:dyDescent="0.2">
      <c r="A3450" s="5">
        <v>3389</v>
      </c>
      <c r="B3450" s="138">
        <f>'Tax Sched 23'!E16</f>
        <v>9293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68266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54379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122645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122645</v>
      </c>
      <c r="D3567" s="2" t="str">
        <f t="shared" si="54"/>
        <v>Error?</v>
      </c>
    </row>
    <row r="3568" spans="1:4" x14ac:dyDescent="0.2">
      <c r="A3568" s="5">
        <v>3507</v>
      </c>
      <c r="B3568" s="138">
        <f>'Assets-Liab 5-6'!K41</f>
        <v>122645</v>
      </c>
      <c r="C3568" s="2" t="s">
        <v>594</v>
      </c>
      <c r="D3568" s="2" t="str">
        <f t="shared" si="54"/>
        <v>Error?</v>
      </c>
    </row>
    <row r="3569" spans="1:4" x14ac:dyDescent="0.2">
      <c r="A3569" s="5">
        <v>3508</v>
      </c>
      <c r="B3569" s="138">
        <f>'Acct Summary 7-8'!K4</f>
        <v>24020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24020</v>
      </c>
      <c r="C3571" s="2" t="s">
        <v>594</v>
      </c>
      <c r="D3571" s="2" t="str">
        <f t="shared" si="54"/>
        <v>Error?</v>
      </c>
    </row>
    <row r="3572" spans="1:4" x14ac:dyDescent="0.2">
      <c r="A3572" s="5">
        <v>3511</v>
      </c>
      <c r="B3572" s="138">
        <f>'Acct Summary 7-8'!K13</f>
        <v>696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696</v>
      </c>
      <c r="C3575" s="2" t="s">
        <v>594</v>
      </c>
      <c r="D3575" s="2" t="str">
        <f t="shared" si="54"/>
        <v>Error?</v>
      </c>
    </row>
    <row r="3576" spans="1:4" x14ac:dyDescent="0.2">
      <c r="A3576" s="5">
        <v>3515</v>
      </c>
      <c r="B3576" s="138">
        <f>'Acct Summary 7-8'!K20</f>
        <v>23324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23324</v>
      </c>
      <c r="C3588" s="2" t="s">
        <v>594</v>
      </c>
      <c r="D3588" s="2" t="str">
        <f t="shared" si="55"/>
        <v>Error?</v>
      </c>
    </row>
    <row r="3589" spans="1:4" x14ac:dyDescent="0.2">
      <c r="A3589" s="5">
        <v>3528</v>
      </c>
      <c r="B3589" s="138">
        <f>'Acct Summary 7-8'!K79</f>
        <v>99321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122645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696</v>
      </c>
      <c r="D3632" s="2" t="str">
        <f t="shared" si="55"/>
        <v>Error?</v>
      </c>
    </row>
    <row r="3633" spans="1:4" x14ac:dyDescent="0.2">
      <c r="A3633" s="5">
        <v>3572</v>
      </c>
      <c r="B3633" s="138">
        <f>'Expenditures 15-22'!E350</f>
        <v>696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696</v>
      </c>
      <c r="C3635" s="2" t="s">
        <v>594</v>
      </c>
      <c r="D3635" s="2" t="str">
        <f t="shared" si="55"/>
        <v>Error?</v>
      </c>
    </row>
    <row r="3636" spans="1:4" x14ac:dyDescent="0.2">
      <c r="A3636" s="5">
        <v>3575</v>
      </c>
      <c r="B3636" s="138">
        <f>'Expenditures 15-22'!E367</f>
        <v>696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696</v>
      </c>
      <c r="C3669" s="2" t="s">
        <v>594</v>
      </c>
      <c r="D3669" s="2" t="str">
        <f t="shared" si="56"/>
        <v>Error?</v>
      </c>
    </row>
    <row r="3670" spans="1:4" x14ac:dyDescent="0.2">
      <c r="A3670" s="5">
        <v>3609</v>
      </c>
      <c r="B3670" s="138">
        <f>'Expenditures 15-22'!K350</f>
        <v>696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696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696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23324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35370</v>
      </c>
      <c r="C3725" s="2" t="s">
        <v>594</v>
      </c>
      <c r="D3725" s="2" t="str">
        <f t="shared" si="57"/>
        <v>Error?</v>
      </c>
    </row>
    <row r="3726" spans="1:4" x14ac:dyDescent="0.2">
      <c r="A3726" s="5">
        <v>3665</v>
      </c>
      <c r="B3726" s="138">
        <f>'Tax Sched 23'!D13</f>
        <v>35370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35302</v>
      </c>
      <c r="C3728" s="2" t="s">
        <v>594</v>
      </c>
      <c r="D3728" s="2" t="str">
        <f t="shared" si="57"/>
        <v>Error?</v>
      </c>
    </row>
    <row r="3729" spans="1:4" x14ac:dyDescent="0.2">
      <c r="A3729" s="5">
        <v>3668</v>
      </c>
      <c r="B3729" s="138">
        <f>'Tax Sched 23'!E13</f>
        <v>35302</v>
      </c>
      <c r="D3729" s="2" t="str">
        <f t="shared" si="57"/>
        <v>Error?</v>
      </c>
    </row>
    <row r="3730" spans="1:4" x14ac:dyDescent="0.2">
      <c r="A3730" s="5">
        <v>3669</v>
      </c>
      <c r="B3730" s="138">
        <f>'ICR Computation 30'!E10</f>
        <v>63030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717509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3099765</v>
      </c>
      <c r="C4122" s="2" t="s">
        <v>594</v>
      </c>
      <c r="D4122" s="2" t="str">
        <f t="shared" si="63"/>
        <v>Error?</v>
      </c>
    </row>
    <row r="4123" spans="1:4" x14ac:dyDescent="0.2">
      <c r="A4123" s="5">
        <v>4062</v>
      </c>
      <c r="B4123" s="138">
        <f>'Acct Summary 7-8'!D10</f>
        <v>256254</v>
      </c>
      <c r="C4123" s="2" t="s">
        <v>594</v>
      </c>
      <c r="D4123" s="2" t="str">
        <f t="shared" si="63"/>
        <v>Error?</v>
      </c>
    </row>
    <row r="4124" spans="1:4" x14ac:dyDescent="0.2">
      <c r="A4124" s="5">
        <v>4063</v>
      </c>
      <c r="B4124" s="138">
        <f>'Acct Summary 7-8'!E10</f>
        <v>60326</v>
      </c>
      <c r="C4124" s="2" t="s">
        <v>594</v>
      </c>
      <c r="D4124" s="2" t="str">
        <f t="shared" si="63"/>
        <v>Error?</v>
      </c>
    </row>
    <row r="4125" spans="1:4" x14ac:dyDescent="0.2">
      <c r="A4125" s="5">
        <v>4064</v>
      </c>
      <c r="B4125" s="138">
        <f>'Acct Summary 7-8'!F10</f>
        <v>167235</v>
      </c>
      <c r="C4125" s="2" t="s">
        <v>594</v>
      </c>
      <c r="D4125" s="2" t="str">
        <f t="shared" si="63"/>
        <v>Error?</v>
      </c>
    </row>
    <row r="4126" spans="1:4" x14ac:dyDescent="0.2">
      <c r="A4126" s="5">
        <v>4065</v>
      </c>
      <c r="B4126" s="138">
        <f>'Acct Summary 7-8'!G10</f>
        <v>70598</v>
      </c>
      <c r="C4126" s="2" t="s">
        <v>594</v>
      </c>
      <c r="D4126" s="2" t="str">
        <f t="shared" si="63"/>
        <v>Error?</v>
      </c>
    </row>
    <row r="4127" spans="1:4" x14ac:dyDescent="0.2">
      <c r="A4127" s="5">
        <v>4066</v>
      </c>
      <c r="B4127" s="138">
        <f>'Acct Summary 7-8'!H10</f>
        <v>119187</v>
      </c>
      <c r="C4127" s="2" t="s">
        <v>594</v>
      </c>
      <c r="D4127" s="2" t="str">
        <f t="shared" si="63"/>
        <v>Error?</v>
      </c>
    </row>
    <row r="4128" spans="1:4" x14ac:dyDescent="0.2">
      <c r="A4128" s="5">
        <v>4067</v>
      </c>
      <c r="B4128" s="138">
        <f>'Acct Summary 7-8'!I10</f>
        <v>22736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24020</v>
      </c>
      <c r="C4130" s="2" t="s">
        <v>594</v>
      </c>
      <c r="D4130" s="2" t="str">
        <f t="shared" si="63"/>
        <v>Error?</v>
      </c>
    </row>
    <row r="4131" spans="1:4" x14ac:dyDescent="0.2">
      <c r="A4131" s="5">
        <v>4070</v>
      </c>
      <c r="B4131" s="138">
        <f>'Acct Summary 7-8'!C18</f>
        <v>717509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2726123</v>
      </c>
      <c r="C4136" s="2" t="s">
        <v>594</v>
      </c>
      <c r="D4136" s="2" t="str">
        <f t="shared" si="63"/>
        <v>Error?</v>
      </c>
    </row>
    <row r="4137" spans="1:4" x14ac:dyDescent="0.2">
      <c r="A4137" s="5">
        <v>4076</v>
      </c>
      <c r="B4137" s="138">
        <f>'Acct Summary 7-8'!D19</f>
        <v>274046</v>
      </c>
      <c r="C4137" s="2" t="s">
        <v>594</v>
      </c>
      <c r="D4137" s="2" t="str">
        <f t="shared" si="63"/>
        <v>Error?</v>
      </c>
    </row>
    <row r="4138" spans="1:4" x14ac:dyDescent="0.2">
      <c r="A4138" s="5">
        <v>4077</v>
      </c>
      <c r="B4138" s="138">
        <f>'Acct Summary 7-8'!E19</f>
        <v>60657</v>
      </c>
      <c r="C4138" s="2" t="s">
        <v>594</v>
      </c>
      <c r="D4138" s="2" t="str">
        <f t="shared" si="63"/>
        <v>Error?</v>
      </c>
    </row>
    <row r="4139" spans="1:4" x14ac:dyDescent="0.2">
      <c r="A4139" s="5">
        <v>4078</v>
      </c>
      <c r="B4139" s="138">
        <f>'Acct Summary 7-8'!F19</f>
        <v>134980</v>
      </c>
      <c r="C4139" s="2" t="s">
        <v>594</v>
      </c>
      <c r="D4139" s="2" t="str">
        <f t="shared" si="63"/>
        <v>Error?</v>
      </c>
    </row>
    <row r="4140" spans="1:4" x14ac:dyDescent="0.2">
      <c r="A4140" s="5">
        <v>4079</v>
      </c>
      <c r="B4140" s="138">
        <f>'Acct Summary 7-8'!G19</f>
        <v>62407</v>
      </c>
      <c r="C4140" s="2" t="s">
        <v>594</v>
      </c>
      <c r="D4140" s="2" t="str">
        <f t="shared" si="63"/>
        <v>Error?</v>
      </c>
    </row>
    <row r="4141" spans="1:4" x14ac:dyDescent="0.2">
      <c r="A4141" s="5">
        <v>4080</v>
      </c>
      <c r="B4141" s="138">
        <f>'Acct Summary 7-8'!H19</f>
        <v>146191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696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325000</v>
      </c>
      <c r="C4171" s="2" t="s">
        <v>594</v>
      </c>
      <c r="D4171" s="2" t="str">
        <f t="shared" si="64"/>
        <v>Error?</v>
      </c>
    </row>
    <row r="4172" spans="1:4" x14ac:dyDescent="0.2">
      <c r="A4172" s="5">
        <v>4111</v>
      </c>
      <c r="B4172" s="138">
        <f>'Short-Term Long-Term Debt 24'!J49</f>
        <v>316243</v>
      </c>
      <c r="C4172" s="2" t="s">
        <v>594</v>
      </c>
      <c r="D4172" s="2" t="str">
        <f t="shared" si="64"/>
        <v>Error?</v>
      </c>
    </row>
    <row r="4173" spans="1:4" x14ac:dyDescent="0.2">
      <c r="A4173" s="5">
        <v>4112</v>
      </c>
      <c r="B4173" s="138">
        <f>'Short-Term Long-Term Debt 24'!H49</f>
        <v>46000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2778.79</v>
      </c>
      <c r="C4265" s="2" t="s">
        <v>594</v>
      </c>
      <c r="D4265" s="2" t="str">
        <f t="shared" si="65"/>
        <v>Error?</v>
      </c>
      <c r="E4265" s="128"/>
    </row>
    <row r="4266" spans="1:5" x14ac:dyDescent="0.2">
      <c r="A4266" s="12">
        <v>4205</v>
      </c>
      <c r="B4266" s="138">
        <f>('FP Info 3'!F10)*100000</f>
        <v>553</v>
      </c>
      <c r="C4266" s="2" t="s">
        <v>594</v>
      </c>
      <c r="D4266" s="2" t="str">
        <f t="shared" si="65"/>
        <v>Error?</v>
      </c>
      <c r="E4266" s="128"/>
    </row>
    <row r="4267" spans="1:5" x14ac:dyDescent="0.2">
      <c r="A4267" s="12">
        <v>4206</v>
      </c>
      <c r="B4267" s="138">
        <f>('FP Info 3'!H10)*100000</f>
        <v>177.75</v>
      </c>
      <c r="C4267" s="2" t="s">
        <v>594</v>
      </c>
      <c r="D4267" s="2" t="str">
        <f t="shared" si="65"/>
        <v>Error?</v>
      </c>
      <c r="E4267" s="128"/>
    </row>
    <row r="4268" spans="1:5" x14ac:dyDescent="0.2">
      <c r="A4268" s="12">
        <v>4207</v>
      </c>
      <c r="B4268" s="138">
        <f>('FP Info 3'!J10)*100000</f>
        <v>3510</v>
      </c>
      <c r="C4268" s="2" t="s">
        <v>594</v>
      </c>
      <c r="D4268" s="2" t="str">
        <f t="shared" si="65"/>
        <v>Error?</v>
      </c>
    </row>
    <row r="4269" spans="1:5" x14ac:dyDescent="0.2">
      <c r="A4269" s="12">
        <v>4208</v>
      </c>
      <c r="B4269" s="138">
        <f>'FP Info 3'!J16</f>
        <v>3318421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56400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56400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15567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43.46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45231745</v>
      </c>
      <c r="D4995" s="2" t="str">
        <f t="shared" si="77"/>
        <v>Error?</v>
      </c>
    </row>
    <row r="4996" spans="1:4" x14ac:dyDescent="0.2">
      <c r="A4996" s="12">
        <v>4935</v>
      </c>
      <c r="B4996" s="138">
        <f>'FP Info 3'!H31</f>
        <v>6241980.8100000005</v>
      </c>
      <c r="D4996" s="2" t="str">
        <f t="shared" si="77"/>
        <v>Error?</v>
      </c>
    </row>
    <row r="4997" spans="1:4" x14ac:dyDescent="0.2">
      <c r="A4997" s="12">
        <v>4936</v>
      </c>
      <c r="B4997" s="138">
        <f>'FP Info 3'!H37</f>
        <v>325000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35370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1210323</v>
      </c>
      <c r="D5061" s="2" t="str">
        <f t="shared" si="78"/>
        <v>Error?</v>
      </c>
    </row>
    <row r="5062" spans="1:4" x14ac:dyDescent="0.2">
      <c r="A5062" s="10">
        <v>5001</v>
      </c>
      <c r="D5062" s="2" t="str">
        <f t="shared" si="78"/>
        <v>OK</v>
      </c>
    </row>
    <row r="5063" spans="1:4" x14ac:dyDescent="0.2">
      <c r="A5063" s="5">
        <v>5002</v>
      </c>
      <c r="B5063" s="138">
        <f>'Revenues 9-14'!C7</f>
        <v>13964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1259657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80687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80687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4570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4570</v>
      </c>
      <c r="C5090" s="2" t="s">
        <v>594</v>
      </c>
      <c r="D5090" s="2" t="str">
        <f t="shared" si="78"/>
        <v>Error?</v>
      </c>
    </row>
    <row r="5091" spans="1:4" x14ac:dyDescent="0.2">
      <c r="A5091" s="5">
        <v>5030</v>
      </c>
      <c r="B5091" s="138">
        <f>'Revenues 9-14'!C70</f>
        <v>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71</v>
      </c>
      <c r="D5093" s="2" t="str">
        <f t="shared" si="78"/>
        <v>Error?</v>
      </c>
    </row>
    <row r="5094" spans="1:4" x14ac:dyDescent="0.2">
      <c r="A5094" s="5">
        <v>5033</v>
      </c>
      <c r="B5094" s="138">
        <f>'Revenues 9-14'!C73</f>
        <v>4082</v>
      </c>
      <c r="D5094" s="2" t="str">
        <f t="shared" si="78"/>
        <v>Error?</v>
      </c>
    </row>
    <row r="5095" spans="1:4" x14ac:dyDescent="0.2">
      <c r="A5095" s="5">
        <v>5034</v>
      </c>
      <c r="B5095" s="138">
        <f>'Revenues 9-14'!C74</f>
        <v>70</v>
      </c>
      <c r="D5095" s="2" t="str">
        <f t="shared" si="78"/>
        <v>Error?</v>
      </c>
    </row>
    <row r="5096" spans="1:4" x14ac:dyDescent="0.2">
      <c r="A5096" s="5">
        <v>5035</v>
      </c>
      <c r="B5096" s="138">
        <f>'Revenues 9-14'!C75</f>
        <v>32603</v>
      </c>
      <c r="C5096" s="2" t="s">
        <v>594</v>
      </c>
      <c r="D5096" s="2" t="str">
        <f t="shared" si="78"/>
        <v>Error?</v>
      </c>
    </row>
    <row r="5097" spans="1:4" x14ac:dyDescent="0.2">
      <c r="A5097" s="5">
        <v>5036</v>
      </c>
      <c r="B5097" s="138">
        <f>'Revenues 9-14'!C77</f>
        <v>11274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5808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17082</v>
      </c>
      <c r="C5102" s="2" t="s">
        <v>594</v>
      </c>
      <c r="D5102" s="2" t="str">
        <f t="shared" si="78"/>
        <v>Error?</v>
      </c>
    </row>
    <row r="5103" spans="1:4" x14ac:dyDescent="0.2">
      <c r="A5103" s="5">
        <v>5042</v>
      </c>
      <c r="B5103" s="138">
        <f>'Revenues 9-14'!C84</f>
        <v>10546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10546</v>
      </c>
      <c r="C5112" s="2" t="s">
        <v>594</v>
      </c>
      <c r="D5112" s="2" t="str">
        <f t="shared" si="78"/>
        <v>Error?</v>
      </c>
    </row>
    <row r="5113" spans="1:4" x14ac:dyDescent="0.2">
      <c r="A5113" s="5">
        <v>5052</v>
      </c>
      <c r="B5113" s="138">
        <f>'Revenues 9-14'!C95</f>
        <v>15600</v>
      </c>
      <c r="D5113" s="2" t="str">
        <f t="shared" si="78"/>
        <v>Error?</v>
      </c>
    </row>
    <row r="5114" spans="1:4" x14ac:dyDescent="0.2">
      <c r="A5114" s="5">
        <v>5053</v>
      </c>
      <c r="B5114" s="138">
        <f>'Revenues 9-14'!C96</f>
        <v>1275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750</v>
      </c>
      <c r="D5118" s="2" t="str">
        <f t="shared" si="78"/>
        <v>Error?</v>
      </c>
    </row>
    <row r="5119" spans="1:4" x14ac:dyDescent="0.2">
      <c r="A5119" s="5">
        <v>5058</v>
      </c>
      <c r="B5119" s="138">
        <f>'Revenues 9-14'!C107</f>
        <v>6259</v>
      </c>
      <c r="D5119" s="2" t="str">
        <f t="shared" ref="D5119:D5182" si="79">IF(ISBLANK(B5119),"OK",IF(A5119-B5119=0,"OK","Error?"))</f>
        <v>Error?</v>
      </c>
    </row>
    <row r="5120" spans="1:4" x14ac:dyDescent="0.2">
      <c r="A5120" s="5">
        <v>5059</v>
      </c>
      <c r="B5120" s="138">
        <f>'Revenues 9-14'!C108</f>
        <v>25831</v>
      </c>
      <c r="C5120" s="2" t="s">
        <v>594</v>
      </c>
      <c r="D5120" s="2" t="str">
        <f t="shared" si="79"/>
        <v>Error?</v>
      </c>
    </row>
    <row r="5121" spans="1:4" x14ac:dyDescent="0.2">
      <c r="A5121" s="5">
        <v>5060</v>
      </c>
      <c r="B5121" s="138">
        <f>'Revenues 9-14'!C109</f>
        <v>1430976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531289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531289</v>
      </c>
      <c r="C5132" s="2" t="s">
        <v>594</v>
      </c>
      <c r="D5132" s="2" t="str">
        <f t="shared" si="79"/>
        <v>Error?</v>
      </c>
    </row>
    <row r="5133" spans="1:4" x14ac:dyDescent="0.2">
      <c r="A5133" s="5">
        <v>5072</v>
      </c>
      <c r="B5133" s="138">
        <f>'Revenues 9-14'!C124</f>
        <v>11000</v>
      </c>
      <c r="D5133" s="2" t="str">
        <f t="shared" si="79"/>
        <v>Error?</v>
      </c>
    </row>
    <row r="5134" spans="1:4" x14ac:dyDescent="0.2">
      <c r="A5134" s="5">
        <v>5073</v>
      </c>
      <c r="B5134" s="138">
        <f>'Revenues 9-14'!C125</f>
        <v>17808</v>
      </c>
      <c r="D5134" s="2" t="str">
        <f t="shared" si="79"/>
        <v>Error?</v>
      </c>
    </row>
    <row r="5135" spans="1:4" x14ac:dyDescent="0.2">
      <c r="A5135" s="5">
        <v>5074</v>
      </c>
      <c r="B5135" s="138">
        <f>'Revenues 9-14'!C126</f>
        <v>20792</v>
      </c>
      <c r="D5135" s="2" t="str">
        <f t="shared" si="79"/>
        <v>Error?</v>
      </c>
    </row>
    <row r="5136" spans="1:4" x14ac:dyDescent="0.2">
      <c r="A5136" s="10">
        <v>5075</v>
      </c>
      <c r="D5136" s="2" t="str">
        <f t="shared" si="79"/>
        <v>OK</v>
      </c>
    </row>
    <row r="5137" spans="1:4" x14ac:dyDescent="0.2">
      <c r="A5137" s="5">
        <v>5076</v>
      </c>
      <c r="B5137" s="138">
        <f>'Revenues 9-14'!C127</f>
        <v>128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49728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939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965</v>
      </c>
      <c r="D5167" s="2" t="str">
        <f t="shared" si="79"/>
        <v>Error?</v>
      </c>
    </row>
    <row r="5168" spans="1:4" x14ac:dyDescent="0.2">
      <c r="A5168" s="5">
        <v>5107</v>
      </c>
      <c r="B5168" s="138">
        <f>'Revenues 9-14'!C147</f>
        <v>4006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129992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186380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717669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55582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17774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73356</v>
      </c>
      <c r="C5246" s="2" t="s">
        <v>594</v>
      </c>
      <c r="D5246" s="2" t="str">
        <f t="shared" si="80"/>
        <v>Error?</v>
      </c>
    </row>
    <row r="5247" spans="1:4" x14ac:dyDescent="0.2">
      <c r="A5247" s="5">
        <v>5186</v>
      </c>
      <c r="B5247" s="138">
        <f>'Revenues 9-14'!C203</f>
        <v>52672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52672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34120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34120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233611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233611</v>
      </c>
      <c r="C5326" s="2" t="s">
        <v>594</v>
      </c>
      <c r="D5326" s="2" t="str">
        <f t="shared" si="82"/>
        <v>Error?</v>
      </c>
    </row>
    <row r="5327" spans="1:4" x14ac:dyDescent="0.2">
      <c r="A5327" s="5">
        <v>5266</v>
      </c>
      <c r="B5327" s="138">
        <f>'Revenues 9-14'!C275</f>
        <v>2382256</v>
      </c>
      <c r="C5327" s="2" t="s">
        <v>594</v>
      </c>
      <c r="D5327" s="2" t="str">
        <f t="shared" si="82"/>
        <v>Error?</v>
      </c>
    </row>
    <row r="5328" spans="1:4" x14ac:dyDescent="0.2">
      <c r="A5328" s="5">
        <v>5267</v>
      </c>
      <c r="B5328" s="138">
        <f>'Revenues 9-14'!D5</f>
        <v>255925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255925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318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v>
      </c>
      <c r="C5355" s="2" t="s">
        <v>594</v>
      </c>
      <c r="D5355" s="2" t="str">
        <f t="shared" si="82"/>
        <v>Error?</v>
      </c>
    </row>
    <row r="5356" spans="1:4" x14ac:dyDescent="0.2">
      <c r="A5356" s="5">
        <v>5295</v>
      </c>
      <c r="B5356" s="138">
        <f>'Revenues 9-14'!D109</f>
        <v>256254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256254</v>
      </c>
      <c r="C5508" s="2" t="s">
        <v>594</v>
      </c>
      <c r="D5508" s="2" t="str">
        <f t="shared" si="85"/>
        <v>Error?</v>
      </c>
    </row>
    <row r="5509" spans="1:4" x14ac:dyDescent="0.2">
      <c r="A5509" s="5">
        <v>5448</v>
      </c>
      <c r="B5509" s="138">
        <f>'Revenues 9-14'!E5</f>
        <v>60280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60280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60326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60326</v>
      </c>
      <c r="C5552" s="2" t="s">
        <v>594</v>
      </c>
      <c r="D5552" s="2" t="str">
        <f t="shared" si="85"/>
        <v>Error?</v>
      </c>
    </row>
    <row r="5553" spans="1:4" x14ac:dyDescent="0.2">
      <c r="A5553" s="5">
        <v>5492</v>
      </c>
      <c r="B5553" s="138">
        <f>'Revenues 9-14'!F5</f>
        <v>65624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65624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6215</v>
      </c>
      <c r="D5586" s="2" t="str">
        <f t="shared" si="86"/>
        <v>Error?</v>
      </c>
    </row>
    <row r="5587" spans="1:4" x14ac:dyDescent="0.2">
      <c r="A5587" s="5">
        <v>5526</v>
      </c>
      <c r="B5587" s="138">
        <f>'Revenues 9-14'!F108</f>
        <v>6215</v>
      </c>
      <c r="C5587" s="2" t="s">
        <v>594</v>
      </c>
      <c r="D5587" s="2" t="str">
        <f t="shared" si="86"/>
        <v>Error?</v>
      </c>
    </row>
    <row r="5588" spans="1:4" x14ac:dyDescent="0.2">
      <c r="A5588" s="5">
        <v>5527</v>
      </c>
      <c r="B5588" s="138">
        <f>'Revenues 9-14'!F109</f>
        <v>72093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64128</v>
      </c>
      <c r="D5615" s="2" t="str">
        <f t="shared" si="86"/>
        <v>Error?</v>
      </c>
    </row>
    <row r="5616" spans="1:4" x14ac:dyDescent="0.2">
      <c r="A5616" s="10">
        <v>5555</v>
      </c>
      <c r="D5616" s="2" t="str">
        <f t="shared" si="86"/>
        <v>OK</v>
      </c>
    </row>
    <row r="5617" spans="1:4" x14ac:dyDescent="0.2">
      <c r="A5617" s="5">
        <v>5556</v>
      </c>
      <c r="B5617" s="138">
        <f>'Revenues 9-14'!F152</f>
        <v>31014</v>
      </c>
      <c r="D5617" s="2" t="str">
        <f t="shared" si="86"/>
        <v>Error?</v>
      </c>
    </row>
    <row r="5618" spans="1:4" x14ac:dyDescent="0.2">
      <c r="A5618" s="5">
        <v>5557</v>
      </c>
      <c r="B5618" s="138">
        <f>'Revenues 9-14'!F154</f>
        <v>95142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95142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95142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167235</v>
      </c>
      <c r="C5720" s="2" t="s">
        <v>594</v>
      </c>
      <c r="D5720" s="2" t="str">
        <f t="shared" si="88"/>
        <v>Error?</v>
      </c>
    </row>
    <row r="5721" spans="1:4" x14ac:dyDescent="0.2">
      <c r="A5721" s="5">
        <v>5660</v>
      </c>
      <c r="B5721" s="138">
        <f>'Revenues 9-14'!G5</f>
        <v>322</v>
      </c>
      <c r="D5721" s="2" t="str">
        <f t="shared" si="88"/>
        <v>Error?</v>
      </c>
    </row>
    <row r="5722" spans="1:4" x14ac:dyDescent="0.2">
      <c r="A5722" s="5">
        <v>5661</v>
      </c>
      <c r="B5722" s="138">
        <f>'Revenues 9-14'!G7</f>
        <v>0</v>
      </c>
      <c r="D5722" s="2" t="str">
        <f t="shared" si="88"/>
        <v>Error?</v>
      </c>
    </row>
    <row r="5723" spans="1:4" x14ac:dyDescent="0.2">
      <c r="A5723" s="5">
        <v>5662</v>
      </c>
      <c r="B5723" s="138">
        <f>'Revenues 9-14'!G8</f>
        <v>64793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65115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5372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5372</v>
      </c>
      <c r="C5730" s="2" t="s">
        <v>594</v>
      </c>
      <c r="D5730" s="2" t="str">
        <f t="shared" si="88"/>
        <v>Error?</v>
      </c>
    </row>
    <row r="5731" spans="1:4" x14ac:dyDescent="0.2">
      <c r="A5731" s="5">
        <v>5670</v>
      </c>
      <c r="B5731" s="138">
        <f>'Revenues 9-14'!G65</f>
        <v>111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70598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554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554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118633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119187</v>
      </c>
      <c r="C5915" s="2" t="s">
        <v>594</v>
      </c>
      <c r="D5915" s="2" t="str">
        <f t="shared" si="91"/>
        <v>Error?</v>
      </c>
    </row>
    <row r="5916" spans="1:4" x14ac:dyDescent="0.2">
      <c r="A5916" s="5">
        <v>5855</v>
      </c>
      <c r="B5916" s="138">
        <f>'Revenues 9-14'!I5</f>
        <v>19547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19547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3189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3189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22736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23285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23285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24020</v>
      </c>
      <c r="C6023" s="2" t="s">
        <v>594</v>
      </c>
      <c r="D6023" s="2" t="str">
        <f t="shared" si="93"/>
        <v>Error?</v>
      </c>
    </row>
    <row r="6024" spans="1:5" x14ac:dyDescent="0.2">
      <c r="A6024" s="5">
        <v>5963</v>
      </c>
      <c r="B6024" s="138">
        <f>'Revenues 9-14'!G109</f>
        <v>70598</v>
      </c>
      <c r="C6024" s="2" t="s">
        <v>594</v>
      </c>
      <c r="D6024" s="2" t="str">
        <f t="shared" si="93"/>
        <v>Error?</v>
      </c>
    </row>
    <row r="6025" spans="1:5" x14ac:dyDescent="0.2">
      <c r="A6025" s="5">
        <v>5964</v>
      </c>
      <c r="B6025" s="138">
        <f>'Revenues 9-14'!H109</f>
        <v>119187</v>
      </c>
      <c r="C6025" s="2" t="s">
        <v>594</v>
      </c>
      <c r="D6025" s="2" t="str">
        <f t="shared" si="93"/>
        <v>Error?</v>
      </c>
    </row>
    <row r="6026" spans="1:5" x14ac:dyDescent="0.2">
      <c r="A6026" s="5">
        <v>5965</v>
      </c>
      <c r="B6026" s="138">
        <f>'Revenues 9-14'!I109</f>
        <v>22736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24020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28378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9968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231.47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117565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117565</v>
      </c>
      <c r="D6215" s="2" t="str">
        <f t="shared" si="96"/>
        <v>Error?</v>
      </c>
      <c r="E6215" s="2" t="s">
        <v>199</v>
      </c>
    </row>
    <row r="6216" spans="1:5" x14ac:dyDescent="0.2">
      <c r="A6216">
        <v>6155</v>
      </c>
      <c r="B6216" s="138">
        <f>'Assets-Liab 5-6'!J41</f>
        <v>117565</v>
      </c>
      <c r="D6216" s="2" t="str">
        <f t="shared" si="96"/>
        <v>Error?</v>
      </c>
      <c r="E6216" s="2" t="s">
        <v>199</v>
      </c>
    </row>
    <row r="6217" spans="1:5" x14ac:dyDescent="0.2">
      <c r="A6217">
        <v>6156</v>
      </c>
      <c r="B6217" s="138">
        <f>'Assets-Liab 5-6'!J4</f>
        <v>117565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28021</v>
      </c>
      <c r="D6220" s="2" t="str">
        <f t="shared" si="96"/>
        <v>Error?</v>
      </c>
      <c r="E6220" s="2" t="s">
        <v>199</v>
      </c>
    </row>
    <row r="6221" spans="1:5" x14ac:dyDescent="0.2">
      <c r="A6221">
        <v>6160</v>
      </c>
      <c r="B6221" s="138">
        <f>'Acct Summary 7-8'!J6</f>
        <v>15000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43021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43021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35613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35613</v>
      </c>
      <c r="D6229" s="2" t="str">
        <f t="shared" si="96"/>
        <v>Error?</v>
      </c>
      <c r="E6229" s="2" t="s">
        <v>199</v>
      </c>
    </row>
    <row r="6230" spans="1:5" x14ac:dyDescent="0.2">
      <c r="A6230">
        <v>6169</v>
      </c>
      <c r="B6230" s="138">
        <f>'Acct Summary 7-8'!J20</f>
        <v>7408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7408</v>
      </c>
      <c r="D6263" s="2" t="str">
        <f t="shared" si="96"/>
        <v>Error?</v>
      </c>
      <c r="E6263" s="2" t="s">
        <v>199</v>
      </c>
    </row>
    <row r="6264" spans="1:5" x14ac:dyDescent="0.2">
      <c r="A6264">
        <v>6203</v>
      </c>
      <c r="B6264" s="138">
        <f>'Acct Summary 7-8'!J79</f>
        <v>110157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117565</v>
      </c>
      <c r="D6266" s="2" t="str">
        <f t="shared" si="96"/>
        <v>Error?</v>
      </c>
      <c r="E6266" s="2" t="s">
        <v>199</v>
      </c>
    </row>
    <row r="6267" spans="1:5" x14ac:dyDescent="0.2">
      <c r="A6267">
        <v>6206</v>
      </c>
      <c r="B6267" s="138">
        <f>'Acct Summary 7-8'!C82</f>
        <v>373642</v>
      </c>
      <c r="D6267" s="2" t="str">
        <f t="shared" si="96"/>
        <v>Error?</v>
      </c>
      <c r="E6267" s="2" t="s">
        <v>199</v>
      </c>
    </row>
    <row r="6268" spans="1:5" x14ac:dyDescent="0.2">
      <c r="A6268">
        <v>6207</v>
      </c>
      <c r="B6268" s="138">
        <f>'Acct Summary 7-8'!D82</f>
        <v>-17792</v>
      </c>
      <c r="D6268" s="2" t="str">
        <f t="shared" si="96"/>
        <v>Error?</v>
      </c>
      <c r="E6268" s="2" t="s">
        <v>199</v>
      </c>
    </row>
    <row r="6269" spans="1:5" x14ac:dyDescent="0.2">
      <c r="A6269">
        <v>6208</v>
      </c>
      <c r="B6269" s="138">
        <f>'Acct Summary 7-8'!E82</f>
        <v>-331</v>
      </c>
      <c r="D6269" s="2" t="str">
        <f t="shared" si="96"/>
        <v>Error?</v>
      </c>
      <c r="E6269" s="2" t="s">
        <v>199</v>
      </c>
    </row>
    <row r="6270" spans="1:5" x14ac:dyDescent="0.2">
      <c r="A6270">
        <v>6209</v>
      </c>
      <c r="B6270" s="138">
        <f>'Acct Summary 7-8'!F82</f>
        <v>32255</v>
      </c>
      <c r="D6270" s="2" t="str">
        <f t="shared" si="96"/>
        <v>Error?</v>
      </c>
      <c r="E6270" s="2" t="s">
        <v>199</v>
      </c>
    </row>
    <row r="6271" spans="1:5" x14ac:dyDescent="0.2">
      <c r="A6271">
        <v>6210</v>
      </c>
      <c r="B6271" s="138">
        <f>'Acct Summary 7-8'!G82</f>
        <v>8191</v>
      </c>
      <c r="D6271" s="2" t="str">
        <f t="shared" ref="D6271:D6334" si="97">IF(ISBLANK(B6271),"OK",IF(A6271-B6271=0,"OK","Error?"))</f>
        <v>Error?</v>
      </c>
      <c r="E6271" s="2" t="s">
        <v>199</v>
      </c>
    </row>
    <row r="6272" spans="1:5" x14ac:dyDescent="0.2">
      <c r="A6272">
        <v>6211</v>
      </c>
      <c r="B6272" s="138">
        <f>'Acct Summary 7-8'!H82</f>
        <v>-27004</v>
      </c>
      <c r="D6272" s="2" t="str">
        <f t="shared" si="97"/>
        <v>Error?</v>
      </c>
      <c r="E6272" s="2" t="s">
        <v>199</v>
      </c>
    </row>
    <row r="6273" spans="1:5" x14ac:dyDescent="0.2">
      <c r="A6273">
        <v>6212</v>
      </c>
      <c r="B6273" s="138">
        <f>'Acct Summary 7-8'!I82</f>
        <v>22736</v>
      </c>
      <c r="D6273" s="2" t="str">
        <f t="shared" si="97"/>
        <v>Error?</v>
      </c>
      <c r="E6273" s="2" t="s">
        <v>199</v>
      </c>
    </row>
    <row r="6274" spans="1:5" x14ac:dyDescent="0.2">
      <c r="A6274">
        <v>6213</v>
      </c>
      <c r="B6274" s="138">
        <f>'Acct Summary 7-8'!J82</f>
        <v>7408</v>
      </c>
      <c r="D6274" s="2" t="str">
        <f t="shared" si="97"/>
        <v>Error?</v>
      </c>
      <c r="E6274" s="2" t="s">
        <v>199</v>
      </c>
    </row>
    <row r="6275" spans="1:5" x14ac:dyDescent="0.2">
      <c r="A6275">
        <v>6214</v>
      </c>
      <c r="B6275" s="138">
        <f>'Acct Summary 7-8'!K82</f>
        <v>23324</v>
      </c>
      <c r="D6275" s="2" t="str">
        <f t="shared" si="97"/>
        <v>Error?</v>
      </c>
      <c r="E6275" s="2" t="s">
        <v>199</v>
      </c>
    </row>
    <row r="6276" spans="1:5" x14ac:dyDescent="0.2">
      <c r="A6276">
        <v>6215</v>
      </c>
      <c r="B6276" s="138">
        <f>'Acct Summary 7-8'!C83</f>
        <v>0.15544736850863849</v>
      </c>
      <c r="D6276" s="2" t="str">
        <f t="shared" si="97"/>
        <v>Error?</v>
      </c>
      <c r="E6276" s="2" t="s">
        <v>199</v>
      </c>
    </row>
    <row r="6277" spans="1:5" x14ac:dyDescent="0.2">
      <c r="A6277">
        <v>6216</v>
      </c>
      <c r="B6277" s="138">
        <f>'Acct Summary 7-8'!D83</f>
        <v>-0.16750929718024762</v>
      </c>
      <c r="D6277" s="2" t="str">
        <f t="shared" si="97"/>
        <v>Error?</v>
      </c>
      <c r="E6277" s="2" t="s">
        <v>199</v>
      </c>
    </row>
    <row r="6278" spans="1:5" x14ac:dyDescent="0.2">
      <c r="A6278">
        <v>6217</v>
      </c>
      <c r="B6278" s="138">
        <f>'Acct Summary 7-8'!E83</f>
        <v>-3.7798332762361539E-2</v>
      </c>
      <c r="D6278" s="2" t="str">
        <f t="shared" si="97"/>
        <v>Error?</v>
      </c>
      <c r="E6278" s="2" t="s">
        <v>199</v>
      </c>
    </row>
    <row r="6279" spans="1:5" x14ac:dyDescent="0.2">
      <c r="A6279">
        <v>6218</v>
      </c>
      <c r="B6279" s="138">
        <f>'Acct Summary 7-8'!F83</f>
        <v>0.18804838944760238</v>
      </c>
      <c r="D6279" s="2" t="str">
        <f t="shared" si="97"/>
        <v>Error?</v>
      </c>
      <c r="E6279" s="2" t="s">
        <v>199</v>
      </c>
    </row>
    <row r="6280" spans="1:5" x14ac:dyDescent="0.2">
      <c r="A6280">
        <v>6219</v>
      </c>
      <c r="B6280" s="138">
        <f>'Acct Summary 7-8'!G83</f>
        <v>0.12923635216156515</v>
      </c>
      <c r="D6280" s="2" t="str">
        <f t="shared" si="97"/>
        <v>Error?</v>
      </c>
      <c r="E6280" s="2" t="s">
        <v>199</v>
      </c>
    </row>
    <row r="6281" spans="1:5" x14ac:dyDescent="0.2">
      <c r="A6281">
        <v>6220</v>
      </c>
      <c r="B6281" s="138">
        <f>'Acct Summary 7-8'!H83</f>
        <v>-8.6760118104797126E-2</v>
      </c>
      <c r="D6281" s="2" t="str">
        <f t="shared" si="97"/>
        <v>Error?</v>
      </c>
      <c r="E6281" s="2" t="s">
        <v>199</v>
      </c>
    </row>
    <row r="6282" spans="1:5" x14ac:dyDescent="0.2">
      <c r="A6282">
        <v>6221</v>
      </c>
      <c r="B6282" s="138">
        <f>'Acct Summary 7-8'!I83</f>
        <v>3.5690906950276678E-2</v>
      </c>
      <c r="D6282" s="2" t="str">
        <f t="shared" si="97"/>
        <v>Error?</v>
      </c>
      <c r="E6282" s="2" t="s">
        <v>199</v>
      </c>
    </row>
    <row r="6283" spans="1:5" x14ac:dyDescent="0.2">
      <c r="A6283">
        <v>6222</v>
      </c>
      <c r="B6283" s="138">
        <f>'Acct Summary 7-8'!J83</f>
        <v>6.3011950835707903E-2</v>
      </c>
      <c r="D6283" s="2" t="str">
        <f t="shared" si="97"/>
        <v>Error?</v>
      </c>
      <c r="E6283" s="2" t="s">
        <v>199</v>
      </c>
    </row>
    <row r="6284" spans="1:5" x14ac:dyDescent="0.2">
      <c r="A6284">
        <v>6223</v>
      </c>
      <c r="B6284" s="138">
        <f>'Acct Summary 7-8'!K83</f>
        <v>0.1901748950222186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26973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26973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957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957</v>
      </c>
      <c r="D6351" s="2" t="str">
        <f t="shared" si="98"/>
        <v>Error?</v>
      </c>
      <c r="E6351" s="2" t="s">
        <v>199</v>
      </c>
    </row>
    <row r="6352" spans="1:5" x14ac:dyDescent="0.2">
      <c r="A6352">
        <v>6291</v>
      </c>
      <c r="B6352" s="138">
        <f>'Revenues 9-14'!J109</f>
        <v>28021</v>
      </c>
      <c r="D6352" s="2" t="str">
        <f t="shared" si="98"/>
        <v>Error?</v>
      </c>
      <c r="E6352" s="2" t="s">
        <v>199</v>
      </c>
    </row>
    <row r="6353" spans="1:5" x14ac:dyDescent="0.2">
      <c r="A6353">
        <v>6292</v>
      </c>
      <c r="B6353" s="138">
        <f>'Revenues 9-14'!J117</f>
        <v>15000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15000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785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15000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46421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62473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46318</v>
      </c>
      <c r="D6880" s="2" t="str">
        <f t="shared" si="106"/>
        <v>Error?</v>
      </c>
    </row>
    <row r="6881" spans="1:4" x14ac:dyDescent="0.2">
      <c r="A6881">
        <v>6820</v>
      </c>
      <c r="B6881" s="138">
        <f>'Expenditures 15-22'!K22</f>
        <v>46318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35613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43021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1876</v>
      </c>
      <c r="D7073" s="2" t="str">
        <f t="shared" si="109"/>
        <v>Error?</v>
      </c>
    </row>
    <row r="7074" spans="1:4" x14ac:dyDescent="0.2">
      <c r="A7074">
        <v>7013</v>
      </c>
      <c r="B7074" s="138">
        <f>'Expenditures 15-22'!K216</f>
        <v>1876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v>
      </c>
      <c r="D7079" s="2" t="str">
        <f t="shared" si="109"/>
        <v>Error?</v>
      </c>
    </row>
    <row r="7080" spans="1:4" x14ac:dyDescent="0.2">
      <c r="A7080">
        <v>7019</v>
      </c>
      <c r="B7080" s="138">
        <f>'Expenditures 15-22'!K226</f>
        <v>73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14242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14242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263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263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35613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35613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35613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35613</v>
      </c>
      <c r="D7224" s="2" t="str">
        <f t="shared" si="111"/>
        <v>Error?</v>
      </c>
    </row>
    <row r="7225" spans="1:4" x14ac:dyDescent="0.2">
      <c r="A7225">
        <v>7164</v>
      </c>
      <c r="B7225" s="138">
        <f>'Expenditures 15-22'!K343</f>
        <v>7408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8233</v>
      </c>
      <c r="D7246" s="2" t="str">
        <f t="shared" si="112"/>
        <v>Error?</v>
      </c>
    </row>
    <row r="7247" spans="1:4" x14ac:dyDescent="0.2">
      <c r="A7247">
        <f t="shared" si="113"/>
        <v>7186</v>
      </c>
      <c r="B7247" s="138">
        <f>'Expenditures 15-22'!E7</f>
        <v>760</v>
      </c>
      <c r="D7247" s="2" t="str">
        <f t="shared" si="112"/>
        <v>Error?</v>
      </c>
    </row>
    <row r="7248" spans="1:4" x14ac:dyDescent="0.2">
      <c r="A7248">
        <f t="shared" si="113"/>
        <v>7187</v>
      </c>
      <c r="B7248" s="138">
        <f>'Expenditures 15-22'!F7</f>
        <v>7059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5040</v>
      </c>
      <c r="D7263" s="2" t="str">
        <f t="shared" si="112"/>
        <v>Error?</v>
      </c>
    </row>
    <row r="7264" spans="1:4" x14ac:dyDescent="0.2">
      <c r="A7264">
        <f t="shared" si="113"/>
        <v>7203</v>
      </c>
      <c r="B7264" s="138">
        <f>'Expenditures 15-22'!D17</f>
        <v>1285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58884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18304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18304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338253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554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118633</v>
      </c>
      <c r="D7713" s="2" t="str">
        <f t="shared" si="126"/>
        <v>Error?</v>
      </c>
      <c r="E7713" s="2" t="s">
        <v>881</v>
      </c>
    </row>
    <row r="7714" spans="1:6" x14ac:dyDescent="0.2">
      <c r="A7714">
        <v>7653</v>
      </c>
      <c r="B7714" s="138">
        <f>'Rest Tax Levies-Tort Im 25'!K9</f>
        <v>4006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119187</v>
      </c>
      <c r="D7718" s="2" t="str">
        <f t="shared" si="126"/>
        <v>Error?</v>
      </c>
      <c r="E7718" s="2" t="s">
        <v>881</v>
      </c>
    </row>
    <row r="7719" spans="1:6" x14ac:dyDescent="0.2">
      <c r="A7719">
        <v>7658</v>
      </c>
      <c r="B7719" s="138">
        <f>'Rest Tax Levies-Tort Im 25'!K12</f>
        <v>4006</v>
      </c>
      <c r="D7719" s="2" t="str">
        <f t="shared" si="126"/>
        <v>Error?</v>
      </c>
      <c r="E7719" s="2" t="s">
        <v>881</v>
      </c>
    </row>
    <row r="7720" spans="1:6" x14ac:dyDescent="0.2">
      <c r="A7720">
        <v>7659</v>
      </c>
      <c r="B7720" s="138">
        <f>'Rest Tax Levies-Tort Im 25'!H14</f>
        <v>13964</v>
      </c>
      <c r="D7720" s="2" t="str">
        <f t="shared" si="126"/>
        <v>Error?</v>
      </c>
      <c r="E7720" s="2" t="s">
        <v>881</v>
      </c>
    </row>
    <row r="7721" spans="1:6" x14ac:dyDescent="0.2">
      <c r="A7721">
        <v>7660</v>
      </c>
      <c r="B7721" s="138">
        <f>'Rest Tax Levies-Tort Im 25'!K14</f>
        <v>4006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146191</v>
      </c>
      <c r="D7730" s="2" t="str">
        <f t="shared" si="126"/>
        <v>Error?</v>
      </c>
      <c r="E7730" s="2" t="s">
        <v>881</v>
      </c>
    </row>
    <row r="7731" spans="1:6" x14ac:dyDescent="0.2">
      <c r="A7731">
        <v>7670</v>
      </c>
      <c r="B7731" s="138">
        <f>'Revenues 9-14'!H103</f>
        <v>118633</v>
      </c>
      <c r="D7731" s="2" t="str">
        <f t="shared" si="126"/>
        <v>Error?</v>
      </c>
      <c r="E7731" s="2" t="s">
        <v>881</v>
      </c>
    </row>
    <row r="7732" spans="1:6" x14ac:dyDescent="0.2">
      <c r="A7732">
        <v>7671</v>
      </c>
      <c r="B7732" s="138">
        <f>'Rest Tax Levies-Tort Im 25'!J24</f>
        <v>311249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311249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146191</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5" t="s">
        <v>1253</v>
      </c>
      <c r="B2" s="2415"/>
      <c r="C2" s="2415"/>
      <c r="D2" s="2415"/>
      <c r="E2" s="2415"/>
      <c r="F2" s="2415"/>
      <c r="G2" s="2415"/>
      <c r="H2" s="2415"/>
      <c r="I2" s="2415"/>
      <c r="J2" s="2415"/>
      <c r="K2" s="2415"/>
      <c r="L2" s="2415"/>
    </row>
    <row r="3" spans="1:29" ht="13.5" customHeight="1" x14ac:dyDescent="0.2">
      <c r="A3" s="2446" t="s">
        <v>1252</v>
      </c>
      <c r="B3" s="2446"/>
      <c r="C3" s="2446"/>
      <c r="D3" s="2446"/>
      <c r="E3" s="2446"/>
      <c r="F3" s="2446"/>
      <c r="G3" s="2446"/>
      <c r="H3" s="2446"/>
      <c r="I3" s="2446"/>
      <c r="J3" s="2446"/>
      <c r="K3" s="2446"/>
      <c r="L3" s="2446"/>
    </row>
    <row r="4" spans="1:29" ht="13.5" customHeight="1" x14ac:dyDescent="0.2">
      <c r="A4" s="2415"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7" t="str">
        <f>COVER!A17</f>
        <v>Edinburg CUSD 4</v>
      </c>
      <c r="B7" s="2438"/>
      <c r="C7" s="2438"/>
      <c r="D7" s="2439"/>
      <c r="E7" s="2440">
        <f>COVER!A13</f>
        <v>3011004026</v>
      </c>
      <c r="F7" s="2441"/>
      <c r="G7" s="2447">
        <f>COVER!T23</f>
        <v>66003847</v>
      </c>
      <c r="H7" s="2448"/>
      <c r="I7" s="2448"/>
      <c r="J7" s="2448"/>
      <c r="K7" s="2448"/>
      <c r="L7" s="244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0"/>
      <c r="B9" s="2451"/>
      <c r="C9" s="2451"/>
      <c r="D9" s="2451"/>
      <c r="E9" s="2451"/>
      <c r="F9" s="2452"/>
      <c r="G9" s="2421" t="str">
        <f>COVER!T13</f>
        <v>LMHN, Ltd., CPA's</v>
      </c>
      <c r="H9" s="2453"/>
      <c r="I9" s="2453"/>
      <c r="J9" s="2453"/>
      <c r="K9" s="2453"/>
      <c r="L9" s="2454"/>
    </row>
    <row r="10" spans="1:29" ht="13.5" customHeight="1" x14ac:dyDescent="0.2">
      <c r="A10" s="2427" t="str">
        <f>COVER!A38</f>
        <v>Fred Lamkey</v>
      </c>
      <c r="B10" s="2428"/>
      <c r="C10" s="2428"/>
      <c r="D10" s="2428"/>
      <c r="E10" s="2428"/>
      <c r="F10" s="2429"/>
      <c r="G10" s="2421" t="str">
        <f>COVER!T17</f>
        <v>900 N. Webster, PO Box 87</v>
      </c>
      <c r="H10" s="2422"/>
      <c r="I10" s="2422"/>
      <c r="J10" s="2422"/>
      <c r="K10" s="2422"/>
      <c r="L10" s="2423"/>
    </row>
    <row r="11" spans="1:29" ht="13.5" customHeight="1" x14ac:dyDescent="0.2">
      <c r="A11" s="1185" t="s">
        <v>1599</v>
      </c>
      <c r="B11" s="1186"/>
      <c r="C11" s="1187"/>
      <c r="D11" s="1192"/>
      <c r="E11" s="1187"/>
      <c r="F11" s="1191"/>
      <c r="G11" s="2421" t="str">
        <f>COVER!T19</f>
        <v>Taylorville</v>
      </c>
      <c r="H11" s="2422"/>
      <c r="I11" s="2422"/>
      <c r="J11" s="2422"/>
      <c r="K11" s="2422"/>
      <c r="L11" s="2423"/>
    </row>
    <row r="12" spans="1:29" ht="13.5" customHeight="1" x14ac:dyDescent="0.2">
      <c r="A12" s="2430" t="s">
        <v>1598</v>
      </c>
      <c r="B12" s="2431"/>
      <c r="C12" s="2431"/>
      <c r="D12" s="2431"/>
      <c r="E12" s="2431"/>
      <c r="F12" s="2432"/>
      <c r="G12" s="2424"/>
      <c r="H12" s="2425"/>
      <c r="I12" s="2425"/>
      <c r="J12" s="2425"/>
      <c r="K12" s="2425"/>
      <c r="L12" s="2426"/>
    </row>
    <row r="13" spans="1:29" ht="13.5" customHeight="1" x14ac:dyDescent="0.2">
      <c r="A13" s="2421"/>
      <c r="B13" s="2422"/>
      <c r="C13" s="2422"/>
      <c r="D13" s="2422"/>
      <c r="E13" s="2422"/>
      <c r="F13" s="2423"/>
      <c r="G13" s="2416" t="s">
        <v>1600</v>
      </c>
      <c r="H13" s="2417"/>
      <c r="I13" s="2433" t="str">
        <f>COVER!T25</f>
        <v>rkh_cpa@yahoo.com</v>
      </c>
      <c r="J13" s="2434"/>
      <c r="K13" s="2434"/>
      <c r="L13" s="2435"/>
    </row>
    <row r="14" spans="1:29" ht="13.5" customHeight="1" x14ac:dyDescent="0.2">
      <c r="A14" s="2421" t="str">
        <f>COVER!A19</f>
        <v>100 East Martin St.</v>
      </c>
      <c r="B14" s="2422"/>
      <c r="C14" s="2422"/>
      <c r="D14" s="2422"/>
      <c r="E14" s="2422"/>
      <c r="F14" s="2423"/>
      <c r="G14" s="1196" t="s">
        <v>1247</v>
      </c>
      <c r="H14" s="1194"/>
      <c r="I14" s="1194"/>
      <c r="J14" s="1194"/>
      <c r="K14" s="1194"/>
      <c r="L14" s="1195"/>
    </row>
    <row r="15" spans="1:29" ht="13.5" customHeight="1" x14ac:dyDescent="0.2">
      <c r="A15" s="2421" t="str">
        <f>COVER!A21</f>
        <v>Edinburg</v>
      </c>
      <c r="B15" s="2422"/>
      <c r="C15" s="2422"/>
      <c r="D15" s="2422"/>
      <c r="E15" s="2422"/>
      <c r="F15" s="2423"/>
      <c r="G15" s="2418" t="str">
        <f>COVER!T15</f>
        <v>Richard K. Hooper, CPA</v>
      </c>
      <c r="H15" s="2419"/>
      <c r="I15" s="2419"/>
      <c r="J15" s="2419"/>
      <c r="K15" s="2419"/>
      <c r="L15" s="2420"/>
    </row>
    <row r="16" spans="1:29" ht="12.2" customHeight="1" x14ac:dyDescent="0.2">
      <c r="A16" s="2443">
        <f>COVER!A25</f>
        <v>62531</v>
      </c>
      <c r="B16" s="2444"/>
      <c r="C16" s="2444"/>
      <c r="D16" s="2444"/>
      <c r="E16" s="2444"/>
      <c r="F16" s="2445"/>
      <c r="G16" s="2455"/>
      <c r="H16" s="2456"/>
      <c r="I16" s="2456"/>
      <c r="J16" s="2456"/>
      <c r="K16" s="2456"/>
      <c r="L16" s="2457"/>
    </row>
    <row r="17" spans="1:13" ht="12.2" customHeight="1" x14ac:dyDescent="0.2">
      <c r="A17" s="2458"/>
      <c r="B17" s="2444"/>
      <c r="C17" s="2444"/>
      <c r="D17" s="2444"/>
      <c r="E17" s="2444"/>
      <c r="F17" s="2445"/>
      <c r="G17" s="1196" t="s">
        <v>1246</v>
      </c>
      <c r="H17" s="1194"/>
      <c r="I17" s="1194"/>
      <c r="J17" s="1194"/>
      <c r="K17" s="1198" t="s">
        <v>1245</v>
      </c>
      <c r="L17" s="1191"/>
      <c r="M17" s="1184"/>
    </row>
    <row r="18" spans="1:13" ht="12.2" customHeight="1" x14ac:dyDescent="0.2">
      <c r="A18" s="2427"/>
      <c r="B18" s="2428"/>
      <c r="C18" s="2428"/>
      <c r="D18" s="2428"/>
      <c r="E18" s="2428"/>
      <c r="F18" s="2429"/>
      <c r="G18" s="2437" t="str">
        <f>COVER!T21</f>
        <v>217-824-9661</v>
      </c>
      <c r="H18" s="2438"/>
      <c r="I18" s="2438"/>
      <c r="J18" s="2438"/>
      <c r="K18" s="2437" t="str">
        <f>COVER!X21</f>
        <v>217-824-2415</v>
      </c>
      <c r="L18" s="244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9" t="str">
        <f>'Single Audit Cover'!A7</f>
        <v>Edinburg CUSD 4</v>
      </c>
      <c r="B1" s="2436"/>
      <c r="C1" s="2436"/>
      <c r="D1" s="2436"/>
    </row>
    <row r="2" spans="1:11" s="1215" customFormat="1" ht="12.75" x14ac:dyDescent="0.2">
      <c r="A2" s="2460">
        <f>'Single Audit Cover'!E7</f>
        <v>3011004026</v>
      </c>
      <c r="B2" s="2461"/>
      <c r="C2" s="2461"/>
      <c r="D2" s="2461"/>
    </row>
    <row r="3" spans="1:11" s="1215" customFormat="1" ht="12.75" x14ac:dyDescent="0.2">
      <c r="A3" s="2459"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3" t="str">
        <f>'Single Audit Cover'!A7</f>
        <v>Edinburg CUSD 4</v>
      </c>
      <c r="B1" s="2463"/>
      <c r="C1" s="2463"/>
      <c r="D1" s="2463"/>
      <c r="E1" s="2463"/>
    </row>
    <row r="2" spans="1:5" x14ac:dyDescent="0.2">
      <c r="A2" s="2464">
        <f>'Single Audit Cover'!E7</f>
        <v>3011004026</v>
      </c>
      <c r="B2" s="2464"/>
      <c r="C2" s="2464"/>
      <c r="D2" s="2464"/>
      <c r="E2" s="2464"/>
    </row>
    <row r="3" spans="1:5" ht="4.5" customHeight="1" x14ac:dyDescent="0.2"/>
    <row r="4" spans="1:5" x14ac:dyDescent="0.2">
      <c r="A4" s="2463" t="s">
        <v>1307</v>
      </c>
      <c r="B4" s="2463"/>
      <c r="C4" s="2463"/>
      <c r="D4" s="2463"/>
      <c r="E4" s="2463"/>
    </row>
    <row r="5" spans="1:5" x14ac:dyDescent="0.2">
      <c r="A5" s="2466" t="str">
        <f>'Single Audit Cover'!A4</f>
        <v>Year Ending June 30, 2018</v>
      </c>
      <c r="B5" s="2466"/>
      <c r="C5" s="2466"/>
      <c r="D5" s="2466"/>
      <c r="E5" s="2466"/>
    </row>
    <row r="6" spans="1:5" x14ac:dyDescent="0.2">
      <c r="A6" s="2463" t="s">
        <v>1306</v>
      </c>
      <c r="B6" s="2463"/>
      <c r="C6" s="2463"/>
      <c r="D6" s="2463"/>
      <c r="E6" s="2463"/>
    </row>
    <row r="8" spans="1:5" x14ac:dyDescent="0.2">
      <c r="A8" s="1260" t="s">
        <v>1305</v>
      </c>
    </row>
    <row r="10" spans="1:5" x14ac:dyDescent="0.2">
      <c r="A10" s="1261" t="s">
        <v>1304</v>
      </c>
      <c r="B10" s="1262" t="s">
        <v>1303</v>
      </c>
      <c r="C10" s="1262"/>
      <c r="D10" s="1263">
        <f>SUM('Acct Summary 7-8'!C7:K7)</f>
        <v>233611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9968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243579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5"/>
      <c r="B24" s="2465"/>
      <c r="D24" s="1268"/>
    </row>
    <row r="25" spans="1:4" x14ac:dyDescent="0.2">
      <c r="A25" s="2462"/>
      <c r="B25" s="2462"/>
      <c r="D25" s="1268"/>
    </row>
    <row r="26" spans="1:4" x14ac:dyDescent="0.2">
      <c r="A26" s="2462"/>
      <c r="B26" s="2462"/>
      <c r="D26" s="1268"/>
    </row>
    <row r="27" spans="1:4" x14ac:dyDescent="0.2">
      <c r="A27" s="2462"/>
      <c r="B27" s="2462"/>
      <c r="D27" s="1268"/>
    </row>
    <row r="28" spans="1:4" x14ac:dyDescent="0.2">
      <c r="A28" s="2462"/>
      <c r="B28" s="2462"/>
      <c r="D28" s="1268"/>
    </row>
    <row r="29" spans="1:4" x14ac:dyDescent="0.2">
      <c r="A29" s="2462"/>
      <c r="B29" s="2462"/>
      <c r="D29" s="1268"/>
    </row>
    <row r="30" spans="1:4" x14ac:dyDescent="0.2">
      <c r="A30" s="2462"/>
      <c r="B30" s="2462"/>
      <c r="D30" s="1268"/>
    </row>
    <row r="32" spans="1:4" x14ac:dyDescent="0.2">
      <c r="A32" s="1260" t="s">
        <v>1295</v>
      </c>
      <c r="D32" s="1263">
        <f>SUM(D19:D30)</f>
        <v>243579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62"/>
      <c r="B40" s="2462"/>
      <c r="D40" s="1268"/>
    </row>
    <row r="41" spans="1:4" x14ac:dyDescent="0.2">
      <c r="A41" s="2462"/>
      <c r="B41" s="2462"/>
      <c r="D41" s="1271"/>
    </row>
    <row r="42" spans="1:4" x14ac:dyDescent="0.2">
      <c r="A42" s="2462"/>
      <c r="B42" s="2462"/>
      <c r="D42" s="1271"/>
    </row>
    <row r="43" spans="1:4" x14ac:dyDescent="0.2">
      <c r="A43" s="2462"/>
      <c r="B43" s="2462"/>
      <c r="D43" s="1271"/>
    </row>
    <row r="44" spans="1:4" x14ac:dyDescent="0.2">
      <c r="A44" s="2462"/>
      <c r="B44" s="2462"/>
      <c r="D44" s="1271"/>
    </row>
    <row r="45" spans="1:4" x14ac:dyDescent="0.2">
      <c r="A45" s="2462"/>
      <c r="B45" s="2462"/>
      <c r="D45" s="1271"/>
    </row>
    <row r="47" spans="1:4" x14ac:dyDescent="0.2">
      <c r="B47" s="1272" t="s">
        <v>1289</v>
      </c>
      <c r="C47" s="1272"/>
      <c r="D47" s="1273">
        <f>SUM(D35:D45)</f>
        <v>0</v>
      </c>
    </row>
    <row r="49" spans="2:4" x14ac:dyDescent="0.2">
      <c r="B49" s="1272" t="s">
        <v>1288</v>
      </c>
      <c r="C49" s="1272"/>
      <c r="D49" s="1273">
        <f>D32-D47</f>
        <v>243579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6" t="str">
        <f>'Single Audit Cover'!A7</f>
        <v>Edinburg CUSD 4</v>
      </c>
      <c r="B1" s="2476"/>
      <c r="C1" s="2476"/>
      <c r="D1" s="2476"/>
      <c r="E1" s="2476"/>
      <c r="F1" s="2476"/>
    </row>
    <row r="2" spans="1:7" ht="13.5" customHeight="1" x14ac:dyDescent="0.2">
      <c r="A2" s="2477">
        <f>'Single Audit Cover'!E7</f>
        <v>3011004026</v>
      </c>
      <c r="B2" s="2477"/>
      <c r="C2" s="2477"/>
      <c r="D2" s="2477"/>
      <c r="E2" s="2477"/>
      <c r="F2" s="2477"/>
      <c r="G2" s="1275"/>
    </row>
    <row r="3" spans="1:7" ht="15.75" customHeight="1" x14ac:dyDescent="0.2">
      <c r="A3" s="2478" t="s">
        <v>1333</v>
      </c>
      <c r="B3" s="2478"/>
      <c r="C3" s="2478"/>
      <c r="D3" s="2478"/>
      <c r="E3" s="2478"/>
      <c r="F3" s="2478"/>
    </row>
    <row r="4" spans="1:7" ht="13.5" customHeight="1" x14ac:dyDescent="0.2">
      <c r="A4" s="2479" t="str">
        <f>'Single Audit Cover'!A4</f>
        <v>Year Ending June 30, 2018</v>
      </c>
      <c r="B4" s="2479"/>
      <c r="C4" s="2479"/>
      <c r="D4" s="2479"/>
      <c r="E4" s="2479"/>
      <c r="F4" s="2479"/>
    </row>
    <row r="5" spans="1:7" ht="8.25" customHeight="1" x14ac:dyDescent="0.2">
      <c r="C5" s="317"/>
      <c r="D5" s="317"/>
    </row>
    <row r="6" spans="1:7" ht="13.5" customHeight="1" x14ac:dyDescent="0.2">
      <c r="A6" s="1276" t="s">
        <v>1831</v>
      </c>
      <c r="C6" s="317"/>
      <c r="D6" s="317"/>
    </row>
    <row r="7" spans="1:7" ht="60.95" customHeight="1" x14ac:dyDescent="0.2">
      <c r="A7" s="2475" t="s">
        <v>1832</v>
      </c>
      <c r="B7" s="2475"/>
      <c r="C7" s="2475"/>
      <c r="D7" s="2475"/>
      <c r="E7" s="2475"/>
      <c r="F7" s="247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75" t="s">
        <v>1834</v>
      </c>
      <c r="B13" s="2475"/>
      <c r="C13" s="2475"/>
      <c r="D13" s="2475"/>
      <c r="E13" s="2475"/>
      <c r="F13" s="2475"/>
    </row>
    <row r="14" spans="1:7" ht="9.75" customHeight="1" x14ac:dyDescent="0.2">
      <c r="C14" s="1260"/>
      <c r="D14" s="1260"/>
    </row>
    <row r="15" spans="1:7" ht="13.5" customHeight="1" x14ac:dyDescent="0.2">
      <c r="C15" s="1871" t="s">
        <v>1332</v>
      </c>
      <c r="D15" s="2473" t="s">
        <v>1331</v>
      </c>
      <c r="E15" s="2473"/>
      <c r="F15" s="2473"/>
    </row>
    <row r="16" spans="1:7" ht="13.5" customHeight="1" x14ac:dyDescent="0.2">
      <c r="A16" s="1282"/>
      <c r="B16" s="1276" t="s">
        <v>1330</v>
      </c>
      <c r="C16" s="1871" t="s">
        <v>1329</v>
      </c>
      <c r="D16" s="2474" t="s">
        <v>1670</v>
      </c>
      <c r="E16" s="2474"/>
      <c r="F16" s="2474"/>
    </row>
    <row r="17" spans="1:6" ht="20.45" customHeight="1" x14ac:dyDescent="0.2">
      <c r="A17" s="1283"/>
      <c r="B17" s="1284"/>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1835</v>
      </c>
      <c r="B32" s="2469"/>
      <c r="C32" s="2469"/>
      <c r="D32" s="2469"/>
      <c r="E32" s="2469"/>
      <c r="F32" s="246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0">
        <f>+C33+C34</f>
        <v>0</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70"/>
      <c r="C50" s="1870"/>
      <c r="D50" s="1870"/>
      <c r="E50" s="1399"/>
    </row>
    <row r="51" spans="1:5" s="1300" customFormat="1" ht="20.25" customHeight="1" x14ac:dyDescent="0.2">
      <c r="A51" s="1301">
        <v>6</v>
      </c>
      <c r="B51" s="2467" t="s">
        <v>1632</v>
      </c>
      <c r="C51" s="2467"/>
      <c r="D51" s="2467"/>
    </row>
    <row r="52" spans="1:5" ht="14.25" customHeight="1" x14ac:dyDescent="0.2">
      <c r="A52" s="1301"/>
      <c r="B52" s="2467"/>
      <c r="C52" s="2467"/>
      <c r="D52" s="246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6" t="str">
        <f>'Single Audit Cover'!A7</f>
        <v>Edinburg CUSD 4</v>
      </c>
      <c r="C1" s="2480"/>
      <c r="D1" s="2480"/>
      <c r="E1" s="2480"/>
      <c r="F1" s="2480"/>
      <c r="G1" s="2480"/>
      <c r="H1" s="2480"/>
      <c r="I1" s="2480"/>
      <c r="J1" s="2480"/>
      <c r="K1" s="2480"/>
      <c r="L1" s="2480"/>
      <c r="M1" s="2480"/>
    </row>
    <row r="2" spans="2:14" ht="15" x14ac:dyDescent="0.2">
      <c r="B2" s="2477">
        <f>'Single Audit Cover'!E7</f>
        <v>3011004026</v>
      </c>
      <c r="C2" s="2477"/>
      <c r="D2" s="2477"/>
      <c r="E2" s="2477"/>
      <c r="F2" s="2477"/>
      <c r="G2" s="2477"/>
      <c r="H2" s="2477"/>
      <c r="I2" s="2477"/>
      <c r="J2" s="2477"/>
      <c r="K2" s="2477"/>
      <c r="L2" s="2477"/>
      <c r="M2" s="2477"/>
      <c r="N2" s="1302"/>
    </row>
    <row r="3" spans="2:14" ht="15" x14ac:dyDescent="0.2">
      <c r="B3" s="2481" t="s">
        <v>1281</v>
      </c>
      <c r="C3" s="2481"/>
      <c r="D3" s="2481"/>
      <c r="E3" s="2481"/>
      <c r="F3" s="2481"/>
      <c r="G3" s="2481"/>
      <c r="H3" s="2481"/>
      <c r="I3" s="2481"/>
      <c r="J3" s="2481"/>
      <c r="K3" s="2481"/>
      <c r="L3" s="2481"/>
      <c r="M3" s="2481"/>
      <c r="N3" s="1302"/>
    </row>
    <row r="4" spans="2:14" ht="15" x14ac:dyDescent="0.2">
      <c r="B4" s="2482" t="str">
        <f>'Single Audit Cover'!A4</f>
        <v>Year Ending June 30, 2018</v>
      </c>
      <c r="C4" s="2482"/>
      <c r="D4" s="2482"/>
      <c r="E4" s="2482"/>
      <c r="F4" s="2482"/>
      <c r="G4" s="2482"/>
      <c r="H4" s="2482"/>
      <c r="I4" s="2482"/>
      <c r="J4" s="2482"/>
      <c r="K4" s="2482"/>
      <c r="L4" s="2482"/>
      <c r="M4" s="248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2079</v>
      </c>
      <c r="C53" s="179">
        <v>22</v>
      </c>
      <c r="D53" s="247" t="s">
        <v>1537</v>
      </c>
      <c r="E53" s="248"/>
      <c r="F53" s="249"/>
      <c r="G53" s="249" t="s">
        <v>1536</v>
      </c>
      <c r="H53" s="250">
        <v>35370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2102</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5" right="0.5" top="1.25" bottom="0.5" header="0.75" footer="0.5"/>
  <pageSetup scale="75" firstPageNumber="2" orientation="portrait" useFirstPageNumber="1" r:id="rId1"/>
  <headerFooter differentOddEven="1" alignWithMargins="0">
    <oddHeader>&amp;L&amp;8Page &amp;P&amp;C &amp;R&amp;8Page &amp;P</oddHeader>
    <oddFooter>&amp;L&amp;8&amp;F&amp;CReference should be made to the accountant's report regarding this information.</oddFooter>
    <evenFooter>&amp;CReference should be made to the accountant's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Edinburg CUSD 4</v>
      </c>
      <c r="C1" s="2495"/>
      <c r="D1" s="2495"/>
      <c r="E1" s="2495"/>
      <c r="F1" s="2495"/>
      <c r="G1" s="2495"/>
      <c r="H1" s="2495"/>
      <c r="I1" s="2495"/>
      <c r="J1" s="1422"/>
    </row>
    <row r="2" spans="2:10" s="317" customFormat="1" ht="12.75" customHeight="1" x14ac:dyDescent="0.2">
      <c r="B2" s="2496">
        <f>'Single Audit Cover'!E7</f>
        <v>3011004026</v>
      </c>
      <c r="C2" s="2497"/>
      <c r="D2" s="2497"/>
      <c r="E2" s="2497"/>
      <c r="F2" s="2497"/>
      <c r="G2" s="2497"/>
      <c r="H2" s="2497"/>
      <c r="I2" s="2497"/>
      <c r="J2" s="1422"/>
    </row>
    <row r="3" spans="2:10" s="317" customFormat="1" ht="12.75" customHeight="1" x14ac:dyDescent="0.2">
      <c r="B3" s="2498" t="s">
        <v>1347</v>
      </c>
      <c r="C3" s="2499"/>
      <c r="D3" s="2499"/>
      <c r="E3" s="2499"/>
      <c r="F3" s="2499"/>
      <c r="G3" s="2499"/>
      <c r="H3" s="2499"/>
      <c r="I3" s="2499"/>
      <c r="J3" s="1423"/>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8" t="s">
        <v>1346</v>
      </c>
      <c r="C7" s="2499"/>
      <c r="D7" s="2499"/>
      <c r="E7" s="2499"/>
      <c r="F7" s="2499"/>
      <c r="G7" s="2499"/>
      <c r="H7" s="2499"/>
      <c r="I7" s="249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0"/>
      <c r="D11" s="250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1"/>
      <c r="E29" s="2501"/>
      <c r="F29" s="2501"/>
      <c r="G29" s="2501"/>
      <c r="H29" s="2501"/>
      <c r="I29" s="250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502" t="s">
        <v>1854</v>
      </c>
      <c r="D37" s="2503"/>
      <c r="E37" s="2503"/>
      <c r="F37" s="2504"/>
      <c r="G37" s="2502" t="s">
        <v>1674</v>
      </c>
      <c r="H37" s="2503"/>
      <c r="I37" s="2504"/>
    </row>
    <row r="38" spans="2:9" ht="16.5" customHeight="1" x14ac:dyDescent="0.2">
      <c r="B38" s="1444"/>
      <c r="C38" s="2490"/>
      <c r="D38" s="2491"/>
      <c r="E38" s="2491"/>
      <c r="F38" s="2492"/>
      <c r="G38" s="2505"/>
      <c r="H38" s="2506"/>
      <c r="I38" s="2507"/>
    </row>
    <row r="39" spans="2:9" ht="16.5" customHeight="1" x14ac:dyDescent="0.2">
      <c r="B39" s="1444"/>
      <c r="C39" s="2490"/>
      <c r="D39" s="2491"/>
      <c r="E39" s="2491"/>
      <c r="F39" s="2492"/>
      <c r="G39" s="2493"/>
      <c r="H39" s="2493"/>
      <c r="I39" s="2493"/>
    </row>
    <row r="40" spans="2:9" ht="16.5" customHeight="1" x14ac:dyDescent="0.2">
      <c r="B40" s="1444"/>
      <c r="C40" s="2490"/>
      <c r="D40" s="2491"/>
      <c r="E40" s="2491"/>
      <c r="F40" s="2492"/>
      <c r="G40" s="2493"/>
      <c r="H40" s="2493"/>
      <c r="I40" s="2493"/>
    </row>
    <row r="41" spans="2:9" ht="16.5" customHeight="1" x14ac:dyDescent="0.2">
      <c r="B41" s="1444"/>
      <c r="C41" s="2490"/>
      <c r="D41" s="2491"/>
      <c r="E41" s="2491"/>
      <c r="F41" s="2492"/>
      <c r="G41" s="2493"/>
      <c r="H41" s="2493"/>
      <c r="I41" s="2493"/>
    </row>
    <row r="42" spans="2:9" ht="16.5" customHeight="1" x14ac:dyDescent="0.2">
      <c r="B42" s="1444"/>
      <c r="C42" s="2490"/>
      <c r="D42" s="2491"/>
      <c r="E42" s="2491"/>
      <c r="F42" s="2492"/>
      <c r="G42" s="2493"/>
      <c r="H42" s="2493"/>
      <c r="I42" s="2493"/>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Edinburg CUSD 4</v>
      </c>
      <c r="C1" s="2494"/>
      <c r="D1" s="2494"/>
      <c r="E1" s="2494"/>
      <c r="F1" s="2494"/>
      <c r="G1" s="2494"/>
      <c r="H1" s="2494"/>
      <c r="I1" s="2494"/>
      <c r="J1" s="2494"/>
      <c r="K1" s="2494"/>
      <c r="L1" s="1374"/>
      <c r="M1" s="1374"/>
    </row>
    <row r="2" spans="1:13" ht="12" customHeight="1" x14ac:dyDescent="0.2">
      <c r="B2" s="2496">
        <f>'Single Audit Cover'!E7</f>
        <v>3011004026</v>
      </c>
      <c r="C2" s="2496"/>
      <c r="D2" s="2496"/>
      <c r="E2" s="2496"/>
      <c r="F2" s="2496"/>
      <c r="G2" s="2496"/>
      <c r="H2" s="2496"/>
      <c r="I2" s="2496"/>
      <c r="J2" s="2496"/>
      <c r="K2" s="2496"/>
      <c r="L2" s="1375"/>
      <c r="M2" s="1376"/>
    </row>
    <row r="3" spans="1:13" ht="10.35" customHeight="1" x14ac:dyDescent="0.2">
      <c r="B3" s="2510" t="s">
        <v>1347</v>
      </c>
      <c r="C3" s="2510"/>
      <c r="D3" s="2510"/>
      <c r="E3" s="2510"/>
      <c r="F3" s="2510"/>
      <c r="G3" s="2510"/>
      <c r="H3" s="2510"/>
      <c r="I3" s="2510"/>
      <c r="J3" s="2510"/>
      <c r="K3" s="2510"/>
      <c r="L3" s="1377"/>
      <c r="M3" s="1377"/>
    </row>
    <row r="4" spans="1:13" ht="14.25" customHeight="1" x14ac:dyDescent="0.2">
      <c r="B4" s="2511" t="str">
        <f>'Single Audit Cover'!A4</f>
        <v>Year Ending June 30, 2018</v>
      </c>
      <c r="C4" s="2511"/>
      <c r="D4" s="2511"/>
      <c r="E4" s="2511"/>
      <c r="F4" s="2511"/>
      <c r="G4" s="2511"/>
      <c r="H4" s="2511"/>
      <c r="I4" s="2511"/>
      <c r="J4" s="2511"/>
      <c r="K4" s="251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1" t="s">
        <v>1363</v>
      </c>
      <c r="C7" s="2511"/>
      <c r="D7" s="2512"/>
      <c r="E7" s="2512"/>
      <c r="F7" s="2512"/>
      <c r="G7" s="2512"/>
      <c r="H7" s="2512"/>
      <c r="I7" s="2512"/>
      <c r="J7" s="2512"/>
      <c r="K7" s="251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9"/>
      <c r="C14" s="2509"/>
      <c r="D14" s="2509"/>
      <c r="E14" s="2509"/>
      <c r="F14" s="2509"/>
      <c r="G14" s="2509"/>
      <c r="H14" s="2509"/>
      <c r="I14" s="2509"/>
      <c r="J14" s="2509"/>
      <c r="K14" s="250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9"/>
      <c r="C17" s="2509"/>
      <c r="D17" s="2509"/>
      <c r="E17" s="2509"/>
      <c r="F17" s="2509"/>
      <c r="G17" s="2509"/>
      <c r="H17" s="2509"/>
      <c r="I17" s="2509"/>
      <c r="J17" s="2509"/>
      <c r="K17" s="250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13"/>
      <c r="C20" s="2513"/>
      <c r="D20" s="2509"/>
      <c r="E20" s="2509"/>
      <c r="F20" s="2509"/>
      <c r="G20" s="2509"/>
      <c r="H20" s="2509"/>
      <c r="I20" s="2509"/>
      <c r="J20" s="2509"/>
      <c r="K20" s="250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9"/>
      <c r="C23" s="2509"/>
      <c r="D23" s="2509"/>
      <c r="E23" s="2509"/>
      <c r="F23" s="2509"/>
      <c r="G23" s="2509"/>
      <c r="H23" s="2509"/>
      <c r="I23" s="2509"/>
      <c r="J23" s="2509"/>
      <c r="K23" s="250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9"/>
      <c r="C26" s="2509"/>
      <c r="D26" s="2509"/>
      <c r="E26" s="2509"/>
      <c r="F26" s="2509"/>
      <c r="G26" s="2509"/>
      <c r="H26" s="2509"/>
      <c r="I26" s="2509"/>
      <c r="J26" s="2509"/>
      <c r="K26" s="250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8"/>
      <c r="C29" s="2508"/>
      <c r="D29" s="2509"/>
      <c r="E29" s="2509"/>
      <c r="F29" s="2509"/>
      <c r="G29" s="2509"/>
      <c r="H29" s="2509"/>
      <c r="I29" s="2509"/>
      <c r="J29" s="2509"/>
      <c r="K29" s="250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8"/>
      <c r="C32" s="2508"/>
      <c r="D32" s="2509"/>
      <c r="E32" s="2509"/>
      <c r="F32" s="2509"/>
      <c r="G32" s="2509"/>
      <c r="H32" s="2509"/>
      <c r="I32" s="2509"/>
      <c r="J32" s="2509"/>
      <c r="K32" s="250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7" t="str">
        <f>'Single Audit Cover'!A7</f>
        <v>Edinburg CUSD 4</v>
      </c>
      <c r="C1" s="2517"/>
      <c r="D1" s="2517"/>
      <c r="E1" s="2517"/>
      <c r="F1" s="2517"/>
      <c r="G1" s="2517"/>
      <c r="H1" s="2517"/>
      <c r="I1" s="2517"/>
      <c r="J1" s="2517"/>
      <c r="K1" s="2517"/>
      <c r="L1" s="1465"/>
    </row>
    <row r="2" spans="1:12" ht="12.75" customHeight="1" x14ac:dyDescent="0.2">
      <c r="B2" s="2518">
        <f>'Single Audit Cover'!E7</f>
        <v>3011004026</v>
      </c>
      <c r="C2" s="2518"/>
      <c r="D2" s="2518"/>
      <c r="E2" s="2518"/>
      <c r="F2" s="2518"/>
      <c r="G2" s="2518"/>
      <c r="H2" s="2518"/>
      <c r="I2" s="2518"/>
      <c r="J2" s="2518"/>
      <c r="K2" s="2518"/>
      <c r="L2" s="1466"/>
    </row>
    <row r="3" spans="1:12" ht="12.75" customHeight="1" x14ac:dyDescent="0.2">
      <c r="B3" s="2510" t="s">
        <v>1347</v>
      </c>
      <c r="C3" s="2510"/>
      <c r="D3" s="2510"/>
      <c r="E3" s="2510"/>
      <c r="F3" s="2510"/>
      <c r="G3" s="2510"/>
      <c r="H3" s="2510"/>
      <c r="I3" s="2510"/>
      <c r="J3" s="2510"/>
      <c r="K3" s="2510"/>
      <c r="L3" s="1377"/>
    </row>
    <row r="4" spans="1:12" ht="12.75" customHeight="1" x14ac:dyDescent="0.2">
      <c r="B4" s="2510" t="str">
        <f>'Single Audit Cover'!A4</f>
        <v>Year Ending June 30, 2018</v>
      </c>
      <c r="C4" s="2510"/>
      <c r="D4" s="2510"/>
      <c r="E4" s="2510"/>
      <c r="F4" s="2510"/>
      <c r="G4" s="2510"/>
      <c r="H4" s="2510"/>
      <c r="I4" s="2510"/>
      <c r="J4" s="2510"/>
      <c r="K4" s="2510"/>
      <c r="L4" s="1377"/>
    </row>
    <row r="5" spans="1:12" ht="5.25" customHeight="1" x14ac:dyDescent="0.2">
      <c r="B5" s="1260" t="s">
        <v>1231</v>
      </c>
      <c r="C5" s="1260"/>
      <c r="L5" s="322"/>
    </row>
    <row r="6" spans="1:12" ht="30.75" customHeight="1" x14ac:dyDescent="0.2">
      <c r="A6" s="322"/>
      <c r="B6" s="2519" t="s">
        <v>1375</v>
      </c>
      <c r="C6" s="2519"/>
      <c r="D6" s="2519"/>
      <c r="E6" s="2519"/>
      <c r="F6" s="2519"/>
      <c r="G6" s="2519"/>
      <c r="H6" s="2519"/>
      <c r="I6" s="2519"/>
      <c r="J6" s="2519"/>
      <c r="K6" s="251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1"/>
      <c r="G12" s="2501"/>
      <c r="H12" s="2501"/>
      <c r="I12" s="2501"/>
      <c r="J12" s="2501"/>
      <c r="K12" s="250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4"/>
      <c r="E14" s="2514"/>
      <c r="F14" s="2514"/>
      <c r="H14" s="1475" t="s">
        <v>1370</v>
      </c>
      <c r="I14" s="2515"/>
      <c r="J14" s="2515"/>
      <c r="K14" s="251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5"/>
      <c r="E16" s="2515"/>
      <c r="F16" s="2515"/>
      <c r="G16" s="2515"/>
      <c r="H16" s="2515"/>
      <c r="I16" s="2515"/>
      <c r="J16" s="2515"/>
      <c r="K16" s="2515"/>
      <c r="L16" s="322"/>
    </row>
    <row r="17" spans="2:12" ht="13.5" customHeight="1" x14ac:dyDescent="0.2">
      <c r="B17" s="1387" t="s">
        <v>1368</v>
      </c>
      <c r="C17" s="1387"/>
      <c r="D17" s="2516"/>
      <c r="E17" s="2516"/>
      <c r="F17" s="2516"/>
      <c r="G17" s="2516"/>
      <c r="H17" s="2516"/>
      <c r="I17" s="2516"/>
      <c r="J17" s="2516"/>
      <c r="K17" s="251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9"/>
      <c r="C20" s="2509"/>
      <c r="D20" s="2509"/>
      <c r="E20" s="2509"/>
      <c r="F20" s="2509"/>
      <c r="G20" s="2509"/>
      <c r="H20" s="2509"/>
      <c r="I20" s="2509"/>
      <c r="J20" s="2509"/>
      <c r="K20" s="250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9"/>
      <c r="C23" s="2509"/>
      <c r="D23" s="2509"/>
      <c r="E23" s="2509"/>
      <c r="F23" s="2509"/>
      <c r="G23" s="2509"/>
      <c r="H23" s="2509"/>
      <c r="I23" s="2509"/>
      <c r="J23" s="2509"/>
      <c r="K23" s="250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9"/>
      <c r="C26" s="2509"/>
      <c r="D26" s="2509"/>
      <c r="E26" s="2509"/>
      <c r="F26" s="2509"/>
      <c r="G26" s="2509"/>
      <c r="H26" s="2509"/>
      <c r="I26" s="2509"/>
      <c r="J26" s="2509"/>
      <c r="K26" s="250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9"/>
      <c r="C29" s="2509"/>
      <c r="D29" s="2509"/>
      <c r="E29" s="2509"/>
      <c r="F29" s="2509"/>
      <c r="G29" s="2509"/>
      <c r="H29" s="2509"/>
      <c r="I29" s="2509"/>
      <c r="J29" s="2509"/>
      <c r="K29" s="250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9"/>
      <c r="C32" s="2509"/>
      <c r="D32" s="2509"/>
      <c r="E32" s="2509"/>
      <c r="F32" s="2509"/>
      <c r="G32" s="2509"/>
      <c r="H32" s="2509"/>
      <c r="I32" s="2509"/>
      <c r="J32" s="2509"/>
      <c r="K32" s="250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9"/>
      <c r="C35" s="2509"/>
      <c r="D35" s="2509"/>
      <c r="E35" s="2509"/>
      <c r="F35" s="2509"/>
      <c r="G35" s="2509"/>
      <c r="H35" s="2509"/>
      <c r="I35" s="2509"/>
      <c r="J35" s="2509"/>
      <c r="K35" s="250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9"/>
      <c r="C38" s="2509"/>
      <c r="D38" s="2509"/>
      <c r="E38" s="2509"/>
      <c r="F38" s="2509"/>
      <c r="G38" s="2509"/>
      <c r="H38" s="2509"/>
      <c r="I38" s="2509"/>
      <c r="J38" s="2509"/>
      <c r="K38" s="250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9"/>
      <c r="C41" s="2509"/>
      <c r="D41" s="2509"/>
      <c r="E41" s="2509"/>
      <c r="F41" s="2509"/>
      <c r="G41" s="2509"/>
      <c r="H41" s="2509"/>
      <c r="I41" s="2509"/>
      <c r="J41" s="2509"/>
      <c r="K41" s="250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4" t="str">
        <f>'Single Audit Cover'!A7</f>
        <v>Edinburg CUSD 4</v>
      </c>
      <c r="C1" s="2494"/>
      <c r="D1" s="2494"/>
      <c r="E1" s="1491"/>
    </row>
    <row r="2" spans="2:5" s="1282" customFormat="1" ht="12.75" customHeight="1" x14ac:dyDescent="0.2">
      <c r="B2" s="2496">
        <f>'Single Audit Cover'!E7</f>
        <v>3011004026</v>
      </c>
      <c r="C2" s="2496"/>
      <c r="D2" s="2496"/>
      <c r="E2" s="1492"/>
    </row>
    <row r="3" spans="2:5" ht="12.75" customHeight="1" x14ac:dyDescent="0.2">
      <c r="B3" s="2510" t="s">
        <v>1869</v>
      </c>
      <c r="C3" s="2510"/>
      <c r="D3" s="2510"/>
      <c r="E3" s="1274"/>
    </row>
    <row r="4" spans="2:5" s="1282" customFormat="1" ht="12.75" customHeight="1" x14ac:dyDescent="0.2">
      <c r="B4" s="2520" t="str">
        <f>'Single Audit Cover'!A4</f>
        <v>Year Ending June 30, 2018</v>
      </c>
      <c r="C4" s="2520"/>
      <c r="D4" s="252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workbookViewId="0">
      <selection activeCell="I68" sqref="I68"/>
    </sheetView>
  </sheetViews>
  <sheetFormatPr defaultColWidth="9.140625" defaultRowHeight="15" x14ac:dyDescent="0.25"/>
  <cols>
    <col min="1" max="1" width="2.7109375" style="1957" customWidth="1"/>
    <col min="2" max="2" width="30.7109375" style="1957" customWidth="1"/>
    <col min="3" max="3" width="1.7109375" style="1957" customWidth="1"/>
    <col min="4" max="4" width="13.7109375" style="1957" customWidth="1"/>
    <col min="5" max="5" width="1.7109375" style="1957" customWidth="1"/>
    <col min="6" max="6" width="13.7109375" style="1957" customWidth="1"/>
    <col min="7" max="7" width="1.7109375" style="1957" customWidth="1"/>
    <col min="8" max="8" width="13.7109375" style="1957" customWidth="1"/>
    <col min="9" max="9" width="1.7109375" style="1957" customWidth="1"/>
    <col min="10" max="10" width="13.7109375" style="1957" customWidth="1"/>
    <col min="11" max="11" width="1.7109375" style="1957" customWidth="1"/>
    <col min="12" max="12" width="12.7109375" style="1957" customWidth="1"/>
    <col min="13" max="16384" width="9.140625" style="1957"/>
  </cols>
  <sheetData>
    <row r="1" spans="1:12" x14ac:dyDescent="0.25">
      <c r="B1" s="2521" t="s">
        <v>2103</v>
      </c>
      <c r="C1" s="2521"/>
      <c r="D1" s="2521"/>
      <c r="E1" s="2521"/>
      <c r="F1" s="2521"/>
      <c r="G1" s="2521"/>
      <c r="H1" s="2521"/>
      <c r="I1" s="2521"/>
      <c r="J1" s="2521"/>
    </row>
    <row r="2" spans="1:12" x14ac:dyDescent="0.25">
      <c r="B2" s="2521" t="s">
        <v>2104</v>
      </c>
      <c r="C2" s="2521"/>
      <c r="D2" s="2521"/>
      <c r="E2" s="2521"/>
      <c r="F2" s="2521"/>
      <c r="G2" s="2521"/>
      <c r="H2" s="2521"/>
      <c r="I2" s="2521"/>
      <c r="J2" s="2521"/>
    </row>
    <row r="3" spans="1:12" x14ac:dyDescent="0.25">
      <c r="B3" s="2522" t="s">
        <v>2105</v>
      </c>
      <c r="C3" s="2522"/>
      <c r="D3" s="2522"/>
      <c r="E3" s="2522"/>
      <c r="F3" s="2522"/>
      <c r="G3" s="2522"/>
      <c r="H3" s="2522"/>
      <c r="I3" s="2522"/>
      <c r="J3" s="2522"/>
    </row>
    <row r="4" spans="1:12" x14ac:dyDescent="0.25">
      <c r="B4" s="2523" t="s">
        <v>2157</v>
      </c>
      <c r="C4" s="2523"/>
      <c r="D4" s="2523"/>
      <c r="E4" s="2523"/>
      <c r="F4" s="2523"/>
      <c r="G4" s="2523"/>
      <c r="H4" s="2523"/>
      <c r="I4" s="2523"/>
      <c r="J4" s="2523"/>
    </row>
    <row r="5" spans="1:12" x14ac:dyDescent="0.25">
      <c r="B5" s="1958"/>
      <c r="C5" s="1958"/>
      <c r="D5" s="1958"/>
      <c r="E5" s="1958"/>
      <c r="F5" s="1958"/>
      <c r="G5" s="1958"/>
      <c r="H5" s="1958"/>
      <c r="I5" s="1958"/>
      <c r="J5" s="1958"/>
    </row>
    <row r="6" spans="1:12" x14ac:dyDescent="0.25">
      <c r="B6" s="1958"/>
      <c r="C6" s="1958"/>
      <c r="D6" s="1958"/>
      <c r="E6" s="1958"/>
      <c r="F6" s="1958"/>
      <c r="G6" s="1958"/>
      <c r="H6" s="1958"/>
      <c r="I6" s="1958"/>
      <c r="J6" s="1958"/>
    </row>
    <row r="7" spans="1:12" x14ac:dyDescent="0.25">
      <c r="D7" s="1959" t="s">
        <v>2106</v>
      </c>
      <c r="E7" s="1959"/>
      <c r="F7" s="1959"/>
      <c r="G7" s="1959"/>
      <c r="H7" s="1959"/>
      <c r="I7" s="1959"/>
      <c r="J7" s="1959" t="s">
        <v>2106</v>
      </c>
      <c r="K7" s="1960"/>
      <c r="L7" s="1960"/>
    </row>
    <row r="8" spans="1:12" x14ac:dyDescent="0.25">
      <c r="D8" s="1961" t="s">
        <v>2158</v>
      </c>
      <c r="E8" s="1959"/>
      <c r="F8" s="1962" t="s">
        <v>2107</v>
      </c>
      <c r="G8" s="1959"/>
      <c r="H8" s="1962" t="s">
        <v>2108</v>
      </c>
      <c r="I8" s="1959"/>
      <c r="J8" s="1961" t="s">
        <v>2159</v>
      </c>
      <c r="K8" s="1960"/>
      <c r="L8" s="1960"/>
    </row>
    <row r="9" spans="1:12" x14ac:dyDescent="0.25">
      <c r="A9" s="1963" t="s">
        <v>2109</v>
      </c>
      <c r="C9" s="1964"/>
      <c r="D9" s="1965"/>
      <c r="E9" s="1966"/>
      <c r="F9" s="1967"/>
      <c r="G9" s="1966"/>
      <c r="H9" s="1967"/>
      <c r="I9" s="1966"/>
      <c r="J9" s="1965"/>
      <c r="K9" s="1964"/>
      <c r="L9" s="1964"/>
    </row>
    <row r="10" spans="1:12" x14ac:dyDescent="0.25">
      <c r="B10" s="1968"/>
      <c r="C10" s="1964"/>
      <c r="D10" s="1965"/>
      <c r="E10" s="1966"/>
      <c r="F10" s="1967"/>
      <c r="G10" s="1966"/>
      <c r="H10" s="1967"/>
      <c r="I10" s="1966"/>
      <c r="J10" s="1965"/>
      <c r="K10" s="1964"/>
      <c r="L10" s="1964"/>
    </row>
    <row r="11" spans="1:12" ht="15.75" thickBot="1" x14ac:dyDescent="0.3">
      <c r="A11" s="1968" t="s">
        <v>2110</v>
      </c>
      <c r="C11" s="1964"/>
      <c r="D11" s="1969">
        <v>63047</v>
      </c>
      <c r="E11" s="1966"/>
      <c r="F11" s="1970">
        <v>59071</v>
      </c>
      <c r="G11" s="1966"/>
      <c r="H11" s="1970">
        <v>-62755</v>
      </c>
      <c r="I11" s="1966"/>
      <c r="J11" s="1969">
        <f>SUM(D11:H11)</f>
        <v>59363</v>
      </c>
      <c r="K11" s="1964"/>
      <c r="L11" s="1964"/>
    </row>
    <row r="12" spans="1:12" ht="15.75" thickTop="1" x14ac:dyDescent="0.25">
      <c r="B12" s="1968"/>
      <c r="C12" s="1964"/>
      <c r="D12" s="1965"/>
      <c r="E12" s="1966"/>
      <c r="F12" s="1967"/>
      <c r="G12" s="1966"/>
      <c r="H12" s="1967"/>
      <c r="I12" s="1966"/>
      <c r="J12" s="1965"/>
      <c r="K12" s="1964"/>
      <c r="L12" s="1964"/>
    </row>
    <row r="13" spans="1:12" x14ac:dyDescent="0.25">
      <c r="A13" s="1963" t="s">
        <v>2111</v>
      </c>
      <c r="C13" s="1964"/>
      <c r="D13" s="1965"/>
      <c r="E13" s="1966"/>
      <c r="F13" s="1967"/>
      <c r="G13" s="1966"/>
      <c r="H13" s="1967"/>
      <c r="I13" s="1966"/>
      <c r="J13" s="1965"/>
      <c r="K13" s="1964"/>
      <c r="L13" s="1964"/>
    </row>
    <row r="14" spans="1:12" x14ac:dyDescent="0.25">
      <c r="B14" s="1968"/>
      <c r="C14" s="1964"/>
      <c r="D14" s="1965"/>
      <c r="E14" s="1966"/>
      <c r="F14" s="1967"/>
      <c r="G14" s="1966"/>
      <c r="H14" s="1967"/>
      <c r="I14" s="1966"/>
      <c r="J14" s="1965"/>
      <c r="K14" s="1964"/>
      <c r="L14" s="1964"/>
    </row>
    <row r="15" spans="1:12" x14ac:dyDescent="0.25">
      <c r="A15" s="1968" t="s">
        <v>2112</v>
      </c>
      <c r="C15" s="1964"/>
      <c r="D15" s="1965"/>
      <c r="E15" s="1966"/>
      <c r="F15" s="1967"/>
      <c r="G15" s="1966"/>
      <c r="H15" s="1967"/>
      <c r="I15" s="1966"/>
      <c r="J15" s="1965"/>
      <c r="K15" s="1964"/>
      <c r="L15" s="1964"/>
    </row>
    <row r="16" spans="1:12" hidden="1" x14ac:dyDescent="0.25">
      <c r="B16" s="1968" t="s">
        <v>2113</v>
      </c>
      <c r="C16" s="1964"/>
      <c r="D16" s="1971">
        <v>0</v>
      </c>
      <c r="E16" s="1964"/>
      <c r="F16" s="1971"/>
      <c r="G16" s="1964"/>
      <c r="H16" s="1971"/>
      <c r="I16" s="1964"/>
      <c r="J16" s="1971">
        <f t="shared" ref="J16:J59" si="0">SUM(D16:I16)</f>
        <v>0</v>
      </c>
      <c r="K16" s="1964"/>
      <c r="L16" s="1964"/>
    </row>
    <row r="17" spans="2:12" x14ac:dyDescent="0.25">
      <c r="B17" s="1968" t="s">
        <v>2114</v>
      </c>
      <c r="C17" s="1964"/>
      <c r="D17" s="1971">
        <v>1603</v>
      </c>
      <c r="E17" s="1972"/>
      <c r="F17" s="1971">
        <v>3691</v>
      </c>
      <c r="G17" s="1972"/>
      <c r="H17" s="1971">
        <v>-4419</v>
      </c>
      <c r="I17" s="1972"/>
      <c r="J17" s="1971">
        <f t="shared" si="0"/>
        <v>875</v>
      </c>
      <c r="K17" s="1964"/>
      <c r="L17" s="1964"/>
    </row>
    <row r="18" spans="2:12" x14ac:dyDescent="0.25">
      <c r="B18" s="1968" t="s">
        <v>2115</v>
      </c>
      <c r="C18" s="1964"/>
      <c r="D18" s="1972">
        <v>1793</v>
      </c>
      <c r="E18" s="1972"/>
      <c r="F18" s="1972">
        <v>0</v>
      </c>
      <c r="G18" s="1972"/>
      <c r="H18" s="1972">
        <v>-290</v>
      </c>
      <c r="I18" s="1972"/>
      <c r="J18" s="1972">
        <f t="shared" si="0"/>
        <v>1503</v>
      </c>
      <c r="K18" s="1964"/>
      <c r="L18" s="1964"/>
    </row>
    <row r="19" spans="2:12" x14ac:dyDescent="0.25">
      <c r="B19" s="1968" t="s">
        <v>2116</v>
      </c>
      <c r="C19" s="1964"/>
      <c r="D19" s="1972">
        <v>40</v>
      </c>
      <c r="E19" s="1972"/>
      <c r="F19" s="1972">
        <v>0</v>
      </c>
      <c r="G19" s="1972"/>
      <c r="H19" s="1972">
        <v>0</v>
      </c>
      <c r="I19" s="1972"/>
      <c r="J19" s="1972">
        <f t="shared" si="0"/>
        <v>40</v>
      </c>
      <c r="K19" s="1964"/>
      <c r="L19" s="1964"/>
    </row>
    <row r="20" spans="2:12" x14ac:dyDescent="0.25">
      <c r="B20" s="1968" t="s">
        <v>2117</v>
      </c>
      <c r="C20" s="1964"/>
      <c r="D20" s="1972">
        <v>0</v>
      </c>
      <c r="E20" s="1972"/>
      <c r="F20" s="1972">
        <v>0</v>
      </c>
      <c r="G20" s="1972"/>
      <c r="H20" s="1972">
        <v>0</v>
      </c>
      <c r="I20" s="1972"/>
      <c r="J20" s="1972">
        <f t="shared" si="0"/>
        <v>0</v>
      </c>
      <c r="K20" s="1964"/>
      <c r="L20" s="1964"/>
    </row>
    <row r="21" spans="2:12" x14ac:dyDescent="0.25">
      <c r="B21" s="1968" t="s">
        <v>2118</v>
      </c>
      <c r="C21" s="1964"/>
      <c r="D21" s="1972">
        <v>1460</v>
      </c>
      <c r="E21" s="1972"/>
      <c r="F21" s="1972">
        <v>5264</v>
      </c>
      <c r="G21" s="1972"/>
      <c r="H21" s="1972">
        <v>-3118</v>
      </c>
      <c r="I21" s="1972"/>
      <c r="J21" s="1972">
        <f t="shared" si="0"/>
        <v>3606</v>
      </c>
      <c r="K21" s="1964"/>
      <c r="L21" s="1964"/>
    </row>
    <row r="22" spans="2:12" x14ac:dyDescent="0.25">
      <c r="B22" s="1968" t="s">
        <v>2119</v>
      </c>
      <c r="C22" s="1964"/>
      <c r="D22" s="1972">
        <v>599</v>
      </c>
      <c r="E22" s="1972"/>
      <c r="F22" s="1972">
        <v>0</v>
      </c>
      <c r="G22" s="1972"/>
      <c r="H22" s="1972">
        <v>0</v>
      </c>
      <c r="I22" s="1972"/>
      <c r="J22" s="1972">
        <f t="shared" si="0"/>
        <v>599</v>
      </c>
      <c r="K22" s="1964"/>
      <c r="L22" s="1964"/>
    </row>
    <row r="23" spans="2:12" x14ac:dyDescent="0.25">
      <c r="B23" s="1968" t="s">
        <v>2120</v>
      </c>
      <c r="C23" s="1964"/>
      <c r="D23" s="1972">
        <v>3950</v>
      </c>
      <c r="E23" s="1972"/>
      <c r="F23" s="1972">
        <v>5970</v>
      </c>
      <c r="G23" s="1972"/>
      <c r="H23" s="1972">
        <v>-8119</v>
      </c>
      <c r="I23" s="1972"/>
      <c r="J23" s="1972">
        <f t="shared" si="0"/>
        <v>1801</v>
      </c>
      <c r="K23" s="1964"/>
      <c r="L23" s="1964"/>
    </row>
    <row r="24" spans="2:12" x14ac:dyDescent="0.25">
      <c r="B24" s="1968" t="s">
        <v>2121</v>
      </c>
      <c r="C24" s="1964"/>
      <c r="D24" s="1972">
        <v>1236</v>
      </c>
      <c r="E24" s="1972"/>
      <c r="F24" s="1972">
        <v>2686</v>
      </c>
      <c r="G24" s="1972"/>
      <c r="H24" s="1972">
        <v>-2061</v>
      </c>
      <c r="I24" s="1972"/>
      <c r="J24" s="1972">
        <f t="shared" si="0"/>
        <v>1861</v>
      </c>
      <c r="K24" s="1964"/>
      <c r="L24" s="1964"/>
    </row>
    <row r="25" spans="2:12" x14ac:dyDescent="0.25">
      <c r="B25" s="1968" t="s">
        <v>2122</v>
      </c>
      <c r="C25" s="1964"/>
      <c r="D25" s="1972">
        <v>2581</v>
      </c>
      <c r="E25" s="1972"/>
      <c r="F25" s="1972">
        <v>3021</v>
      </c>
      <c r="G25" s="1972"/>
      <c r="H25" s="1972">
        <v>-4174</v>
      </c>
      <c r="I25" s="1972"/>
      <c r="J25" s="1972">
        <f t="shared" si="0"/>
        <v>1428</v>
      </c>
      <c r="K25" s="1964"/>
      <c r="L25" s="1964"/>
    </row>
    <row r="26" spans="2:12" x14ac:dyDescent="0.25">
      <c r="B26" s="1968" t="s">
        <v>2123</v>
      </c>
      <c r="C26" s="1964"/>
      <c r="D26" s="1972">
        <v>1383</v>
      </c>
      <c r="E26" s="1972"/>
      <c r="F26" s="1972">
        <v>0</v>
      </c>
      <c r="G26" s="1972"/>
      <c r="H26" s="1972">
        <v>-1100</v>
      </c>
      <c r="I26" s="1972"/>
      <c r="J26" s="1972">
        <f t="shared" si="0"/>
        <v>283</v>
      </c>
      <c r="K26" s="1964"/>
      <c r="L26" s="1964"/>
    </row>
    <row r="27" spans="2:12" x14ac:dyDescent="0.25">
      <c r="B27" s="1968" t="s">
        <v>2124</v>
      </c>
      <c r="C27" s="1964"/>
      <c r="D27" s="1972">
        <v>733</v>
      </c>
      <c r="E27" s="1972"/>
      <c r="F27" s="1972">
        <v>0</v>
      </c>
      <c r="G27" s="1972"/>
      <c r="H27" s="1972">
        <v>0</v>
      </c>
      <c r="I27" s="1972"/>
      <c r="J27" s="1972">
        <f t="shared" si="0"/>
        <v>733</v>
      </c>
      <c r="K27" s="1964"/>
      <c r="L27" s="1964"/>
    </row>
    <row r="28" spans="2:12" x14ac:dyDescent="0.25">
      <c r="B28" s="1968" t="s">
        <v>2125</v>
      </c>
      <c r="C28" s="1964"/>
      <c r="D28" s="1972">
        <v>29</v>
      </c>
      <c r="E28" s="1972"/>
      <c r="F28" s="1972">
        <v>0</v>
      </c>
      <c r="G28" s="1972"/>
      <c r="H28" s="1972">
        <v>0</v>
      </c>
      <c r="I28" s="1972"/>
      <c r="J28" s="1972">
        <f t="shared" si="0"/>
        <v>29</v>
      </c>
      <c r="K28" s="1964"/>
      <c r="L28" s="1964"/>
    </row>
    <row r="29" spans="2:12" x14ac:dyDescent="0.25">
      <c r="B29" s="1968" t="s">
        <v>2126</v>
      </c>
      <c r="C29" s="1964"/>
      <c r="D29" s="1972">
        <v>547</v>
      </c>
      <c r="E29" s="1972"/>
      <c r="F29" s="1972">
        <v>0</v>
      </c>
      <c r="G29" s="1972"/>
      <c r="H29" s="1972">
        <v>0</v>
      </c>
      <c r="I29" s="1972"/>
      <c r="J29" s="1972">
        <f t="shared" si="0"/>
        <v>547</v>
      </c>
      <c r="K29" s="1964"/>
      <c r="L29" s="1964"/>
    </row>
    <row r="30" spans="2:12" x14ac:dyDescent="0.25">
      <c r="B30" s="1968" t="s">
        <v>2127</v>
      </c>
      <c r="C30" s="1964"/>
      <c r="D30" s="1972">
        <v>1388</v>
      </c>
      <c r="E30" s="1972"/>
      <c r="F30" s="1972">
        <v>2735</v>
      </c>
      <c r="G30" s="1972"/>
      <c r="H30" s="1972">
        <v>-1906</v>
      </c>
      <c r="I30" s="1972"/>
      <c r="J30" s="1972">
        <f t="shared" si="0"/>
        <v>2217</v>
      </c>
      <c r="K30" s="1964"/>
      <c r="L30" s="1964"/>
    </row>
    <row r="31" spans="2:12" x14ac:dyDescent="0.25">
      <c r="B31" s="1968" t="s">
        <v>2128</v>
      </c>
      <c r="C31" s="1964"/>
      <c r="D31" s="1972">
        <v>2059</v>
      </c>
      <c r="E31" s="1972"/>
      <c r="F31" s="1972">
        <v>5583</v>
      </c>
      <c r="G31" s="1972"/>
      <c r="H31" s="1972">
        <v>-5248</v>
      </c>
      <c r="I31" s="1972"/>
      <c r="J31" s="1972">
        <f t="shared" si="0"/>
        <v>2394</v>
      </c>
      <c r="K31" s="1964"/>
      <c r="L31" s="1964"/>
    </row>
    <row r="32" spans="2:12" hidden="1" x14ac:dyDescent="0.25">
      <c r="B32" s="1968" t="s">
        <v>2129</v>
      </c>
      <c r="C32" s="1964"/>
      <c r="D32" s="1972">
        <v>0</v>
      </c>
      <c r="E32" s="1972"/>
      <c r="F32" s="1972"/>
      <c r="G32" s="1972"/>
      <c r="H32" s="1972"/>
      <c r="I32" s="1972"/>
      <c r="J32" s="1972">
        <f t="shared" si="0"/>
        <v>0</v>
      </c>
      <c r="K32" s="1964"/>
      <c r="L32" s="1964"/>
    </row>
    <row r="33" spans="2:12" x14ac:dyDescent="0.25">
      <c r="B33" s="1968" t="s">
        <v>2130</v>
      </c>
      <c r="C33" s="1964"/>
      <c r="D33" s="1972">
        <v>364</v>
      </c>
      <c r="E33" s="1972"/>
      <c r="F33" s="1972">
        <v>0</v>
      </c>
      <c r="G33" s="1972"/>
      <c r="H33" s="1972">
        <v>0</v>
      </c>
      <c r="I33" s="1972"/>
      <c r="J33" s="1972">
        <f t="shared" si="0"/>
        <v>364</v>
      </c>
      <c r="K33" s="1964"/>
      <c r="L33" s="1964"/>
    </row>
    <row r="34" spans="2:12" x14ac:dyDescent="0.25">
      <c r="B34" s="1968" t="s">
        <v>2131</v>
      </c>
      <c r="C34" s="1964"/>
      <c r="D34" s="1972">
        <v>556</v>
      </c>
      <c r="E34" s="1972"/>
      <c r="F34" s="1972">
        <v>0</v>
      </c>
      <c r="G34" s="1972"/>
      <c r="H34" s="1972">
        <v>-92</v>
      </c>
      <c r="I34" s="1972"/>
      <c r="J34" s="1972">
        <f t="shared" si="0"/>
        <v>464</v>
      </c>
      <c r="K34" s="1964"/>
      <c r="L34" s="1964"/>
    </row>
    <row r="35" spans="2:12" hidden="1" x14ac:dyDescent="0.25">
      <c r="B35" s="1968" t="s">
        <v>2132</v>
      </c>
      <c r="C35" s="1964"/>
      <c r="D35" s="1972">
        <v>0</v>
      </c>
      <c r="E35" s="1972"/>
      <c r="F35" s="1972"/>
      <c r="G35" s="1972"/>
      <c r="H35" s="1972"/>
      <c r="I35" s="1972"/>
      <c r="J35" s="1972">
        <f t="shared" si="0"/>
        <v>0</v>
      </c>
      <c r="K35" s="1964"/>
      <c r="L35" s="1964"/>
    </row>
    <row r="36" spans="2:12" x14ac:dyDescent="0.25">
      <c r="B36" s="1968" t="s">
        <v>2133</v>
      </c>
      <c r="C36" s="1964"/>
      <c r="D36" s="1972">
        <v>111</v>
      </c>
      <c r="E36" s="1972"/>
      <c r="F36" s="1972">
        <v>0</v>
      </c>
      <c r="G36" s="1972"/>
      <c r="H36" s="1972">
        <v>0</v>
      </c>
      <c r="I36" s="1972"/>
      <c r="J36" s="1972">
        <f t="shared" si="0"/>
        <v>111</v>
      </c>
      <c r="K36" s="1964"/>
      <c r="L36" s="1964"/>
    </row>
    <row r="37" spans="2:12" x14ac:dyDescent="0.25">
      <c r="B37" s="1968" t="s">
        <v>2134</v>
      </c>
      <c r="C37" s="1964"/>
      <c r="D37" s="1972">
        <v>1996</v>
      </c>
      <c r="E37" s="1972"/>
      <c r="F37" s="1972">
        <v>0</v>
      </c>
      <c r="G37" s="1972"/>
      <c r="H37" s="1972">
        <v>0</v>
      </c>
      <c r="I37" s="1972"/>
      <c r="J37" s="1972">
        <f t="shared" si="0"/>
        <v>1996</v>
      </c>
      <c r="K37" s="1964"/>
      <c r="L37" s="1964"/>
    </row>
    <row r="38" spans="2:12" x14ac:dyDescent="0.25">
      <c r="B38" s="1968" t="s">
        <v>2135</v>
      </c>
      <c r="C38" s="1964"/>
      <c r="D38" s="1972">
        <v>234</v>
      </c>
      <c r="E38" s="1972"/>
      <c r="F38" s="1972">
        <v>4968</v>
      </c>
      <c r="G38" s="1972"/>
      <c r="H38" s="1972">
        <v>-5170</v>
      </c>
      <c r="I38" s="1972"/>
      <c r="J38" s="1972">
        <f t="shared" si="0"/>
        <v>32</v>
      </c>
      <c r="K38" s="1964"/>
      <c r="L38" s="1964"/>
    </row>
    <row r="39" spans="2:12" x14ac:dyDescent="0.25">
      <c r="B39" s="1968" t="s">
        <v>2136</v>
      </c>
      <c r="C39" s="1964"/>
      <c r="D39" s="1972">
        <v>313</v>
      </c>
      <c r="E39" s="1972"/>
      <c r="F39" s="1972">
        <v>206</v>
      </c>
      <c r="G39" s="1972"/>
      <c r="H39" s="1972">
        <v>0</v>
      </c>
      <c r="I39" s="1972"/>
      <c r="J39" s="1972">
        <f t="shared" si="0"/>
        <v>519</v>
      </c>
      <c r="K39" s="1964"/>
      <c r="L39" s="1964"/>
    </row>
    <row r="40" spans="2:12" x14ac:dyDescent="0.25">
      <c r="B40" s="1968" t="s">
        <v>2137</v>
      </c>
      <c r="C40" s="1964"/>
      <c r="D40" s="1972">
        <v>1645</v>
      </c>
      <c r="E40" s="1972"/>
      <c r="F40" s="1972">
        <v>0</v>
      </c>
      <c r="G40" s="1972"/>
      <c r="H40" s="1972">
        <v>-1645</v>
      </c>
      <c r="I40" s="1972"/>
      <c r="J40" s="1972">
        <f t="shared" si="0"/>
        <v>0</v>
      </c>
      <c r="K40" s="1964"/>
      <c r="L40" s="1964"/>
    </row>
    <row r="41" spans="2:12" x14ac:dyDescent="0.25">
      <c r="B41" s="1968" t="s">
        <v>2138</v>
      </c>
      <c r="C41" s="1964"/>
      <c r="D41" s="1972">
        <v>3087</v>
      </c>
      <c r="E41" s="1972"/>
      <c r="F41" s="1972">
        <v>695</v>
      </c>
      <c r="G41" s="1972"/>
      <c r="H41" s="1972">
        <v>-917</v>
      </c>
      <c r="I41" s="1972"/>
      <c r="J41" s="1972">
        <f t="shared" si="0"/>
        <v>2865</v>
      </c>
      <c r="K41" s="1964"/>
      <c r="L41" s="1964"/>
    </row>
    <row r="42" spans="2:12" x14ac:dyDescent="0.25">
      <c r="B42" s="1968" t="s">
        <v>2139</v>
      </c>
      <c r="C42" s="1964"/>
      <c r="D42" s="1972">
        <v>2703</v>
      </c>
      <c r="E42" s="1972"/>
      <c r="F42" s="1972">
        <v>0</v>
      </c>
      <c r="G42" s="1972"/>
      <c r="H42" s="1972">
        <v>0</v>
      </c>
      <c r="I42" s="1972"/>
      <c r="J42" s="1972">
        <f t="shared" si="0"/>
        <v>2703</v>
      </c>
      <c r="K42" s="1964"/>
      <c r="L42" s="1964"/>
    </row>
    <row r="43" spans="2:12" x14ac:dyDescent="0.25">
      <c r="B43" s="1968" t="s">
        <v>2140</v>
      </c>
      <c r="C43" s="1964"/>
      <c r="D43" s="1972">
        <v>2059</v>
      </c>
      <c r="E43" s="1972"/>
      <c r="F43" s="1972">
        <v>0</v>
      </c>
      <c r="G43" s="1972"/>
      <c r="H43" s="1972">
        <v>0</v>
      </c>
      <c r="I43" s="1972"/>
      <c r="J43" s="1972">
        <f t="shared" si="0"/>
        <v>2059</v>
      </c>
      <c r="K43" s="1964"/>
      <c r="L43" s="1964"/>
    </row>
    <row r="44" spans="2:12" x14ac:dyDescent="0.25">
      <c r="B44" s="1968" t="s">
        <v>2141</v>
      </c>
      <c r="C44" s="1964"/>
      <c r="D44" s="1972">
        <v>800</v>
      </c>
      <c r="E44" s="1972"/>
      <c r="F44" s="1972">
        <v>100</v>
      </c>
      <c r="G44" s="1972"/>
      <c r="H44" s="1972">
        <v>0</v>
      </c>
      <c r="I44" s="1972"/>
      <c r="J44" s="1972">
        <f t="shared" si="0"/>
        <v>900</v>
      </c>
      <c r="K44" s="1964"/>
      <c r="L44" s="1964"/>
    </row>
    <row r="45" spans="2:12" x14ac:dyDescent="0.25">
      <c r="B45" s="1968" t="s">
        <v>2142</v>
      </c>
      <c r="C45" s="1964"/>
      <c r="D45" s="1972">
        <v>523</v>
      </c>
      <c r="E45" s="1972"/>
      <c r="F45" s="1972">
        <v>0</v>
      </c>
      <c r="G45" s="1972"/>
      <c r="H45" s="1972">
        <v>0</v>
      </c>
      <c r="I45" s="1972"/>
      <c r="J45" s="1972">
        <f t="shared" si="0"/>
        <v>523</v>
      </c>
      <c r="K45" s="1964"/>
      <c r="L45" s="1964"/>
    </row>
    <row r="46" spans="2:12" x14ac:dyDescent="0.25">
      <c r="B46" s="1968" t="s">
        <v>2143</v>
      </c>
      <c r="C46" s="1964"/>
      <c r="D46" s="1972">
        <v>10223</v>
      </c>
      <c r="E46" s="1972"/>
      <c r="F46" s="1972">
        <v>2989</v>
      </c>
      <c r="G46" s="1972"/>
      <c r="H46" s="1972">
        <v>-12542</v>
      </c>
      <c r="I46" s="1972"/>
      <c r="J46" s="1972">
        <f t="shared" si="0"/>
        <v>670</v>
      </c>
      <c r="K46" s="1964"/>
      <c r="L46" s="1964"/>
    </row>
    <row r="47" spans="2:12" x14ac:dyDescent="0.25">
      <c r="B47" s="1968" t="s">
        <v>2144</v>
      </c>
      <c r="C47" s="1964"/>
      <c r="D47" s="1972">
        <v>5692</v>
      </c>
      <c r="E47" s="1972"/>
      <c r="F47" s="1972">
        <v>14388</v>
      </c>
      <c r="G47" s="1972"/>
      <c r="H47" s="1972">
        <v>-7529</v>
      </c>
      <c r="I47" s="1972"/>
      <c r="J47" s="1972">
        <f t="shared" si="0"/>
        <v>12551</v>
      </c>
      <c r="K47" s="1964"/>
      <c r="L47" s="1964"/>
    </row>
    <row r="48" spans="2:12" x14ac:dyDescent="0.25">
      <c r="B48" s="1968" t="s">
        <v>2145</v>
      </c>
      <c r="C48" s="1964"/>
      <c r="D48" s="1972">
        <v>1743</v>
      </c>
      <c r="E48" s="1972"/>
      <c r="F48" s="1972">
        <v>370</v>
      </c>
      <c r="G48" s="1972"/>
      <c r="H48" s="1972">
        <v>-150</v>
      </c>
      <c r="I48" s="1972"/>
      <c r="J48" s="1972">
        <f t="shared" si="0"/>
        <v>1963</v>
      </c>
      <c r="K48" s="1964"/>
      <c r="L48" s="1964"/>
    </row>
    <row r="49" spans="1:12" x14ac:dyDescent="0.25">
      <c r="B49" s="1968" t="s">
        <v>2146</v>
      </c>
      <c r="C49" s="1964"/>
      <c r="D49" s="1972">
        <v>3058</v>
      </c>
      <c r="E49" s="1972"/>
      <c r="F49" s="1972">
        <v>1543</v>
      </c>
      <c r="G49" s="1972"/>
      <c r="H49" s="1972">
        <v>-230</v>
      </c>
      <c r="I49" s="1972"/>
      <c r="J49" s="1972">
        <f t="shared" si="0"/>
        <v>4371</v>
      </c>
      <c r="K49" s="1964"/>
      <c r="L49" s="1964"/>
    </row>
    <row r="50" spans="1:12" x14ac:dyDescent="0.25">
      <c r="B50" s="1968" t="s">
        <v>2160</v>
      </c>
      <c r="C50" s="1964"/>
      <c r="D50" s="1972">
        <v>0</v>
      </c>
      <c r="E50" s="1972"/>
      <c r="F50" s="1972">
        <v>1672</v>
      </c>
      <c r="G50" s="1972"/>
      <c r="H50" s="1972">
        <v>-515</v>
      </c>
      <c r="I50" s="1972"/>
      <c r="J50" s="1972">
        <f t="shared" si="0"/>
        <v>1157</v>
      </c>
      <c r="K50" s="1964"/>
      <c r="L50" s="1964"/>
    </row>
    <row r="51" spans="1:12" x14ac:dyDescent="0.25">
      <c r="B51" s="1968" t="s">
        <v>2147</v>
      </c>
      <c r="C51" s="1964"/>
      <c r="D51" s="1972">
        <v>197</v>
      </c>
      <c r="E51" s="1972"/>
      <c r="F51" s="1972">
        <v>0</v>
      </c>
      <c r="G51" s="1972"/>
      <c r="H51" s="1972">
        <v>0</v>
      </c>
      <c r="I51" s="1972"/>
      <c r="J51" s="1972">
        <f t="shared" si="0"/>
        <v>197</v>
      </c>
      <c r="K51" s="1964"/>
      <c r="L51" s="1964"/>
    </row>
    <row r="52" spans="1:12" x14ac:dyDescent="0.25">
      <c r="B52" s="1968" t="s">
        <v>2148</v>
      </c>
      <c r="C52" s="1964"/>
      <c r="D52" s="1972">
        <v>2940</v>
      </c>
      <c r="E52" s="1972"/>
      <c r="F52" s="1972">
        <v>2521</v>
      </c>
      <c r="G52" s="1972"/>
      <c r="H52" s="1972">
        <v>-1500</v>
      </c>
      <c r="I52" s="1972"/>
      <c r="J52" s="1972">
        <f t="shared" si="0"/>
        <v>3961</v>
      </c>
      <c r="K52" s="1964"/>
      <c r="L52" s="1964"/>
    </row>
    <row r="53" spans="1:12" x14ac:dyDescent="0.25">
      <c r="B53" s="1968" t="s">
        <v>2149</v>
      </c>
      <c r="C53" s="1964"/>
      <c r="D53" s="1972">
        <v>223</v>
      </c>
      <c r="E53" s="1972"/>
      <c r="F53" s="1972">
        <v>0</v>
      </c>
      <c r="G53" s="1972"/>
      <c r="H53" s="1972">
        <v>0</v>
      </c>
      <c r="I53" s="1972"/>
      <c r="J53" s="1972">
        <f t="shared" si="0"/>
        <v>223</v>
      </c>
      <c r="K53" s="1964"/>
      <c r="L53" s="1964"/>
    </row>
    <row r="54" spans="1:12" x14ac:dyDescent="0.25">
      <c r="B54" s="1968" t="s">
        <v>2150</v>
      </c>
      <c r="C54" s="1964"/>
      <c r="D54" s="1972">
        <v>1802</v>
      </c>
      <c r="E54" s="1972"/>
      <c r="F54" s="1972">
        <v>604</v>
      </c>
      <c r="G54" s="1972"/>
      <c r="H54" s="1972">
        <v>-424</v>
      </c>
      <c r="I54" s="1972"/>
      <c r="J54" s="1972">
        <f t="shared" si="0"/>
        <v>1982</v>
      </c>
      <c r="K54" s="1964"/>
      <c r="L54" s="1964"/>
    </row>
    <row r="55" spans="1:12" x14ac:dyDescent="0.25">
      <c r="B55" s="1968" t="s">
        <v>2151</v>
      </c>
      <c r="C55" s="1964"/>
      <c r="D55" s="1972">
        <v>482</v>
      </c>
      <c r="E55" s="1972"/>
      <c r="F55" s="1972">
        <v>0</v>
      </c>
      <c r="G55" s="1972"/>
      <c r="H55" s="1972">
        <v>0</v>
      </c>
      <c r="I55" s="1972"/>
      <c r="J55" s="1972">
        <f t="shared" si="0"/>
        <v>482</v>
      </c>
      <c r="K55" s="1964"/>
      <c r="L55" s="1964"/>
    </row>
    <row r="56" spans="1:12" x14ac:dyDescent="0.25">
      <c r="B56" s="1968" t="s">
        <v>2152</v>
      </c>
      <c r="C56" s="1964"/>
      <c r="D56" s="1972">
        <v>2296</v>
      </c>
      <c r="E56" s="1972"/>
      <c r="F56" s="1972">
        <v>0</v>
      </c>
      <c r="G56" s="1972"/>
      <c r="H56" s="1972">
        <v>-1606</v>
      </c>
      <c r="I56" s="1972"/>
      <c r="J56" s="1972">
        <f t="shared" si="0"/>
        <v>690</v>
      </c>
      <c r="K56" s="1964"/>
      <c r="L56" s="1964"/>
    </row>
    <row r="57" spans="1:12" x14ac:dyDescent="0.25">
      <c r="B57" s="1968" t="s">
        <v>2153</v>
      </c>
      <c r="C57" s="1964"/>
      <c r="D57" s="1972">
        <v>226</v>
      </c>
      <c r="E57" s="1972"/>
      <c r="F57" s="1972">
        <v>0</v>
      </c>
      <c r="G57" s="1972"/>
      <c r="H57" s="1972">
        <v>0</v>
      </c>
      <c r="I57" s="1972"/>
      <c r="J57" s="1972">
        <f t="shared" si="0"/>
        <v>226</v>
      </c>
      <c r="K57" s="1964"/>
      <c r="L57" s="1964"/>
    </row>
    <row r="58" spans="1:12" x14ac:dyDescent="0.25">
      <c r="B58" s="1968" t="s">
        <v>2154</v>
      </c>
      <c r="C58" s="1964"/>
      <c r="D58" s="1972">
        <v>75</v>
      </c>
      <c r="E58" s="1972"/>
      <c r="F58" s="1972">
        <v>0</v>
      </c>
      <c r="G58" s="1972"/>
      <c r="H58" s="1972">
        <v>0</v>
      </c>
      <c r="I58" s="1972"/>
      <c r="J58" s="1972">
        <f t="shared" si="0"/>
        <v>75</v>
      </c>
      <c r="K58" s="1964"/>
      <c r="L58" s="1964"/>
    </row>
    <row r="59" spans="1:12" x14ac:dyDescent="0.25">
      <c r="B59" s="1968" t="s">
        <v>2155</v>
      </c>
      <c r="C59" s="1964"/>
      <c r="D59" s="1973">
        <v>298</v>
      </c>
      <c r="E59" s="1972"/>
      <c r="F59" s="1973">
        <v>65</v>
      </c>
      <c r="G59" s="1972"/>
      <c r="H59" s="1973">
        <v>0</v>
      </c>
      <c r="I59" s="1972"/>
      <c r="J59" s="1973">
        <f t="shared" si="0"/>
        <v>363</v>
      </c>
      <c r="K59" s="1964"/>
      <c r="L59" s="1964"/>
    </row>
    <row r="60" spans="1:12" x14ac:dyDescent="0.25">
      <c r="B60" s="1968"/>
      <c r="C60" s="1964"/>
      <c r="D60" s="1964"/>
      <c r="E60" s="1964"/>
      <c r="F60" s="1964"/>
      <c r="G60" s="1964"/>
      <c r="H60" s="1964"/>
      <c r="I60" s="1964"/>
      <c r="J60" s="1964"/>
      <c r="K60" s="1964"/>
      <c r="L60" s="1964"/>
    </row>
    <row r="61" spans="1:12" ht="15.75" thickBot="1" x14ac:dyDescent="0.3">
      <c r="A61" s="1968" t="s">
        <v>2156</v>
      </c>
      <c r="C61" s="1964"/>
      <c r="D61" s="1974">
        <f>SUM(D16:D60)</f>
        <v>63047</v>
      </c>
      <c r="E61" s="1964"/>
      <c r="F61" s="1974">
        <f>SUM(F16:F60)</f>
        <v>59071</v>
      </c>
      <c r="G61" s="1964"/>
      <c r="H61" s="1974">
        <f>SUM(H16:H60)</f>
        <v>-62755</v>
      </c>
      <c r="I61" s="1964"/>
      <c r="J61" s="1974">
        <f>SUM(J16:J60)</f>
        <v>59363</v>
      </c>
      <c r="K61" s="1964"/>
      <c r="L61" s="1964"/>
    </row>
    <row r="62" spans="1:12" ht="15.75" thickTop="1" x14ac:dyDescent="0.25">
      <c r="B62" s="1968"/>
      <c r="C62" s="1964"/>
      <c r="D62" s="1964"/>
      <c r="E62" s="1964"/>
      <c r="F62" s="1964"/>
      <c r="G62" s="1964"/>
      <c r="H62" s="1964"/>
      <c r="I62" s="1964"/>
      <c r="J62" s="1964"/>
      <c r="K62" s="1964"/>
      <c r="L62" s="1964"/>
    </row>
    <row r="63" spans="1:12" x14ac:dyDescent="0.25">
      <c r="B63" s="1964"/>
      <c r="C63" s="1964"/>
      <c r="D63" s="1964"/>
      <c r="E63" s="1964"/>
      <c r="F63" s="1964"/>
      <c r="G63" s="1964"/>
      <c r="H63" s="1964"/>
      <c r="I63" s="1964"/>
      <c r="J63" s="1964"/>
      <c r="K63" s="1964"/>
      <c r="L63" s="1964"/>
    </row>
    <row r="64" spans="1:12" x14ac:dyDescent="0.25">
      <c r="B64" s="1964"/>
      <c r="C64" s="1964"/>
      <c r="D64" s="1964"/>
      <c r="E64" s="1964"/>
      <c r="F64" s="1964"/>
      <c r="G64" s="1964"/>
      <c r="H64" s="1964"/>
      <c r="I64" s="1964"/>
      <c r="J64" s="1964"/>
      <c r="K64" s="1964"/>
      <c r="L64" s="1964"/>
    </row>
    <row r="65" spans="2:12" x14ac:dyDescent="0.25">
      <c r="B65" s="1964"/>
      <c r="C65" s="1964"/>
      <c r="D65" s="1964"/>
      <c r="E65" s="1964"/>
      <c r="F65" s="1964"/>
      <c r="G65" s="1964"/>
      <c r="H65" s="1964"/>
      <c r="I65" s="1964"/>
      <c r="J65" s="1964"/>
      <c r="K65" s="1964"/>
      <c r="L65" s="1964"/>
    </row>
    <row r="66" spans="2:12" x14ac:dyDescent="0.25">
      <c r="B66" s="1964"/>
      <c r="C66" s="1964"/>
      <c r="D66" s="1964"/>
      <c r="E66" s="1964"/>
      <c r="F66" s="1964"/>
      <c r="G66" s="1964"/>
      <c r="H66" s="1964"/>
      <c r="I66" s="1964"/>
      <c r="J66" s="1964"/>
      <c r="K66" s="1964"/>
      <c r="L66" s="1964"/>
    </row>
    <row r="67" spans="2:12" x14ac:dyDescent="0.25">
      <c r="B67" s="1964"/>
      <c r="C67" s="1964"/>
      <c r="D67" s="1964"/>
      <c r="E67" s="1964"/>
      <c r="F67" s="1964"/>
      <c r="G67" s="1964"/>
      <c r="H67" s="1964"/>
      <c r="I67" s="1964"/>
      <c r="J67" s="1964"/>
      <c r="K67" s="1964"/>
      <c r="L67" s="1964"/>
    </row>
    <row r="68" spans="2:12" x14ac:dyDescent="0.25">
      <c r="B68" s="1964"/>
      <c r="C68" s="1964"/>
      <c r="D68" s="1964"/>
      <c r="E68" s="1964"/>
      <c r="F68" s="1964"/>
      <c r="G68" s="1964"/>
      <c r="H68" s="1964"/>
      <c r="I68" s="1964"/>
      <c r="J68" s="1964"/>
      <c r="K68" s="1964"/>
      <c r="L68" s="1964"/>
    </row>
    <row r="69" spans="2:12" x14ac:dyDescent="0.25">
      <c r="B69" s="1964"/>
      <c r="C69" s="1964"/>
      <c r="D69" s="1964"/>
      <c r="E69" s="1964"/>
      <c r="F69" s="1964"/>
      <c r="G69" s="1964"/>
      <c r="H69" s="1964"/>
      <c r="I69" s="1964"/>
      <c r="J69" s="1964"/>
      <c r="K69" s="1964"/>
      <c r="L69" s="1964"/>
    </row>
    <row r="70" spans="2:12" x14ac:dyDescent="0.25">
      <c r="D70" s="1960"/>
      <c r="E70" s="1960"/>
      <c r="F70" s="1960"/>
      <c r="G70" s="1960"/>
      <c r="H70" s="1960"/>
      <c r="I70" s="1960"/>
      <c r="J70" s="1960"/>
      <c r="K70" s="1960"/>
      <c r="L70" s="1960"/>
    </row>
    <row r="71" spans="2:12" x14ac:dyDescent="0.25">
      <c r="D71" s="1960"/>
      <c r="E71" s="1960"/>
      <c r="F71" s="1960"/>
      <c r="G71" s="1960"/>
      <c r="H71" s="1960"/>
      <c r="I71" s="1960"/>
      <c r="J71" s="1960"/>
      <c r="K71" s="1960"/>
      <c r="L71" s="1960"/>
    </row>
    <row r="72" spans="2:12" x14ac:dyDescent="0.25">
      <c r="D72" s="1960"/>
      <c r="E72" s="1960"/>
      <c r="F72" s="1960"/>
      <c r="G72" s="1960"/>
      <c r="H72" s="1960"/>
      <c r="I72" s="1960"/>
      <c r="J72" s="1960"/>
      <c r="K72" s="1960"/>
      <c r="L72" s="1960"/>
    </row>
    <row r="73" spans="2:12" x14ac:dyDescent="0.25">
      <c r="D73" s="1960"/>
      <c r="E73" s="1960"/>
      <c r="F73" s="1960"/>
      <c r="G73" s="1960"/>
      <c r="H73" s="1960"/>
      <c r="I73" s="1960"/>
      <c r="J73" s="1960"/>
      <c r="K73" s="1960"/>
      <c r="L73" s="1960"/>
    </row>
    <row r="74" spans="2:12" x14ac:dyDescent="0.25">
      <c r="D74" s="1960"/>
      <c r="E74" s="1960"/>
      <c r="F74" s="1960"/>
      <c r="G74" s="1960"/>
      <c r="H74" s="1960"/>
      <c r="I74" s="1960"/>
      <c r="J74" s="1960"/>
      <c r="K74" s="1960"/>
      <c r="L74" s="1960"/>
    </row>
    <row r="75" spans="2:12" x14ac:dyDescent="0.25">
      <c r="D75" s="1960"/>
      <c r="E75" s="1960"/>
      <c r="F75" s="1960"/>
      <c r="G75" s="1960"/>
      <c r="H75" s="1960"/>
      <c r="I75" s="1960"/>
      <c r="J75" s="1960"/>
      <c r="K75" s="1960"/>
      <c r="L75" s="1960"/>
    </row>
    <row r="76" spans="2:12" x14ac:dyDescent="0.25">
      <c r="D76" s="1960"/>
      <c r="E76" s="1960"/>
      <c r="F76" s="1960"/>
      <c r="G76" s="1960"/>
      <c r="H76" s="1960"/>
      <c r="I76" s="1960"/>
      <c r="J76" s="1960"/>
      <c r="K76" s="1960"/>
      <c r="L76" s="1960"/>
    </row>
  </sheetData>
  <mergeCells count="4">
    <mergeCell ref="B1:J1"/>
    <mergeCell ref="B2:J2"/>
    <mergeCell ref="B3:J3"/>
    <mergeCell ref="B4:J4"/>
  </mergeCells>
  <printOptions horizontalCentered="1"/>
  <pageMargins left="0.7" right="0.7" top="0.75" bottom="0.75" header="0.3" footer="0.3"/>
  <pageSetup scale="78" orientation="portrait" r:id="rId1"/>
  <headerFooter>
    <oddFooter>&amp;C&amp;"Times New Roman,Regular"&amp;11Reference should be made to accountant's report regarding this information.
56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G118" sqref="G1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45231745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2.7787900000000001E-2</v>
      </c>
      <c r="E10" s="356" t="s">
        <v>1062</v>
      </c>
      <c r="F10" s="355">
        <v>5.5300000000000002E-3</v>
      </c>
      <c r="G10" s="356" t="s">
        <v>1062</v>
      </c>
      <c r="H10" s="355">
        <v>1.7775E-3</v>
      </c>
      <c r="I10" s="356" t="s">
        <v>1063</v>
      </c>
      <c r="J10" s="1754">
        <f>ROUND(D10+F10+H10,5)</f>
        <v>3.5099999999999999E-2</v>
      </c>
      <c r="K10" s="222"/>
      <c r="L10" s="355">
        <v>4.3459999999999999E-4</v>
      </c>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2828481</v>
      </c>
      <c r="E16" s="356"/>
      <c r="F16" s="1755">
        <f>SUM('Acct Summary 7-8'!C17,'Acct Summary 7-8'!D17,'Acct Summary 7-8'!F17)</f>
        <v>2417640</v>
      </c>
      <c r="G16" s="356"/>
      <c r="H16" s="1755">
        <f>SUM(D16-F16)</f>
        <v>410841</v>
      </c>
      <c r="I16" s="222"/>
      <c r="J16" s="1755">
        <f>SUM('Acct Summary 7-8'!C81,'Acct Summary 7-8'!D81,'Acct Summary 7-8'!F81,'Acct Summary 7-8'!I81)</f>
        <v>3318421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6241980.8100000005</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5" right="0.5" top="1.25" bottom="0.5" header="0.5" footer="0.5"/>
  <pageSetup scale="85" firstPageNumber="3" orientation="portrait" useFirstPageNumber="1" r:id="rId1"/>
  <headerFooter alignWithMargins="0">
    <oddHeader>&amp;L&amp;8Page &amp;P&amp;C &amp;R&amp;8Page &amp;P</oddHeader>
    <oddFooter>&amp;L&amp;8
&amp;F&amp;CReference should be made to the accountant's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G118" sqref="G1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Edinburg CUSD 4</v>
      </c>
      <c r="E7" s="391"/>
      <c r="G7" s="252"/>
      <c r="H7" s="387"/>
      <c r="I7" s="387"/>
      <c r="J7" s="387"/>
      <c r="K7" s="387"/>
      <c r="L7" s="329"/>
      <c r="M7" s="329"/>
      <c r="N7" s="329"/>
      <c r="O7" s="329"/>
      <c r="P7" s="329"/>
    </row>
    <row r="8" spans="1:18" ht="12.75" x14ac:dyDescent="0.2">
      <c r="A8" s="329"/>
      <c r="B8" s="329"/>
      <c r="C8" s="389" t="s">
        <v>1187</v>
      </c>
      <c r="D8" s="392">
        <f>COVER!A13</f>
        <v>3011004026</v>
      </c>
      <c r="E8" s="393"/>
      <c r="G8" s="329"/>
      <c r="H8" s="329"/>
      <c r="I8" s="329"/>
      <c r="J8" s="329"/>
      <c r="K8" s="329"/>
      <c r="L8" s="329"/>
      <c r="M8" s="329"/>
      <c r="N8" s="329"/>
      <c r="O8" s="329"/>
      <c r="P8" s="329"/>
    </row>
    <row r="9" spans="1:18" ht="12.75" x14ac:dyDescent="0.2">
      <c r="A9" s="329"/>
      <c r="B9" s="329"/>
      <c r="C9" s="389" t="s">
        <v>737</v>
      </c>
      <c r="D9" s="394" t="str">
        <f>COVER!A15</f>
        <v>Christian and 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3318421</v>
      </c>
      <c r="I12" s="404"/>
      <c r="J12" s="404"/>
      <c r="K12" s="405">
        <f>TRUNC((H12/H13*100000),5)/100000</f>
        <v>1.1732166487</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2828481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2417640</v>
      </c>
      <c r="I17" s="404"/>
      <c r="J17" s="416"/>
      <c r="K17" s="405">
        <f>TRUNC((H17/H18*100000),5)/100000</f>
        <v>0.85474853809999995</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2828481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3318421</v>
      </c>
      <c r="I24" s="422"/>
      <c r="J24" s="422"/>
      <c r="K24" s="423">
        <f>TRUNC(((H24/H25*100000)/100000),2)</f>
        <v>494.13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6715.6666699999996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1349489.1120800001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325000</v>
      </c>
      <c r="I32" s="420"/>
      <c r="J32" s="420"/>
      <c r="K32" s="423">
        <f>TRUNC(100-((((H32/H33*100))*100)/100),2)</f>
        <v>94.79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6241980.8100000005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6" right="0.4" top="1.25" bottom="0.5" header="0.5" footer="0.5"/>
  <pageSetup scale="80" firstPageNumber="4" orientation="landscape" useFirstPageNumber="1" r:id="rId3"/>
  <headerFooter alignWithMargins="0">
    <oddHeader>&amp;L&amp;8Page &amp;P&amp;C &amp;R&amp;8Page &amp;P</oddHeader>
    <oddFooter>&amp;L&amp;8&amp;F&amp;CReference should be made to the accountant's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81"/>
      <c r="D3" s="1582"/>
      <c r="E3" s="1582"/>
      <c r="F3" s="1582"/>
      <c r="G3" s="1582"/>
      <c r="H3" s="1582"/>
      <c r="I3" s="1582"/>
      <c r="J3" s="1582"/>
      <c r="K3" s="1582"/>
      <c r="L3" s="1582"/>
      <c r="M3" s="1583"/>
      <c r="N3" s="1584"/>
    </row>
    <row r="4" spans="1:14" ht="13.5" customHeight="1" x14ac:dyDescent="0.2">
      <c r="A4" s="463" t="s">
        <v>1750</v>
      </c>
      <c r="B4" s="464"/>
      <c r="C4" s="465">
        <v>1092953</v>
      </c>
      <c r="D4" s="466">
        <v>5221</v>
      </c>
      <c r="E4" s="466">
        <v>6846</v>
      </c>
      <c r="F4" s="466">
        <v>131270</v>
      </c>
      <c r="G4" s="466">
        <v>63380</v>
      </c>
      <c r="H4" s="466">
        <v>311249</v>
      </c>
      <c r="I4" s="466">
        <v>102821</v>
      </c>
      <c r="J4" s="467">
        <v>117565</v>
      </c>
      <c r="K4" s="466">
        <v>68266</v>
      </c>
      <c r="L4" s="466">
        <v>59363</v>
      </c>
      <c r="M4" s="468"/>
      <c r="N4" s="469"/>
    </row>
    <row r="5" spans="1:14" x14ac:dyDescent="0.2">
      <c r="A5" s="463" t="s">
        <v>1049</v>
      </c>
      <c r="B5" s="470">
        <v>120</v>
      </c>
      <c r="C5" s="465">
        <v>1310703</v>
      </c>
      <c r="D5" s="466">
        <v>100994</v>
      </c>
      <c r="E5" s="466">
        <v>1911</v>
      </c>
      <c r="F5" s="466">
        <v>40255</v>
      </c>
      <c r="G5" s="466"/>
      <c r="H5" s="466"/>
      <c r="I5" s="466">
        <v>534204</v>
      </c>
      <c r="J5" s="467"/>
      <c r="K5" s="471">
        <v>54379</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2403656</v>
      </c>
      <c r="D13" s="1759">
        <f t="shared" ref="D13:L13" si="0">SUM(D4:D12)</f>
        <v>106215</v>
      </c>
      <c r="E13" s="1759">
        <f t="shared" si="0"/>
        <v>8757</v>
      </c>
      <c r="F13" s="1759">
        <f t="shared" si="0"/>
        <v>171525</v>
      </c>
      <c r="G13" s="1759">
        <f t="shared" si="0"/>
        <v>63380</v>
      </c>
      <c r="H13" s="1759">
        <f t="shared" si="0"/>
        <v>311249</v>
      </c>
      <c r="I13" s="1759">
        <f t="shared" si="0"/>
        <v>637025</v>
      </c>
      <c r="J13" s="1759">
        <f t="shared" si="0"/>
        <v>117565</v>
      </c>
      <c r="K13" s="1759">
        <f t="shared" si="0"/>
        <v>122645</v>
      </c>
      <c r="L13" s="1759">
        <f t="shared" si="0"/>
        <v>59363</v>
      </c>
      <c r="M13" s="468"/>
      <c r="N13" s="469"/>
    </row>
    <row r="14" spans="1:14" ht="18" customHeight="1" thickTop="1" x14ac:dyDescent="0.2">
      <c r="A14" s="2144" t="s">
        <v>149</v>
      </c>
      <c r="B14" s="214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61089</v>
      </c>
      <c r="N16" s="484"/>
    </row>
    <row r="17" spans="1:14" s="485" customFormat="1" ht="12.75" customHeight="1" x14ac:dyDescent="0.2">
      <c r="A17" s="482" t="s">
        <v>1470</v>
      </c>
      <c r="B17" s="483">
        <v>230</v>
      </c>
      <c r="C17" s="477"/>
      <c r="D17" s="477"/>
      <c r="E17" s="477"/>
      <c r="F17" s="477"/>
      <c r="G17" s="477"/>
      <c r="H17" s="477"/>
      <c r="I17" s="477"/>
      <c r="J17" s="477"/>
      <c r="K17" s="477"/>
      <c r="L17" s="477"/>
      <c r="M17" s="467">
        <v>2041809</v>
      </c>
      <c r="N17" s="484"/>
    </row>
    <row r="18" spans="1:14" s="485" customFormat="1" ht="12.75" customHeight="1" x14ac:dyDescent="0.2">
      <c r="A18" s="482" t="s">
        <v>1471</v>
      </c>
      <c r="B18" s="483">
        <v>240</v>
      </c>
      <c r="C18" s="477"/>
      <c r="D18" s="477"/>
      <c r="E18" s="477"/>
      <c r="F18" s="477"/>
      <c r="G18" s="477"/>
      <c r="H18" s="477"/>
      <c r="I18" s="477"/>
      <c r="J18" s="477"/>
      <c r="K18" s="477"/>
      <c r="L18" s="477"/>
      <c r="M18" s="467">
        <v>40338</v>
      </c>
      <c r="N18" s="484"/>
    </row>
    <row r="19" spans="1:14" s="485" customFormat="1" ht="12.75" customHeight="1" x14ac:dyDescent="0.2">
      <c r="A19" s="482" t="s">
        <v>1472</v>
      </c>
      <c r="B19" s="483">
        <v>250</v>
      </c>
      <c r="C19" s="477"/>
      <c r="D19" s="477"/>
      <c r="E19" s="477"/>
      <c r="F19" s="477"/>
      <c r="G19" s="477"/>
      <c r="H19" s="477"/>
      <c r="I19" s="477"/>
      <c r="J19" s="477"/>
      <c r="K19" s="477"/>
      <c r="L19" s="477"/>
      <c r="M19" s="467">
        <v>1384731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8757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316243</v>
      </c>
    </row>
    <row r="23" spans="1:14" ht="13.5" customHeight="1" thickBot="1" x14ac:dyDescent="0.25">
      <c r="A23" s="1758" t="s">
        <v>664</v>
      </c>
      <c r="B23" s="1763"/>
      <c r="C23" s="468"/>
      <c r="D23" s="468"/>
      <c r="E23" s="468"/>
      <c r="F23" s="468"/>
      <c r="G23" s="468"/>
      <c r="H23" s="468"/>
      <c r="I23" s="468"/>
      <c r="J23" s="468"/>
      <c r="K23" s="468"/>
      <c r="L23" s="468"/>
      <c r="M23" s="1710">
        <f>SUM(M15:M22)</f>
        <v>3527967</v>
      </c>
      <c r="N23" s="1710">
        <f>SUM(N21:N22)</f>
        <v>325000</v>
      </c>
    </row>
    <row r="24" spans="1:14" ht="18" customHeight="1" thickTop="1" x14ac:dyDescent="0.2">
      <c r="A24" s="2146" t="s">
        <v>619</v>
      </c>
      <c r="B24" s="214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59363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59363</v>
      </c>
      <c r="M34" s="468"/>
      <c r="N34" s="480"/>
    </row>
    <row r="35" spans="1:14" ht="18" customHeight="1" thickTop="1" x14ac:dyDescent="0.2">
      <c r="A35" s="2148" t="s">
        <v>550</v>
      </c>
      <c r="B35" s="214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325000</v>
      </c>
    </row>
    <row r="37" spans="1:14" ht="13.5" thickBot="1" x14ac:dyDescent="0.25">
      <c r="A37" s="1758" t="s">
        <v>674</v>
      </c>
      <c r="B37" s="1763"/>
      <c r="C37" s="477"/>
      <c r="D37" s="477"/>
      <c r="E37" s="477"/>
      <c r="F37" s="477"/>
      <c r="G37" s="477"/>
      <c r="H37" s="477"/>
      <c r="I37" s="477"/>
      <c r="J37" s="477"/>
      <c r="K37" s="477"/>
      <c r="L37" s="480"/>
      <c r="M37" s="468"/>
      <c r="N37" s="1710">
        <f>SUM(N36:N36)</f>
        <v>325000</v>
      </c>
    </row>
    <row r="38" spans="1:14" s="329" customFormat="1" ht="13.5" customHeight="1" thickTop="1" x14ac:dyDescent="0.2">
      <c r="A38" s="496" t="s">
        <v>440</v>
      </c>
      <c r="B38" s="483">
        <v>714</v>
      </c>
      <c r="C38" s="466"/>
      <c r="D38" s="466"/>
      <c r="E38" s="466"/>
      <c r="F38" s="466"/>
      <c r="G38" s="466"/>
      <c r="H38" s="466">
        <v>311249</v>
      </c>
      <c r="I38" s="466"/>
      <c r="J38" s="467"/>
      <c r="K38" s="466"/>
      <c r="L38" s="481"/>
      <c r="M38" s="497"/>
      <c r="N38" s="497"/>
    </row>
    <row r="39" spans="1:14" s="329" customFormat="1" ht="13.5" customHeight="1" x14ac:dyDescent="0.2">
      <c r="A39" s="496" t="s">
        <v>360</v>
      </c>
      <c r="B39" s="483">
        <v>730</v>
      </c>
      <c r="C39" s="466">
        <v>2403656</v>
      </c>
      <c r="D39" s="466">
        <v>106215</v>
      </c>
      <c r="E39" s="466">
        <v>8757</v>
      </c>
      <c r="F39" s="466">
        <v>171525</v>
      </c>
      <c r="G39" s="466">
        <v>63380</v>
      </c>
      <c r="H39" s="466"/>
      <c r="I39" s="466">
        <v>637025</v>
      </c>
      <c r="J39" s="467">
        <v>117565</v>
      </c>
      <c r="K39" s="466">
        <v>122645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3527967</v>
      </c>
      <c r="N40" s="497"/>
    </row>
    <row r="41" spans="1:14" ht="13.5" customHeight="1" thickBot="1" x14ac:dyDescent="0.25">
      <c r="A41" s="1758" t="s">
        <v>676</v>
      </c>
      <c r="B41" s="1728"/>
      <c r="C41" s="1710">
        <f>(SUM(C34,C37,C38,C39))</f>
        <v>2403656</v>
      </c>
      <c r="D41" s="1710">
        <f t="shared" ref="D41:L41" si="2">SUM(D34,D37,D38:D39)</f>
        <v>106215</v>
      </c>
      <c r="E41" s="1710">
        <f t="shared" si="2"/>
        <v>8757</v>
      </c>
      <c r="F41" s="1710">
        <f t="shared" si="2"/>
        <v>171525</v>
      </c>
      <c r="G41" s="1710">
        <f t="shared" si="2"/>
        <v>63380</v>
      </c>
      <c r="H41" s="1710">
        <f t="shared" si="2"/>
        <v>311249</v>
      </c>
      <c r="I41" s="1710">
        <f t="shared" si="2"/>
        <v>637025</v>
      </c>
      <c r="J41" s="1710">
        <f t="shared" si="2"/>
        <v>117565</v>
      </c>
      <c r="K41" s="1710">
        <f t="shared" si="2"/>
        <v>122645</v>
      </c>
      <c r="L41" s="1710">
        <f t="shared" si="2"/>
        <v>59363</v>
      </c>
      <c r="M41" s="1710">
        <f>SUM(M40)</f>
        <v>3527967</v>
      </c>
      <c r="N41" s="1710">
        <f>SUM(N37)</f>
        <v>325000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orizontalCentered="1" headings="1" gridLinesSet="0"/>
  <pageMargins left="0.5" right="0.5" top="1.25" bottom="0.5" header="0.75"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H38" sqref="H38"/>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0" t="s">
        <v>1237</v>
      </c>
      <c r="B3" s="2171"/>
      <c r="C3" s="1595"/>
      <c r="D3" s="1596"/>
      <c r="E3" s="1596"/>
      <c r="F3" s="1596"/>
      <c r="G3" s="1596"/>
      <c r="H3" s="1596"/>
      <c r="I3" s="1596"/>
      <c r="J3" s="1596"/>
      <c r="K3" s="1597"/>
      <c r="L3" s="506"/>
    </row>
    <row r="4" spans="1:13" ht="15.75" customHeight="1" x14ac:dyDescent="0.2">
      <c r="A4" s="1954" t="s">
        <v>1579</v>
      </c>
      <c r="B4" s="1955">
        <v>1000</v>
      </c>
      <c r="C4" s="1764">
        <f>'Revenues 9-14'!C109</f>
        <v>1430976</v>
      </c>
      <c r="D4" s="1764">
        <f>'Revenues 9-14'!D109</f>
        <v>256254</v>
      </c>
      <c r="E4" s="1764">
        <f>'Revenues 9-14'!E109</f>
        <v>60326</v>
      </c>
      <c r="F4" s="1764">
        <f>'Revenues 9-14'!F109</f>
        <v>72093</v>
      </c>
      <c r="G4" s="1764">
        <f>'Revenues 9-14'!G109</f>
        <v>70598</v>
      </c>
      <c r="H4" s="1764">
        <f>'Revenues 9-14'!H109</f>
        <v>119187</v>
      </c>
      <c r="I4" s="1764">
        <f>'Revenues 9-14'!I109</f>
        <v>22736</v>
      </c>
      <c r="J4" s="1764">
        <f>'Revenues 9-14'!J109</f>
        <v>28021</v>
      </c>
      <c r="K4" s="1764">
        <f>'Revenues 9-14'!K109</f>
        <v>24020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717669</v>
      </c>
      <c r="D6" s="1765">
        <f>'Revenues 9-14'!D173</f>
        <v>0</v>
      </c>
      <c r="E6" s="1765">
        <f>'Revenues 9-14'!E173</f>
        <v>0</v>
      </c>
      <c r="F6" s="1765">
        <f>'Revenues 9-14'!F173</f>
        <v>95142</v>
      </c>
      <c r="G6" s="1765">
        <f>'Revenues 9-14'!G173</f>
        <v>0</v>
      </c>
      <c r="H6" s="1765">
        <f>'Revenues 9-14'!H173</f>
        <v>0</v>
      </c>
      <c r="I6" s="1765">
        <f>'Revenues 9-14'!I173</f>
        <v>0</v>
      </c>
      <c r="J6" s="1765">
        <f>'Revenues 9-14'!J173</f>
        <v>15000</v>
      </c>
      <c r="K6" s="1765">
        <f>'Revenues 9-14'!K173</f>
        <v>0</v>
      </c>
      <c r="L6" s="347"/>
      <c r="M6" s="513"/>
    </row>
    <row r="7" spans="1:13" ht="15.75" customHeight="1" x14ac:dyDescent="0.2">
      <c r="A7" s="1598" t="s">
        <v>1582</v>
      </c>
      <c r="B7" s="1600">
        <v>4000</v>
      </c>
      <c r="C7" s="1765">
        <f>'Revenues 9-14'!C274</f>
        <v>233611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2382256</v>
      </c>
      <c r="D8" s="1710">
        <f t="shared" ref="D8:K8" si="0">SUM(D4:D7)</f>
        <v>256254</v>
      </c>
      <c r="E8" s="1710">
        <f t="shared" si="0"/>
        <v>60326</v>
      </c>
      <c r="F8" s="1710">
        <f t="shared" si="0"/>
        <v>167235</v>
      </c>
      <c r="G8" s="1710">
        <f t="shared" si="0"/>
        <v>70598</v>
      </c>
      <c r="H8" s="1710">
        <f t="shared" si="0"/>
        <v>119187</v>
      </c>
      <c r="I8" s="1710">
        <f t="shared" si="0"/>
        <v>22736</v>
      </c>
      <c r="J8" s="1710">
        <f t="shared" si="0"/>
        <v>43021</v>
      </c>
      <c r="K8" s="1710">
        <f t="shared" si="0"/>
        <v>24020</v>
      </c>
      <c r="L8" s="347"/>
    </row>
    <row r="9" spans="1:13" ht="15.75" thickTop="1" x14ac:dyDescent="0.2">
      <c r="A9" s="514" t="s">
        <v>1752</v>
      </c>
      <c r="B9" s="515">
        <v>3998</v>
      </c>
      <c r="C9" s="481">
        <v>717509</v>
      </c>
      <c r="D9" s="516"/>
      <c r="E9" s="481"/>
      <c r="F9" s="481"/>
      <c r="G9" s="517"/>
      <c r="H9" s="481"/>
      <c r="I9" s="509" t="s">
        <v>1231</v>
      </c>
      <c r="J9" s="478"/>
      <c r="K9" s="481"/>
      <c r="L9" s="347"/>
    </row>
    <row r="10" spans="1:13" s="519" customFormat="1" ht="13.5" thickBot="1" x14ac:dyDescent="0.25">
      <c r="A10" s="1758" t="s">
        <v>1235</v>
      </c>
      <c r="B10" s="1731"/>
      <c r="C10" s="1710">
        <f>SUM(C8:C9)</f>
        <v>3099765</v>
      </c>
      <c r="D10" s="1710">
        <f t="shared" ref="D10:K10" si="1">SUM(D8:D9)</f>
        <v>256254</v>
      </c>
      <c r="E10" s="1710">
        <f t="shared" si="1"/>
        <v>60326</v>
      </c>
      <c r="F10" s="1710">
        <f t="shared" si="1"/>
        <v>167235</v>
      </c>
      <c r="G10" s="1710">
        <f t="shared" si="1"/>
        <v>70598</v>
      </c>
      <c r="H10" s="1710">
        <f t="shared" si="1"/>
        <v>119187</v>
      </c>
      <c r="I10" s="1710">
        <f t="shared" si="1"/>
        <v>22736</v>
      </c>
      <c r="J10" s="1710">
        <f t="shared" si="1"/>
        <v>43021</v>
      </c>
      <c r="K10" s="1710">
        <f t="shared" si="1"/>
        <v>24020</v>
      </c>
      <c r="L10" s="518"/>
    </row>
    <row r="11" spans="1:13" s="519" customFormat="1" ht="16.7" customHeight="1" thickTop="1" x14ac:dyDescent="0.2">
      <c r="A11" s="2144" t="s">
        <v>1238</v>
      </c>
      <c r="B11" s="2145"/>
      <c r="C11" s="1592"/>
      <c r="D11" s="1593"/>
      <c r="E11" s="1593"/>
      <c r="F11" s="1593"/>
      <c r="G11" s="1593"/>
      <c r="H11" s="1593"/>
      <c r="I11" s="1593"/>
      <c r="J11" s="1593"/>
      <c r="K11" s="1594"/>
      <c r="L11" s="518"/>
    </row>
    <row r="12" spans="1:13" ht="15.75" customHeight="1" x14ac:dyDescent="0.2">
      <c r="A12" s="1598" t="s">
        <v>476</v>
      </c>
      <c r="B12" s="1600">
        <v>1000</v>
      </c>
      <c r="C12" s="1764">
        <f>'Expenditures 15-22'!K33</f>
        <v>1076094</v>
      </c>
      <c r="D12" s="520" t="s">
        <v>1231</v>
      </c>
      <c r="E12" s="468" t="s">
        <v>1231</v>
      </c>
      <c r="F12" s="468" t="s">
        <v>1231</v>
      </c>
      <c r="G12" s="1764">
        <f>'Expenditures 15-22'!K229</f>
        <v>13619</v>
      </c>
      <c r="H12" s="521"/>
      <c r="I12" s="468" t="s">
        <v>1231</v>
      </c>
      <c r="J12" s="468" t="s">
        <v>1231</v>
      </c>
      <c r="K12" s="521" t="s">
        <v>1231</v>
      </c>
      <c r="L12" s="347"/>
    </row>
    <row r="13" spans="1:13" ht="15.75" customHeight="1" x14ac:dyDescent="0.2">
      <c r="A13" s="1598" t="s">
        <v>477</v>
      </c>
      <c r="B13" s="1600">
        <v>2000</v>
      </c>
      <c r="C13" s="1765">
        <f>'Expenditures 15-22'!K74</f>
        <v>612736</v>
      </c>
      <c r="D13" s="1765">
        <f>'Expenditures 15-22'!K129</f>
        <v>262713</v>
      </c>
      <c r="E13" s="469" t="s">
        <v>1231</v>
      </c>
      <c r="F13" s="1765">
        <f>'Expenditures 15-22'!K184</f>
        <v>134980</v>
      </c>
      <c r="G13" s="1765">
        <f>'Expenditures 15-22'!K279</f>
        <v>48788</v>
      </c>
      <c r="H13" s="1765">
        <f>'Expenditures 15-22'!K303</f>
        <v>146191</v>
      </c>
      <c r="I13" s="468" t="s">
        <v>1231</v>
      </c>
      <c r="J13" s="1765">
        <f>'Expenditures 15-22'!K330</f>
        <v>35613</v>
      </c>
      <c r="K13" s="1769">
        <f>'Expenditures 15-22'!K352</f>
        <v>696</v>
      </c>
      <c r="L13" s="347"/>
    </row>
    <row r="14" spans="1:13" ht="15.75" customHeight="1" x14ac:dyDescent="0.2">
      <c r="A14" s="1598" t="s">
        <v>469</v>
      </c>
      <c r="B14" s="1600">
        <v>3000</v>
      </c>
      <c r="C14" s="1765">
        <f>'Expenditures 15-22'!K75</f>
        <v>15188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304596</v>
      </c>
      <c r="D15" s="1765">
        <f>'Expenditures 15-22'!K139</f>
        <v>11333</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60657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2008614</v>
      </c>
      <c r="D17" s="1710">
        <f t="shared" si="2"/>
        <v>274046</v>
      </c>
      <c r="E17" s="1710">
        <f t="shared" si="2"/>
        <v>60657</v>
      </c>
      <c r="F17" s="1710">
        <f t="shared" si="2"/>
        <v>134980</v>
      </c>
      <c r="G17" s="1710">
        <f t="shared" si="2"/>
        <v>62407</v>
      </c>
      <c r="H17" s="1710">
        <f t="shared" si="2"/>
        <v>146191</v>
      </c>
      <c r="I17" s="468"/>
      <c r="J17" s="1710">
        <f>SUM(J12:J16)</f>
        <v>35613</v>
      </c>
      <c r="K17" s="1710">
        <f>SUM(K12:K16)</f>
        <v>696</v>
      </c>
      <c r="L17" s="347"/>
    </row>
    <row r="18" spans="1:12" ht="15" customHeight="1" thickTop="1" x14ac:dyDescent="0.2">
      <c r="A18" s="1766" t="s">
        <v>1753</v>
      </c>
      <c r="B18" s="1767">
        <v>4180</v>
      </c>
      <c r="C18" s="1764">
        <f t="shared" ref="C18:H18" si="3">C9</f>
        <v>717509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2726123</v>
      </c>
      <c r="D19" s="1710">
        <f t="shared" si="4"/>
        <v>274046</v>
      </c>
      <c r="E19" s="1710">
        <f t="shared" si="4"/>
        <v>60657</v>
      </c>
      <c r="F19" s="1710">
        <f t="shared" si="4"/>
        <v>134980</v>
      </c>
      <c r="G19" s="1710">
        <f t="shared" si="4"/>
        <v>62407</v>
      </c>
      <c r="H19" s="1710">
        <f t="shared" si="4"/>
        <v>146191</v>
      </c>
      <c r="I19" s="468"/>
      <c r="J19" s="1710">
        <f>SUM(J17:J18)</f>
        <v>35613</v>
      </c>
      <c r="K19" s="1710">
        <f>SUM(K17:K18)</f>
        <v>696</v>
      </c>
      <c r="L19" s="347"/>
    </row>
    <row r="20" spans="1:12" ht="16.5" thickTop="1" thickBot="1" x14ac:dyDescent="0.25">
      <c r="A20" s="2160" t="s">
        <v>1754</v>
      </c>
      <c r="B20" s="2161"/>
      <c r="C20" s="1768">
        <f>C8-C17</f>
        <v>373642</v>
      </c>
      <c r="D20" s="1768">
        <f t="shared" ref="D20:K20" si="5">D8-D17</f>
        <v>-17792</v>
      </c>
      <c r="E20" s="1768">
        <f t="shared" si="5"/>
        <v>-331</v>
      </c>
      <c r="F20" s="1768">
        <f t="shared" si="5"/>
        <v>32255</v>
      </c>
      <c r="G20" s="1768">
        <f t="shared" si="5"/>
        <v>8191</v>
      </c>
      <c r="H20" s="1768">
        <f t="shared" si="5"/>
        <v>-27004</v>
      </c>
      <c r="I20" s="1768">
        <f t="shared" si="5"/>
        <v>22736</v>
      </c>
      <c r="J20" s="1768">
        <f t="shared" si="5"/>
        <v>7408</v>
      </c>
      <c r="K20" s="1768">
        <f t="shared" si="5"/>
        <v>23324</v>
      </c>
      <c r="L20" s="347"/>
    </row>
    <row r="21" spans="1:12" ht="16.7" customHeight="1" thickTop="1" x14ac:dyDescent="0.2">
      <c r="A21" s="2172" t="s">
        <v>616</v>
      </c>
      <c r="B21" s="2173"/>
      <c r="C21" s="1592"/>
      <c r="D21" s="1593"/>
      <c r="E21" s="1593"/>
      <c r="F21" s="1593"/>
      <c r="G21" s="1593"/>
      <c r="H21" s="1593"/>
      <c r="I21" s="1593"/>
      <c r="J21" s="1593"/>
      <c r="K21" s="1594"/>
      <c r="L21" s="524"/>
    </row>
    <row r="22" spans="1:12" ht="15.75" customHeight="1" collapsed="1" x14ac:dyDescent="0.2">
      <c r="A22" s="2168" t="s">
        <v>617</v>
      </c>
      <c r="B22" s="2169"/>
      <c r="C22" s="477"/>
      <c r="D22" s="477"/>
      <c r="E22" s="477"/>
      <c r="F22" s="477"/>
      <c r="G22" s="477"/>
      <c r="H22" s="477"/>
      <c r="I22" s="477"/>
      <c r="J22" s="477"/>
      <c r="K22" s="477"/>
      <c r="L22" s="347"/>
    </row>
    <row r="23" spans="1:12" s="485" customFormat="1" ht="15.75" customHeight="1" x14ac:dyDescent="0.2">
      <c r="A23" s="2164" t="s">
        <v>311</v>
      </c>
      <c r="B23" s="216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6" t="s">
        <v>1038</v>
      </c>
      <c r="B32" s="216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4" t="s">
        <v>392</v>
      </c>
      <c r="B44" s="217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8" t="s">
        <v>110</v>
      </c>
      <c r="B45" s="2169"/>
      <c r="C45" s="528"/>
      <c r="D45" s="528"/>
      <c r="E45" s="528"/>
      <c r="F45" s="528"/>
      <c r="G45" s="528"/>
      <c r="H45" s="528"/>
      <c r="I45" s="528"/>
      <c r="J45" s="528"/>
      <c r="K45" s="528"/>
      <c r="L45" s="347"/>
    </row>
    <row r="46" spans="1:12" s="485" customFormat="1" ht="15.75" customHeight="1" x14ac:dyDescent="0.2">
      <c r="A46" s="2176" t="s">
        <v>111</v>
      </c>
      <c r="B46" s="217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0" t="s">
        <v>460</v>
      </c>
      <c r="B76" s="2151"/>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52" t="s">
        <v>1239</v>
      </c>
      <c r="B77" s="2153"/>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6" t="s">
        <v>618</v>
      </c>
      <c r="B78" s="2157"/>
      <c r="C78" s="1724">
        <f t="shared" ref="C78:K78" si="9">C20+C77</f>
        <v>373642</v>
      </c>
      <c r="D78" s="1724">
        <f t="shared" si="9"/>
        <v>-17792</v>
      </c>
      <c r="E78" s="1724">
        <f t="shared" si="9"/>
        <v>-331</v>
      </c>
      <c r="F78" s="1724">
        <f t="shared" si="9"/>
        <v>32255</v>
      </c>
      <c r="G78" s="1724">
        <f t="shared" si="9"/>
        <v>8191</v>
      </c>
      <c r="H78" s="1724">
        <f t="shared" si="9"/>
        <v>-27004</v>
      </c>
      <c r="I78" s="1724">
        <f t="shared" si="9"/>
        <v>22736</v>
      </c>
      <c r="J78" s="1724">
        <f t="shared" si="9"/>
        <v>7408</v>
      </c>
      <c r="K78" s="1724">
        <f t="shared" si="9"/>
        <v>23324</v>
      </c>
      <c r="L78" s="533"/>
    </row>
    <row r="79" spans="1:12" ht="13.5" thickTop="1" x14ac:dyDescent="0.2">
      <c r="A79" s="1516" t="s">
        <v>2073</v>
      </c>
      <c r="B79" s="534"/>
      <c r="C79" s="478">
        <v>2030014</v>
      </c>
      <c r="D79" s="535">
        <v>124007</v>
      </c>
      <c r="E79" s="535">
        <v>9088</v>
      </c>
      <c r="F79" s="535">
        <v>139270</v>
      </c>
      <c r="G79" s="535">
        <v>55189</v>
      </c>
      <c r="H79" s="535">
        <v>338253</v>
      </c>
      <c r="I79" s="535">
        <v>614289</v>
      </c>
      <c r="J79" s="535">
        <v>110157</v>
      </c>
      <c r="K79" s="535">
        <v>99321</v>
      </c>
      <c r="L79" s="347"/>
    </row>
    <row r="80" spans="1:12" x14ac:dyDescent="0.2">
      <c r="A80" s="2162" t="s">
        <v>1898</v>
      </c>
      <c r="B80" s="2163"/>
      <c r="C80" s="467"/>
      <c r="D80" s="467"/>
      <c r="E80" s="467"/>
      <c r="F80" s="467"/>
      <c r="G80" s="467"/>
      <c r="H80" s="467"/>
      <c r="I80" s="467"/>
      <c r="J80" s="467"/>
      <c r="K80" s="467"/>
      <c r="L80" s="347"/>
    </row>
    <row r="81" spans="1:12" ht="13.5" thickBot="1" x14ac:dyDescent="0.25">
      <c r="A81" s="2154" t="s">
        <v>2074</v>
      </c>
      <c r="B81" s="2155"/>
      <c r="C81" s="1710">
        <f>(SUM(C78:C80))</f>
        <v>2403656</v>
      </c>
      <c r="D81" s="1710">
        <f>SUM(D78:D80)</f>
        <v>106215</v>
      </c>
      <c r="E81" s="1710">
        <f t="shared" ref="E81:K81" si="10">SUM(E78:E80)</f>
        <v>8757</v>
      </c>
      <c r="F81" s="1710">
        <f t="shared" si="10"/>
        <v>171525</v>
      </c>
      <c r="G81" s="1710">
        <f t="shared" si="10"/>
        <v>63380</v>
      </c>
      <c r="H81" s="1710">
        <f t="shared" si="10"/>
        <v>311249</v>
      </c>
      <c r="I81" s="1710">
        <f t="shared" si="10"/>
        <v>637025</v>
      </c>
      <c r="J81" s="1710">
        <f t="shared" si="10"/>
        <v>117565</v>
      </c>
      <c r="K81" s="1710">
        <f t="shared" si="10"/>
        <v>122645</v>
      </c>
      <c r="L81" s="347"/>
    </row>
    <row r="82" spans="1:12" ht="0.75" customHeight="1" thickTop="1" thickBot="1" x14ac:dyDescent="0.25">
      <c r="A82" s="536" t="s">
        <v>361</v>
      </c>
      <c r="B82" s="537"/>
      <c r="C82" s="538">
        <f>(C81-C79)</f>
        <v>373642</v>
      </c>
      <c r="D82" s="538">
        <f t="shared" ref="D82:K82" si="11">(D81-D79)</f>
        <v>-17792</v>
      </c>
      <c r="E82" s="538">
        <f t="shared" si="11"/>
        <v>-331</v>
      </c>
      <c r="F82" s="538">
        <f t="shared" si="11"/>
        <v>32255</v>
      </c>
      <c r="G82" s="538">
        <f t="shared" si="11"/>
        <v>8191</v>
      </c>
      <c r="H82" s="538">
        <f t="shared" si="11"/>
        <v>-27004</v>
      </c>
      <c r="I82" s="538">
        <f t="shared" si="11"/>
        <v>22736</v>
      </c>
      <c r="J82" s="538">
        <f t="shared" si="11"/>
        <v>7408</v>
      </c>
      <c r="K82" s="538">
        <f t="shared" si="11"/>
        <v>23324</v>
      </c>
    </row>
    <row r="83" spans="1:12" ht="14.25" hidden="1" thickTop="1" thickBot="1" x14ac:dyDescent="0.25">
      <c r="A83" s="539" t="s">
        <v>362</v>
      </c>
      <c r="B83" s="464"/>
      <c r="C83" s="540">
        <f>C82/C81</f>
        <v>0.15544736850863849</v>
      </c>
      <c r="D83" s="540">
        <f t="shared" ref="D83:K83" si="12">D82/D81</f>
        <v>-0.16750929718024762</v>
      </c>
      <c r="E83" s="540">
        <f t="shared" si="12"/>
        <v>-3.7798332762361539E-2</v>
      </c>
      <c r="F83" s="540">
        <f t="shared" si="12"/>
        <v>0.18804838944760238</v>
      </c>
      <c r="G83" s="540">
        <f t="shared" si="12"/>
        <v>0.12923635216156515</v>
      </c>
      <c r="H83" s="540">
        <f t="shared" si="12"/>
        <v>-8.6760118104797126E-2</v>
      </c>
      <c r="I83" s="540">
        <f t="shared" si="12"/>
        <v>3.5690906950276678E-2</v>
      </c>
      <c r="J83" s="540">
        <f t="shared" si="12"/>
        <v>6.3011950835707903E-2</v>
      </c>
      <c r="K83" s="540">
        <f t="shared" si="12"/>
        <v>0.1901748950222186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5" right="0.5" top="1.25" bottom="0.5" header="0.7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38" sqref="H38"/>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8" t="s">
        <v>1905</v>
      </c>
      <c r="B1" s="452"/>
      <c r="C1" s="453" t="s">
        <v>445</v>
      </c>
      <c r="D1" s="453" t="s">
        <v>446</v>
      </c>
      <c r="E1" s="453" t="s">
        <v>447</v>
      </c>
      <c r="F1" s="453" t="s">
        <v>448</v>
      </c>
      <c r="G1" s="453" t="s">
        <v>449</v>
      </c>
      <c r="H1" s="453" t="s">
        <v>450</v>
      </c>
      <c r="I1" s="453" t="s">
        <v>451</v>
      </c>
      <c r="J1" s="453" t="s">
        <v>452</v>
      </c>
      <c r="K1" s="453" t="s">
        <v>780</v>
      </c>
    </row>
    <row r="2" spans="1:12" ht="36" x14ac:dyDescent="0.2">
      <c r="A2" s="215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1210323</v>
      </c>
      <c r="D5" s="481">
        <v>255925</v>
      </c>
      <c r="E5" s="466">
        <v>60280</v>
      </c>
      <c r="F5" s="548">
        <v>65624</v>
      </c>
      <c r="G5" s="466">
        <v>322</v>
      </c>
      <c r="H5" s="466"/>
      <c r="I5" s="466">
        <v>19547</v>
      </c>
      <c r="J5" s="467">
        <v>26973</v>
      </c>
      <c r="K5" s="466">
        <v>23285</v>
      </c>
    </row>
    <row r="6" spans="1:12" ht="15" x14ac:dyDescent="0.2">
      <c r="A6" s="463" t="s">
        <v>1761</v>
      </c>
      <c r="B6" s="470">
        <v>1130</v>
      </c>
      <c r="C6" s="466">
        <v>35370</v>
      </c>
      <c r="D6" s="466"/>
      <c r="E6" s="475"/>
      <c r="F6" s="475"/>
      <c r="G6" s="468"/>
      <c r="H6" s="468"/>
      <c r="I6" s="468"/>
      <c r="J6" s="468"/>
      <c r="K6" s="468"/>
    </row>
    <row r="7" spans="1:12" x14ac:dyDescent="0.2">
      <c r="A7" s="463" t="s">
        <v>112</v>
      </c>
      <c r="B7" s="549">
        <v>1140</v>
      </c>
      <c r="C7" s="466">
        <v>13964</v>
      </c>
      <c r="D7" s="466"/>
      <c r="E7" s="468"/>
      <c r="F7" s="467"/>
      <c r="G7" s="467"/>
      <c r="H7" s="467"/>
      <c r="I7" s="468"/>
      <c r="J7" s="468"/>
      <c r="K7" s="468"/>
    </row>
    <row r="8" spans="1:12" x14ac:dyDescent="0.2">
      <c r="A8" s="463" t="s">
        <v>433</v>
      </c>
      <c r="B8" s="470">
        <v>1150</v>
      </c>
      <c r="C8" s="475"/>
      <c r="D8" s="475"/>
      <c r="E8" s="477"/>
      <c r="F8" s="477"/>
      <c r="G8" s="481">
        <v>64793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1259657</v>
      </c>
      <c r="D12" s="1729">
        <f t="shared" si="0"/>
        <v>255925</v>
      </c>
      <c r="E12" s="1729">
        <f t="shared" si="0"/>
        <v>60280</v>
      </c>
      <c r="F12" s="1729">
        <f t="shared" si="0"/>
        <v>65624</v>
      </c>
      <c r="G12" s="1729">
        <f t="shared" si="0"/>
        <v>65115</v>
      </c>
      <c r="H12" s="1729">
        <f t="shared" si="0"/>
        <v>0</v>
      </c>
      <c r="I12" s="1729">
        <f t="shared" si="0"/>
        <v>19547</v>
      </c>
      <c r="J12" s="1729">
        <f t="shared" si="0"/>
        <v>26973</v>
      </c>
      <c r="K12" s="1710">
        <f t="shared" si="0"/>
        <v>23285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80687</v>
      </c>
      <c r="D16" s="466"/>
      <c r="E16" s="466"/>
      <c r="F16" s="466"/>
      <c r="G16" s="466">
        <v>5372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80687</v>
      </c>
      <c r="D18" s="1732">
        <f t="shared" ref="D18:K18" si="1">SUM(D14:D17)</f>
        <v>0</v>
      </c>
      <c r="E18" s="1732">
        <f t="shared" si="1"/>
        <v>0</v>
      </c>
      <c r="F18" s="1732">
        <f t="shared" si="1"/>
        <v>0</v>
      </c>
      <c r="G18" s="1732">
        <f t="shared" si="1"/>
        <v>5372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4570</v>
      </c>
      <c r="D65" s="466">
        <v>318</v>
      </c>
      <c r="E65" s="466">
        <v>46</v>
      </c>
      <c r="F65" s="467">
        <v>254</v>
      </c>
      <c r="G65" s="466">
        <v>111</v>
      </c>
      <c r="H65" s="466">
        <v>554</v>
      </c>
      <c r="I65" s="466">
        <v>3189</v>
      </c>
      <c r="J65" s="467">
        <v>91</v>
      </c>
      <c r="K65" s="466">
        <v>735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4570</v>
      </c>
      <c r="D67" s="1710">
        <f t="shared" ref="D67:K67" si="2">SUM(D65:D66)</f>
        <v>318</v>
      </c>
      <c r="E67" s="1710">
        <f t="shared" si="2"/>
        <v>46</v>
      </c>
      <c r="F67" s="1710">
        <f t="shared" si="2"/>
        <v>254</v>
      </c>
      <c r="G67" s="1710">
        <f t="shared" si="2"/>
        <v>111</v>
      </c>
      <c r="H67" s="1710">
        <f t="shared" si="2"/>
        <v>554</v>
      </c>
      <c r="I67" s="1710">
        <f t="shared" si="2"/>
        <v>3189</v>
      </c>
      <c r="J67" s="1710">
        <f t="shared" si="2"/>
        <v>91</v>
      </c>
      <c r="K67" s="1710">
        <f t="shared" si="2"/>
        <v>735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28378</v>
      </c>
      <c r="D69" s="468"/>
      <c r="E69" s="468"/>
      <c r="F69" s="468"/>
      <c r="G69" s="468"/>
      <c r="H69" s="468"/>
      <c r="I69" s="468"/>
      <c r="J69" s="468"/>
      <c r="K69" s="468"/>
    </row>
    <row r="70" spans="1:11" ht="12.75" customHeight="1" x14ac:dyDescent="0.2">
      <c r="A70" s="463" t="s">
        <v>1054</v>
      </c>
      <c r="B70" s="470">
        <v>1612</v>
      </c>
      <c r="C70" s="551">
        <v>2</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71</v>
      </c>
      <c r="D72" s="468"/>
      <c r="E72" s="468"/>
      <c r="F72" s="468"/>
      <c r="G72" s="468"/>
      <c r="H72" s="468"/>
      <c r="I72" s="468"/>
      <c r="J72" s="468"/>
      <c r="K72" s="468"/>
    </row>
    <row r="73" spans="1:11" ht="12.75" customHeight="1" x14ac:dyDescent="0.2">
      <c r="A73" s="463" t="s">
        <v>1055</v>
      </c>
      <c r="B73" s="470">
        <v>1620</v>
      </c>
      <c r="C73" s="551">
        <v>4082</v>
      </c>
      <c r="D73" s="468"/>
      <c r="E73" s="468"/>
      <c r="F73" s="468"/>
      <c r="G73" s="468"/>
      <c r="H73" s="468"/>
      <c r="I73" s="468"/>
      <c r="J73" s="468"/>
      <c r="K73" s="468"/>
    </row>
    <row r="74" spans="1:11" ht="12.75" customHeight="1" x14ac:dyDescent="0.2">
      <c r="A74" s="463" t="s">
        <v>25</v>
      </c>
      <c r="B74" s="470">
        <v>1690</v>
      </c>
      <c r="C74" s="551">
        <v>70</v>
      </c>
      <c r="D74" s="468"/>
      <c r="E74" s="468"/>
      <c r="F74" s="468"/>
      <c r="G74" s="468"/>
      <c r="H74" s="468"/>
      <c r="I74" s="468"/>
      <c r="J74" s="468"/>
      <c r="K74" s="468"/>
    </row>
    <row r="75" spans="1:11" ht="12.75" customHeight="1" thickBot="1" x14ac:dyDescent="0.25">
      <c r="A75" s="1730" t="s">
        <v>569</v>
      </c>
      <c r="B75" s="1731"/>
      <c r="C75" s="1710">
        <f>SUM(C69:C74)</f>
        <v>32603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11274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5808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17082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10546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10546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15600</v>
      </c>
      <c r="D95" s="551"/>
      <c r="E95" s="521"/>
      <c r="F95" s="521"/>
      <c r="G95" s="521"/>
      <c r="H95" s="521"/>
      <c r="I95" s="521"/>
      <c r="J95" s="521"/>
      <c r="K95" s="521"/>
    </row>
    <row r="96" spans="1:11" ht="12.75" customHeight="1" x14ac:dyDescent="0.2">
      <c r="A96" s="463" t="s">
        <v>409</v>
      </c>
      <c r="B96" s="470">
        <v>1920</v>
      </c>
      <c r="C96" s="551">
        <v>1275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1947</v>
      </c>
      <c r="D99" s="466">
        <v>11</v>
      </c>
      <c r="E99" s="466"/>
      <c r="F99" s="466"/>
      <c r="G99" s="466"/>
      <c r="H99" s="466"/>
      <c r="I99" s="468"/>
      <c r="J99" s="467">
        <v>957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118633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750</v>
      </c>
      <c r="D106" s="489"/>
      <c r="E106" s="467"/>
      <c r="F106" s="467"/>
      <c r="G106" s="467"/>
      <c r="H106" s="467"/>
      <c r="I106" s="521"/>
      <c r="J106" s="467"/>
      <c r="K106" s="467"/>
    </row>
    <row r="107" spans="1:12" ht="12.75" customHeight="1" x14ac:dyDescent="0.2">
      <c r="A107" s="463" t="s">
        <v>80</v>
      </c>
      <c r="B107" s="470">
        <v>1999</v>
      </c>
      <c r="C107" s="551">
        <v>6259</v>
      </c>
      <c r="D107" s="466"/>
      <c r="E107" s="466"/>
      <c r="F107" s="466">
        <v>6215</v>
      </c>
      <c r="G107" s="466"/>
      <c r="H107" s="466"/>
      <c r="I107" s="466"/>
      <c r="J107" s="467"/>
      <c r="K107" s="466"/>
    </row>
    <row r="108" spans="1:12" ht="12.75" customHeight="1" thickBot="1" x14ac:dyDescent="0.25">
      <c r="A108" s="1730" t="s">
        <v>508</v>
      </c>
      <c r="B108" s="1734"/>
      <c r="C108" s="1729">
        <f>SUM(C95:C107)</f>
        <v>25831</v>
      </c>
      <c r="D108" s="1729">
        <f t="shared" ref="D108:K108" si="3">SUM(D95:D107)</f>
        <v>11</v>
      </c>
      <c r="E108" s="1729">
        <f t="shared" si="3"/>
        <v>0</v>
      </c>
      <c r="F108" s="1729">
        <f t="shared" si="3"/>
        <v>6215</v>
      </c>
      <c r="G108" s="1729">
        <f t="shared" si="3"/>
        <v>0</v>
      </c>
      <c r="H108" s="1729">
        <f t="shared" si="3"/>
        <v>118633</v>
      </c>
      <c r="I108" s="1729">
        <f t="shared" si="3"/>
        <v>0</v>
      </c>
      <c r="J108" s="1729">
        <f t="shared" si="3"/>
        <v>957</v>
      </c>
      <c r="K108" s="1710">
        <f t="shared" si="3"/>
        <v>0</v>
      </c>
    </row>
    <row r="109" spans="1:12" ht="14.25" thickTop="1" thickBot="1" x14ac:dyDescent="0.25">
      <c r="A109" s="1735" t="s">
        <v>266</v>
      </c>
      <c r="B109" s="1736" t="s">
        <v>591</v>
      </c>
      <c r="C109" s="1737">
        <f t="shared" ref="C109:K109" si="4">SUM(C12,C18,C40,C63,C67,C75,C82,C93,C108,)</f>
        <v>1430976</v>
      </c>
      <c r="D109" s="1737">
        <f t="shared" si="4"/>
        <v>256254</v>
      </c>
      <c r="E109" s="1737">
        <f t="shared" si="4"/>
        <v>60326</v>
      </c>
      <c r="F109" s="1737">
        <f t="shared" si="4"/>
        <v>72093</v>
      </c>
      <c r="G109" s="1737">
        <f t="shared" si="4"/>
        <v>70598</v>
      </c>
      <c r="H109" s="1737">
        <f t="shared" si="4"/>
        <v>119187</v>
      </c>
      <c r="I109" s="1737">
        <f t="shared" si="4"/>
        <v>22736</v>
      </c>
      <c r="J109" s="1737">
        <f t="shared" si="4"/>
        <v>28021</v>
      </c>
      <c r="K109" s="1724">
        <f t="shared" si="4"/>
        <v>24020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531289</v>
      </c>
      <c r="D117" s="481"/>
      <c r="E117" s="466"/>
      <c r="F117" s="481"/>
      <c r="G117" s="481"/>
      <c r="H117" s="466"/>
      <c r="I117" s="468"/>
      <c r="J117" s="467">
        <v>15000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531289</v>
      </c>
      <c r="D121" s="1729">
        <f t="shared" si="5"/>
        <v>0</v>
      </c>
      <c r="E121" s="1729">
        <f t="shared" si="5"/>
        <v>0</v>
      </c>
      <c r="F121" s="1729">
        <f t="shared" si="5"/>
        <v>0</v>
      </c>
      <c r="G121" s="1729">
        <f t="shared" si="5"/>
        <v>0</v>
      </c>
      <c r="H121" s="1729">
        <f t="shared" si="5"/>
        <v>0</v>
      </c>
      <c r="I121" s="468"/>
      <c r="J121" s="1729">
        <f>SUM(J117:J120)</f>
        <v>15000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11000</v>
      </c>
      <c r="D124" s="561"/>
      <c r="E124" s="468"/>
      <c r="F124" s="548"/>
      <c r="G124" s="468"/>
      <c r="H124" s="468"/>
      <c r="I124" s="468"/>
      <c r="J124" s="468"/>
      <c r="K124" s="468"/>
    </row>
    <row r="125" spans="1:11" ht="12.75" customHeight="1" x14ac:dyDescent="0.2">
      <c r="A125" s="463" t="s">
        <v>1521</v>
      </c>
      <c r="B125" s="562">
        <v>3105</v>
      </c>
      <c r="C125" s="466">
        <v>17808</v>
      </c>
      <c r="D125" s="561"/>
      <c r="E125" s="468"/>
      <c r="F125" s="466"/>
      <c r="G125" s="468"/>
      <c r="H125" s="468"/>
      <c r="I125" s="468"/>
      <c r="J125" s="468"/>
      <c r="K125" s="468"/>
    </row>
    <row r="126" spans="1:11" ht="12.75" customHeight="1" x14ac:dyDescent="0.2">
      <c r="A126" s="463" t="s">
        <v>922</v>
      </c>
      <c r="B126" s="562">
        <v>3110</v>
      </c>
      <c r="C126" s="551">
        <v>20792</v>
      </c>
      <c r="D126" s="466"/>
      <c r="E126" s="468"/>
      <c r="F126" s="466"/>
      <c r="G126" s="468"/>
      <c r="H126" s="468"/>
      <c r="I126" s="468"/>
      <c r="J126" s="468"/>
      <c r="K126" s="468"/>
    </row>
    <row r="127" spans="1:11" ht="12.75" customHeight="1" x14ac:dyDescent="0.2">
      <c r="A127" s="463" t="s">
        <v>107</v>
      </c>
      <c r="B127" s="562">
        <v>3120</v>
      </c>
      <c r="C127" s="466">
        <v>128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49728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154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785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939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965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4006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64128</v>
      </c>
      <c r="G151" s="467"/>
      <c r="H151" s="468"/>
      <c r="I151" s="468"/>
      <c r="J151" s="468"/>
      <c r="K151" s="468"/>
    </row>
    <row r="152" spans="1:11" ht="12.75" customHeight="1" x14ac:dyDescent="0.2">
      <c r="A152" s="463" t="s">
        <v>1117</v>
      </c>
      <c r="B152" s="562">
        <v>3510</v>
      </c>
      <c r="C152" s="551"/>
      <c r="D152" s="466"/>
      <c r="E152" s="561"/>
      <c r="F152" s="466">
        <v>31014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95142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129992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78" t="s">
        <v>418</v>
      </c>
      <c r="B172" s="2179"/>
      <c r="C172" s="1744">
        <f t="shared" ref="C172:K172" si="6">SUM(C131,C140,C144,C145:C149,C154,C155:C170,C171)</f>
        <v>186380</v>
      </c>
      <c r="D172" s="1744">
        <f t="shared" si="6"/>
        <v>0</v>
      </c>
      <c r="E172" s="1744">
        <f t="shared" si="6"/>
        <v>0</v>
      </c>
      <c r="F172" s="1744">
        <f t="shared" si="6"/>
        <v>95142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717669</v>
      </c>
      <c r="D173" s="1737">
        <f>SUM(D121,D172)</f>
        <v>0</v>
      </c>
      <c r="E173" s="1737">
        <f>SUM(E121,E172)</f>
        <v>0</v>
      </c>
      <c r="F173" s="1737">
        <f t="shared" ref="F173:K173" si="7">SUM(F121,F172)</f>
        <v>95142</v>
      </c>
      <c r="G173" s="1737">
        <f t="shared" si="7"/>
        <v>0</v>
      </c>
      <c r="H173" s="1737">
        <f t="shared" si="7"/>
        <v>0</v>
      </c>
      <c r="I173" s="1737">
        <f t="shared" si="7"/>
        <v>0</v>
      </c>
      <c r="J173" s="1737">
        <f t="shared" si="7"/>
        <v>15000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0" t="s">
        <v>1572</v>
      </c>
      <c r="B175" s="218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4" t="s">
        <v>1764</v>
      </c>
      <c r="B178" s="218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8" t="s">
        <v>1763</v>
      </c>
      <c r="B179" s="218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6" t="s">
        <v>818</v>
      </c>
      <c r="B184" s="218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2" t="s">
        <v>1906</v>
      </c>
      <c r="B185" s="218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56400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56400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55582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17774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73356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52672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52672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34120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34120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15567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1496</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233611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233611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2382256</v>
      </c>
      <c r="D275" s="1737">
        <f t="shared" si="12"/>
        <v>256254</v>
      </c>
      <c r="E275" s="1737">
        <f t="shared" si="12"/>
        <v>60326</v>
      </c>
      <c r="F275" s="1737">
        <f t="shared" si="12"/>
        <v>167235</v>
      </c>
      <c r="G275" s="1737">
        <f t="shared" si="12"/>
        <v>70598</v>
      </c>
      <c r="H275" s="1737">
        <f t="shared" si="12"/>
        <v>119187</v>
      </c>
      <c r="I275" s="1737">
        <f t="shared" si="12"/>
        <v>22736</v>
      </c>
      <c r="J275" s="1737">
        <f t="shared" si="12"/>
        <v>43021</v>
      </c>
      <c r="K275" s="1724">
        <f t="shared" si="12"/>
        <v>24020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orizontalCentered="1" headings="1" gridLines="1"/>
  <pageMargins left="0.5" right="0.5" top="1" bottom="0.5" header="0.75" footer="0.4"/>
  <pageSetup scale="65" firstPageNumber="9" orientation="landscape" useFirstPageNumber="1" r:id="rId1"/>
  <headerFooter alignWithMargins="0">
    <oddHeader>&amp;L&amp;8Page &amp;P&amp;C&amp;"Arial,Bold"&amp;9STATEMENT OF REVENUES RECEIVED/REVENUES
FOR THE YEAR ENDING JUNE 30, 2018&amp;R&amp;8Page &amp;P</oddHeader>
    <oddFooter>&amp;L&amp;8&amp;F&amp;CThe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H38" sqref="H38"/>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598963</v>
      </c>
      <c r="D5" s="466">
        <v>134444</v>
      </c>
      <c r="E5" s="466">
        <v>4804</v>
      </c>
      <c r="F5" s="466">
        <v>37810</v>
      </c>
      <c r="G5" s="466"/>
      <c r="H5" s="466"/>
      <c r="I5" s="467"/>
      <c r="J5" s="467"/>
      <c r="K5" s="1693">
        <f>SUM(C5:J5)</f>
        <v>776021</v>
      </c>
      <c r="L5" s="466">
        <v>918853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46421</v>
      </c>
      <c r="D7" s="467">
        <v>8233</v>
      </c>
      <c r="E7" s="467">
        <v>760</v>
      </c>
      <c r="F7" s="467">
        <v>7059</v>
      </c>
      <c r="G7" s="467"/>
      <c r="H7" s="467"/>
      <c r="I7" s="467"/>
      <c r="J7" s="467"/>
      <c r="K7" s="1693">
        <f t="shared" ref="K7:K32" si="0">SUM(C7:J7)</f>
        <v>62473</v>
      </c>
      <c r="L7" s="466">
        <v>61261</v>
      </c>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28945</v>
      </c>
      <c r="D10" s="466">
        <v>8439</v>
      </c>
      <c r="E10" s="466">
        <v>80</v>
      </c>
      <c r="F10" s="466">
        <v>674</v>
      </c>
      <c r="G10" s="466"/>
      <c r="H10" s="466"/>
      <c r="I10" s="467"/>
      <c r="J10" s="467"/>
      <c r="K10" s="1693">
        <f t="shared" si="0"/>
        <v>38138</v>
      </c>
      <c r="L10" s="466">
        <v>49272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64856</v>
      </c>
      <c r="D13" s="466">
        <v>14229</v>
      </c>
      <c r="E13" s="466">
        <v>226</v>
      </c>
      <c r="F13" s="466">
        <v>2409</v>
      </c>
      <c r="G13" s="466"/>
      <c r="H13" s="466"/>
      <c r="I13" s="467"/>
      <c r="J13" s="467"/>
      <c r="K13" s="1693">
        <f t="shared" si="0"/>
        <v>81720</v>
      </c>
      <c r="L13" s="466">
        <v>84100</v>
      </c>
    </row>
    <row r="14" spans="1:14" x14ac:dyDescent="0.2">
      <c r="A14" s="1526" t="s">
        <v>1020</v>
      </c>
      <c r="B14" s="615">
        <v>1500</v>
      </c>
      <c r="C14" s="466">
        <v>32131</v>
      </c>
      <c r="D14" s="466">
        <v>1885</v>
      </c>
      <c r="E14" s="466">
        <v>11348</v>
      </c>
      <c r="F14" s="466">
        <v>13415</v>
      </c>
      <c r="G14" s="466"/>
      <c r="H14" s="466">
        <v>6320</v>
      </c>
      <c r="I14" s="467"/>
      <c r="J14" s="467"/>
      <c r="K14" s="1693">
        <f t="shared" si="0"/>
        <v>65099</v>
      </c>
      <c r="L14" s="466">
        <v>63950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5040</v>
      </c>
      <c r="D17" s="467">
        <v>1285</v>
      </c>
      <c r="E17" s="467"/>
      <c r="F17" s="467"/>
      <c r="G17" s="467"/>
      <c r="H17" s="467"/>
      <c r="I17" s="467"/>
      <c r="J17" s="467"/>
      <c r="K17" s="1693">
        <f t="shared" si="0"/>
        <v>6325</v>
      </c>
      <c r="L17" s="466">
        <v>6550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46318</v>
      </c>
      <c r="I22" s="617"/>
      <c r="J22" s="477"/>
      <c r="K22" s="1693">
        <f t="shared" si="0"/>
        <v>46318</v>
      </c>
      <c r="L22" s="471">
        <v>20000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776356</v>
      </c>
      <c r="D33" s="1692">
        <f t="shared" ref="D33:L33" si="1">SUM(D5:D32)</f>
        <v>168515</v>
      </c>
      <c r="E33" s="1692">
        <f t="shared" si="1"/>
        <v>17218</v>
      </c>
      <c r="F33" s="1692">
        <f t="shared" si="1"/>
        <v>61367</v>
      </c>
      <c r="G33" s="1692">
        <f t="shared" si="1"/>
        <v>0</v>
      </c>
      <c r="H33" s="1692">
        <f t="shared" si="1"/>
        <v>52638</v>
      </c>
      <c r="I33" s="1692">
        <f t="shared" si="1"/>
        <v>0</v>
      </c>
      <c r="J33" s="1692">
        <f t="shared" si="1"/>
        <v>0</v>
      </c>
      <c r="K33" s="1692">
        <f t="shared" si="1"/>
        <v>1076094</v>
      </c>
      <c r="L33" s="1692">
        <f t="shared" si="1"/>
        <v>1203986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31649</v>
      </c>
      <c r="D37" s="466"/>
      <c r="E37" s="466"/>
      <c r="F37" s="466"/>
      <c r="G37" s="466"/>
      <c r="H37" s="466"/>
      <c r="I37" s="467"/>
      <c r="J37" s="467"/>
      <c r="K37" s="1693">
        <f t="shared" si="2"/>
        <v>31649</v>
      </c>
      <c r="L37" s="466">
        <v>32000</v>
      </c>
    </row>
    <row r="38" spans="1:14" x14ac:dyDescent="0.2">
      <c r="A38" s="1526" t="s">
        <v>207</v>
      </c>
      <c r="B38" s="615">
        <v>2130</v>
      </c>
      <c r="C38" s="466"/>
      <c r="D38" s="466"/>
      <c r="E38" s="466">
        <v>906</v>
      </c>
      <c r="F38" s="466">
        <v>126</v>
      </c>
      <c r="G38" s="466"/>
      <c r="H38" s="466"/>
      <c r="I38" s="467"/>
      <c r="J38" s="467"/>
      <c r="K38" s="1693">
        <f t="shared" si="2"/>
        <v>1032</v>
      </c>
      <c r="L38" s="466">
        <v>1200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31649</v>
      </c>
      <c r="D42" s="1692">
        <f t="shared" ref="D42:L42" si="3">SUM(D36:D41)</f>
        <v>0</v>
      </c>
      <c r="E42" s="1692">
        <f t="shared" si="3"/>
        <v>906</v>
      </c>
      <c r="F42" s="1692">
        <f t="shared" si="3"/>
        <v>126</v>
      </c>
      <c r="G42" s="1692">
        <f t="shared" si="3"/>
        <v>0</v>
      </c>
      <c r="H42" s="1692">
        <f t="shared" si="3"/>
        <v>0</v>
      </c>
      <c r="I42" s="1692">
        <f t="shared" si="3"/>
        <v>0</v>
      </c>
      <c r="J42" s="1692">
        <f t="shared" si="3"/>
        <v>0</v>
      </c>
      <c r="K42" s="1692">
        <f t="shared" si="3"/>
        <v>32681</v>
      </c>
      <c r="L42" s="1692">
        <f t="shared" si="3"/>
        <v>33200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1105</v>
      </c>
      <c r="D44" s="481"/>
      <c r="E44" s="481">
        <v>9555</v>
      </c>
      <c r="F44" s="481">
        <v>5</v>
      </c>
      <c r="G44" s="481"/>
      <c r="H44" s="481"/>
      <c r="I44" s="467"/>
      <c r="J44" s="467"/>
      <c r="K44" s="1694">
        <f>SUM(C44:J44)</f>
        <v>10665</v>
      </c>
      <c r="L44" s="481">
        <v>9075</v>
      </c>
    </row>
    <row r="45" spans="1:14" x14ac:dyDescent="0.2">
      <c r="A45" s="1526" t="s">
        <v>869</v>
      </c>
      <c r="B45" s="615">
        <v>2220</v>
      </c>
      <c r="C45" s="466">
        <v>20636</v>
      </c>
      <c r="D45" s="466">
        <v>2441</v>
      </c>
      <c r="E45" s="466">
        <v>1838</v>
      </c>
      <c r="F45" s="466">
        <v>457</v>
      </c>
      <c r="G45" s="466"/>
      <c r="H45" s="466"/>
      <c r="I45" s="467"/>
      <c r="J45" s="467"/>
      <c r="K45" s="1694">
        <f>SUM(C45:J45)</f>
        <v>25372</v>
      </c>
      <c r="L45" s="466">
        <v>27500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21741</v>
      </c>
      <c r="D47" s="1692">
        <f t="shared" ref="D47:K47" si="4">SUM(D44:D46)</f>
        <v>2441</v>
      </c>
      <c r="E47" s="1692">
        <f t="shared" si="4"/>
        <v>11393</v>
      </c>
      <c r="F47" s="1692">
        <f t="shared" si="4"/>
        <v>462</v>
      </c>
      <c r="G47" s="1692">
        <f t="shared" si="4"/>
        <v>0</v>
      </c>
      <c r="H47" s="1692">
        <f t="shared" si="4"/>
        <v>0</v>
      </c>
      <c r="I47" s="1692">
        <f t="shared" si="4"/>
        <v>0</v>
      </c>
      <c r="J47" s="1692">
        <f t="shared" si="4"/>
        <v>0</v>
      </c>
      <c r="K47" s="1692">
        <f t="shared" si="4"/>
        <v>36037</v>
      </c>
      <c r="L47" s="1692">
        <f>SUM(L44:L46)</f>
        <v>36575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11173</v>
      </c>
      <c r="F49" s="481">
        <v>1811</v>
      </c>
      <c r="G49" s="481"/>
      <c r="H49" s="481">
        <v>4341</v>
      </c>
      <c r="I49" s="467"/>
      <c r="J49" s="467"/>
      <c r="K49" s="1694">
        <f>SUM(C49:J49)</f>
        <v>17325</v>
      </c>
      <c r="L49" s="481">
        <v>30560</v>
      </c>
    </row>
    <row r="50" spans="1:14" x14ac:dyDescent="0.2">
      <c r="A50" s="1526" t="s">
        <v>872</v>
      </c>
      <c r="B50" s="615">
        <v>2320</v>
      </c>
      <c r="C50" s="466">
        <v>121232</v>
      </c>
      <c r="D50" s="466">
        <v>33053</v>
      </c>
      <c r="E50" s="466">
        <v>4935</v>
      </c>
      <c r="F50" s="466">
        <v>1679</v>
      </c>
      <c r="G50" s="466"/>
      <c r="H50" s="466">
        <v>545</v>
      </c>
      <c r="I50" s="467"/>
      <c r="J50" s="467"/>
      <c r="K50" s="1694">
        <f>SUM(C50:J50)</f>
        <v>161444</v>
      </c>
      <c r="L50" s="466">
        <v>144050</v>
      </c>
    </row>
    <row r="51" spans="1:14" x14ac:dyDescent="0.2">
      <c r="A51" s="1526" t="s">
        <v>44</v>
      </c>
      <c r="B51" s="615">
        <v>2330</v>
      </c>
      <c r="C51" s="466"/>
      <c r="D51" s="466"/>
      <c r="E51" s="466"/>
      <c r="F51" s="466">
        <v>11</v>
      </c>
      <c r="G51" s="466"/>
      <c r="H51" s="466"/>
      <c r="I51" s="467"/>
      <c r="J51" s="467"/>
      <c r="K51" s="1694">
        <f>SUM(C51:J51)</f>
        <v>11</v>
      </c>
      <c r="L51" s="466">
        <v>353</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121232</v>
      </c>
      <c r="D53" s="1692">
        <f t="shared" ref="D53:L53" si="5">SUM(D49:D52)</f>
        <v>33053</v>
      </c>
      <c r="E53" s="1692">
        <f t="shared" si="5"/>
        <v>16108</v>
      </c>
      <c r="F53" s="1692">
        <f t="shared" si="5"/>
        <v>3501</v>
      </c>
      <c r="G53" s="1692">
        <f t="shared" si="5"/>
        <v>0</v>
      </c>
      <c r="H53" s="1692">
        <f t="shared" si="5"/>
        <v>4886</v>
      </c>
      <c r="I53" s="1692">
        <f t="shared" si="5"/>
        <v>0</v>
      </c>
      <c r="J53" s="1692">
        <f t="shared" si="5"/>
        <v>0</v>
      </c>
      <c r="K53" s="1692">
        <f t="shared" si="5"/>
        <v>178780</v>
      </c>
      <c r="L53" s="1692">
        <f t="shared" si="5"/>
        <v>174963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103727</v>
      </c>
      <c r="D55" s="481">
        <v>9211</v>
      </c>
      <c r="E55" s="481">
        <v>5064</v>
      </c>
      <c r="F55" s="481">
        <v>386</v>
      </c>
      <c r="G55" s="481"/>
      <c r="H55" s="481">
        <v>626</v>
      </c>
      <c r="I55" s="467"/>
      <c r="J55" s="467"/>
      <c r="K55" s="1694">
        <f>SUM(C55:J55)</f>
        <v>119014</v>
      </c>
      <c r="L55" s="481">
        <v>110170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103727</v>
      </c>
      <c r="D57" s="1696">
        <f t="shared" ref="D57:K57" si="6">SUM(D55:D56)</f>
        <v>9211</v>
      </c>
      <c r="E57" s="1696">
        <f t="shared" si="6"/>
        <v>5064</v>
      </c>
      <c r="F57" s="1696">
        <f t="shared" si="6"/>
        <v>386</v>
      </c>
      <c r="G57" s="1696">
        <f t="shared" si="6"/>
        <v>0</v>
      </c>
      <c r="H57" s="1696">
        <f t="shared" si="6"/>
        <v>626</v>
      </c>
      <c r="I57" s="1696">
        <f t="shared" si="6"/>
        <v>0</v>
      </c>
      <c r="J57" s="1696">
        <f t="shared" si="6"/>
        <v>0</v>
      </c>
      <c r="K57" s="1696">
        <f t="shared" si="6"/>
        <v>119014</v>
      </c>
      <c r="L57" s="1692">
        <f>SUM(L55:L56)</f>
        <v>110170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34341</v>
      </c>
      <c r="D60" s="466">
        <v>6684</v>
      </c>
      <c r="E60" s="466">
        <v>7946</v>
      </c>
      <c r="F60" s="466">
        <v>183</v>
      </c>
      <c r="G60" s="466"/>
      <c r="H60" s="466">
        <v>2038</v>
      </c>
      <c r="I60" s="467"/>
      <c r="J60" s="467"/>
      <c r="K60" s="1694">
        <f t="shared" si="7"/>
        <v>51192</v>
      </c>
      <c r="L60" s="466">
        <v>51575</v>
      </c>
      <c r="M60" s="610"/>
      <c r="N60" s="610"/>
    </row>
    <row r="61" spans="1:14" s="343" customFormat="1" x14ac:dyDescent="0.2">
      <c r="A61" s="1526" t="s">
        <v>206</v>
      </c>
      <c r="B61" s="615">
        <v>2540</v>
      </c>
      <c r="C61" s="466"/>
      <c r="D61" s="466"/>
      <c r="E61" s="466"/>
      <c r="F61" s="466">
        <v>6231</v>
      </c>
      <c r="G61" s="466"/>
      <c r="H61" s="466"/>
      <c r="I61" s="467"/>
      <c r="J61" s="467"/>
      <c r="K61" s="1694">
        <f t="shared" si="7"/>
        <v>6231</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58438</v>
      </c>
      <c r="D63" s="466">
        <v>23218</v>
      </c>
      <c r="E63" s="466">
        <v>167</v>
      </c>
      <c r="F63" s="466">
        <v>64259</v>
      </c>
      <c r="G63" s="466"/>
      <c r="H63" s="466"/>
      <c r="I63" s="467"/>
      <c r="J63" s="467"/>
      <c r="K63" s="1694">
        <f t="shared" si="7"/>
        <v>146082</v>
      </c>
      <c r="L63" s="466">
        <v>142650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92779</v>
      </c>
      <c r="D65" s="1692">
        <f t="shared" ref="D65:L65" si="8">SUM(D59:D64)</f>
        <v>29902</v>
      </c>
      <c r="E65" s="1692">
        <f t="shared" si="8"/>
        <v>8113</v>
      </c>
      <c r="F65" s="1692">
        <f t="shared" si="8"/>
        <v>70673</v>
      </c>
      <c r="G65" s="1692">
        <f t="shared" si="8"/>
        <v>0</v>
      </c>
      <c r="H65" s="1692">
        <f t="shared" si="8"/>
        <v>2038</v>
      </c>
      <c r="I65" s="1692">
        <f t="shared" si="8"/>
        <v>0</v>
      </c>
      <c r="J65" s="1692">
        <f t="shared" si="8"/>
        <v>0</v>
      </c>
      <c r="K65" s="1692">
        <f t="shared" si="8"/>
        <v>203505</v>
      </c>
      <c r="L65" s="1692">
        <f t="shared" si="8"/>
        <v>194225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40148</v>
      </c>
      <c r="F71" s="466">
        <v>2501</v>
      </c>
      <c r="G71" s="466">
        <v>70</v>
      </c>
      <c r="H71" s="466"/>
      <c r="I71" s="467"/>
      <c r="J71" s="467"/>
      <c r="K71" s="1694">
        <f>SUM(C71:J71)</f>
        <v>42719</v>
      </c>
      <c r="L71" s="466">
        <v>38500</v>
      </c>
      <c r="M71" s="610"/>
      <c r="N71" s="610"/>
    </row>
    <row r="72" spans="1:14" s="343" customFormat="1" ht="12.75" customHeight="1" thickBot="1" x14ac:dyDescent="0.25">
      <c r="A72" s="1690" t="s">
        <v>37</v>
      </c>
      <c r="B72" s="1697" t="s">
        <v>36</v>
      </c>
      <c r="C72" s="1692">
        <f>SUM(C67:C71)</f>
        <v>0</v>
      </c>
      <c r="D72" s="1692">
        <f t="shared" ref="D72:K72" si="9">SUM(D67:D71)</f>
        <v>0</v>
      </c>
      <c r="E72" s="1692">
        <f t="shared" si="9"/>
        <v>40148</v>
      </c>
      <c r="F72" s="1692">
        <f t="shared" si="9"/>
        <v>2501</v>
      </c>
      <c r="G72" s="1692">
        <f t="shared" si="9"/>
        <v>70</v>
      </c>
      <c r="H72" s="1692">
        <f t="shared" si="9"/>
        <v>0</v>
      </c>
      <c r="I72" s="1692">
        <f t="shared" si="9"/>
        <v>0</v>
      </c>
      <c r="J72" s="1692">
        <f t="shared" si="9"/>
        <v>0</v>
      </c>
      <c r="K72" s="1692">
        <f t="shared" si="9"/>
        <v>42719</v>
      </c>
      <c r="L72" s="1692">
        <f>SUM(L67:L71)</f>
        <v>38500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371128</v>
      </c>
      <c r="D74" s="1699">
        <f t="shared" ref="D74:K74" si="10">SUM(D42,D47,D53,D57,D65,D72,D73)</f>
        <v>74607</v>
      </c>
      <c r="E74" s="1699">
        <f t="shared" si="10"/>
        <v>81732</v>
      </c>
      <c r="F74" s="1699">
        <f t="shared" si="10"/>
        <v>77649</v>
      </c>
      <c r="G74" s="1699">
        <f t="shared" si="10"/>
        <v>70</v>
      </c>
      <c r="H74" s="1699">
        <f t="shared" si="10"/>
        <v>7550</v>
      </c>
      <c r="I74" s="1699">
        <f t="shared" si="10"/>
        <v>0</v>
      </c>
      <c r="J74" s="1699">
        <f t="shared" si="10"/>
        <v>0</v>
      </c>
      <c r="K74" s="1699">
        <f t="shared" si="10"/>
        <v>612736</v>
      </c>
      <c r="L74" s="1699">
        <f>SUM(L42,L47,L53,L57,L65,L72,L73)</f>
        <v>587633</v>
      </c>
    </row>
    <row r="75" spans="1:14" s="259" customFormat="1" ht="15.75" customHeight="1" thickTop="1" thickBot="1" x14ac:dyDescent="0.25">
      <c r="A75" s="1632" t="s">
        <v>49</v>
      </c>
      <c r="B75" s="1633" t="s">
        <v>596</v>
      </c>
      <c r="C75" s="573"/>
      <c r="D75" s="573"/>
      <c r="E75" s="573">
        <v>237</v>
      </c>
      <c r="F75" s="573">
        <v>14951</v>
      </c>
      <c r="G75" s="573"/>
      <c r="H75" s="573"/>
      <c r="I75" s="531"/>
      <c r="J75" s="531"/>
      <c r="K75" s="1692">
        <f>SUM(C75:J75)</f>
        <v>15188</v>
      </c>
      <c r="L75" s="576">
        <v>575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3800</v>
      </c>
    </row>
    <row r="79" spans="1:14" x14ac:dyDescent="0.2">
      <c r="A79" s="1526" t="s">
        <v>322</v>
      </c>
      <c r="B79" s="615">
        <v>4120</v>
      </c>
      <c r="C79" s="617"/>
      <c r="D79" s="617"/>
      <c r="E79" s="466"/>
      <c r="F79" s="617"/>
      <c r="G79" s="617"/>
      <c r="H79" s="466">
        <v>278496</v>
      </c>
      <c r="I79" s="477"/>
      <c r="J79" s="477"/>
      <c r="K79" s="1693">
        <f t="shared" si="11"/>
        <v>278496</v>
      </c>
      <c r="L79" s="466">
        <v>280000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26100</v>
      </c>
      <c r="I81" s="477"/>
      <c r="J81" s="477"/>
      <c r="K81" s="1693">
        <f t="shared" si="11"/>
        <v>26100</v>
      </c>
      <c r="L81" s="466">
        <v>27000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304596</v>
      </c>
      <c r="I84" s="477"/>
      <c r="J84" s="477"/>
      <c r="K84" s="1692">
        <f>SUM(K78:K83)</f>
        <v>304596</v>
      </c>
      <c r="L84" s="1692">
        <f>SUM(L78:L83)</f>
        <v>310800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304596</v>
      </c>
      <c r="I102" s="477"/>
      <c r="J102" s="477"/>
      <c r="K102" s="1699">
        <f>SUM(K84,K92,K100,K101)</f>
        <v>304596</v>
      </c>
      <c r="L102" s="1699">
        <f>SUM(L84,L92,L100,L101)</f>
        <v>310800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1147484</v>
      </c>
      <c r="D114" s="1692">
        <f t="shared" ref="D114:K114" si="13">SUM(D33,D74,D75,D102,D112,D113)</f>
        <v>243122</v>
      </c>
      <c r="E114" s="1692">
        <f t="shared" si="13"/>
        <v>99187</v>
      </c>
      <c r="F114" s="1692">
        <f t="shared" si="13"/>
        <v>153967</v>
      </c>
      <c r="G114" s="1692">
        <f t="shared" si="13"/>
        <v>70</v>
      </c>
      <c r="H114" s="1692">
        <f>SUM(H33,H74,H75,H102,H112,H113)</f>
        <v>364784</v>
      </c>
      <c r="I114" s="1692">
        <f t="shared" si="13"/>
        <v>0</v>
      </c>
      <c r="J114" s="1692">
        <f t="shared" si="13"/>
        <v>0</v>
      </c>
      <c r="K114" s="1692">
        <f t="shared" si="13"/>
        <v>2008614</v>
      </c>
      <c r="L114" s="1692">
        <f>SUM(L33,L74,L75,L102,L112,L113)</f>
        <v>2102994</v>
      </c>
    </row>
    <row r="115" spans="1:14" ht="13.5" thickTop="1" x14ac:dyDescent="0.2">
      <c r="A115" s="2215" t="s">
        <v>1053</v>
      </c>
      <c r="B115" s="2216"/>
      <c r="C115" s="619"/>
      <c r="D115" s="619"/>
      <c r="E115" s="619"/>
      <c r="F115" s="619"/>
      <c r="G115" s="619"/>
      <c r="H115" s="619"/>
      <c r="I115" s="619"/>
      <c r="J115" s="619"/>
      <c r="K115" s="1706">
        <f>'Revenues 9-14'!C275-'Expenditures 15-22'!K114</f>
        <v>373642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94992</v>
      </c>
      <c r="D124" s="466">
        <v>20038</v>
      </c>
      <c r="E124" s="466">
        <v>79907</v>
      </c>
      <c r="F124" s="466">
        <v>67776</v>
      </c>
      <c r="G124" s="466"/>
      <c r="H124" s="466"/>
      <c r="I124" s="467"/>
      <c r="J124" s="467"/>
      <c r="K124" s="1692">
        <f>SUM(C124:J124)</f>
        <v>262713</v>
      </c>
      <c r="L124" s="466">
        <v>255725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94992</v>
      </c>
      <c r="D127" s="1692">
        <f t="shared" ref="D127:L127" si="14">SUM(D122:D126)</f>
        <v>20038</v>
      </c>
      <c r="E127" s="1692">
        <f t="shared" si="14"/>
        <v>79907</v>
      </c>
      <c r="F127" s="1692">
        <f t="shared" si="14"/>
        <v>67776</v>
      </c>
      <c r="G127" s="1692">
        <f t="shared" si="14"/>
        <v>0</v>
      </c>
      <c r="H127" s="1692">
        <f t="shared" si="14"/>
        <v>0</v>
      </c>
      <c r="I127" s="1692">
        <f t="shared" si="14"/>
        <v>0</v>
      </c>
      <c r="J127" s="1692">
        <f t="shared" si="14"/>
        <v>0</v>
      </c>
      <c r="K127" s="1692">
        <f t="shared" si="14"/>
        <v>262713</v>
      </c>
      <c r="L127" s="1692">
        <f t="shared" si="14"/>
        <v>255725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94992</v>
      </c>
      <c r="D129" s="1699">
        <f t="shared" ref="D129:L129" si="15">SUM(D120,D127,D128)</f>
        <v>20038</v>
      </c>
      <c r="E129" s="1699">
        <f t="shared" si="15"/>
        <v>79907</v>
      </c>
      <c r="F129" s="1699">
        <f t="shared" si="15"/>
        <v>67776</v>
      </c>
      <c r="G129" s="1699">
        <f t="shared" si="15"/>
        <v>0</v>
      </c>
      <c r="H129" s="1699">
        <f t="shared" si="15"/>
        <v>0</v>
      </c>
      <c r="I129" s="1699">
        <f t="shared" si="15"/>
        <v>0</v>
      </c>
      <c r="J129" s="1699">
        <f t="shared" si="15"/>
        <v>0</v>
      </c>
      <c r="K129" s="1699">
        <f t="shared" si="15"/>
        <v>262713</v>
      </c>
      <c r="L129" s="1699">
        <f t="shared" si="15"/>
        <v>255725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v>11333</v>
      </c>
      <c r="I135" s="477"/>
      <c r="J135" s="617"/>
      <c r="K135" s="1694">
        <f>SUM(E135,H135)</f>
        <v>11333</v>
      </c>
      <c r="L135" s="466">
        <v>11500</v>
      </c>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11333</v>
      </c>
      <c r="I137" s="477"/>
      <c r="J137" s="617"/>
      <c r="K137" s="1692">
        <f>SUM(K133:K136)</f>
        <v>11333</v>
      </c>
      <c r="L137" s="1692">
        <f>SUM(L133:L136)</f>
        <v>11500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11333</v>
      </c>
      <c r="I139" s="477"/>
      <c r="J139" s="617"/>
      <c r="K139" s="1694">
        <f>SUM(K137,K138)</f>
        <v>11333</v>
      </c>
      <c r="L139" s="1701">
        <f>SUM(L137,L138)</f>
        <v>11500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3125</v>
      </c>
    </row>
    <row r="151" spans="1:14" ht="12.75" customHeight="1" thickTop="1" thickBot="1" x14ac:dyDescent="0.25">
      <c r="A151" s="2205" t="s">
        <v>641</v>
      </c>
      <c r="B151" s="2187"/>
      <c r="C151" s="1692">
        <f>SUM(C129,C130,C139,C149,C150)</f>
        <v>94992</v>
      </c>
      <c r="D151" s="1692">
        <f t="shared" ref="D151:K151" si="16">SUM(D129,D130,D139,D149,D150)</f>
        <v>20038</v>
      </c>
      <c r="E151" s="1692">
        <f t="shared" si="16"/>
        <v>79907</v>
      </c>
      <c r="F151" s="1692">
        <f t="shared" si="16"/>
        <v>67776</v>
      </c>
      <c r="G151" s="1692">
        <f t="shared" si="16"/>
        <v>0</v>
      </c>
      <c r="H151" s="1692">
        <f t="shared" si="16"/>
        <v>11333</v>
      </c>
      <c r="I151" s="1692">
        <f t="shared" si="16"/>
        <v>0</v>
      </c>
      <c r="J151" s="1692">
        <f t="shared" si="16"/>
        <v>0</v>
      </c>
      <c r="K151" s="1692">
        <f t="shared" si="16"/>
        <v>274046</v>
      </c>
      <c r="L151" s="1692">
        <f>SUM(L129,L130,L139,L149,L150)</f>
        <v>270350</v>
      </c>
    </row>
    <row r="152" spans="1:14" ht="12.75" customHeight="1" thickTop="1" x14ac:dyDescent="0.2">
      <c r="A152" s="2208" t="s">
        <v>1240</v>
      </c>
      <c r="B152" s="2209"/>
      <c r="C152" s="619"/>
      <c r="D152" s="619"/>
      <c r="E152" s="619"/>
      <c r="F152" s="619"/>
      <c r="G152" s="619"/>
      <c r="H152" s="619"/>
      <c r="I152" s="619"/>
      <c r="J152" s="617"/>
      <c r="K152" s="1706">
        <f>'Revenues 9-14'!D275-'Expenditures 15-22'!K151</f>
        <v>-17792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14157</v>
      </c>
      <c r="I169" s="617"/>
      <c r="J169" s="617"/>
      <c r="K169" s="1693">
        <f>SUM(C169:H169)</f>
        <v>14157</v>
      </c>
      <c r="L169" s="657">
        <v>10000</v>
      </c>
    </row>
    <row r="170" spans="1:14" ht="33.75" customHeight="1" x14ac:dyDescent="0.2">
      <c r="A170" s="670" t="s">
        <v>1769</v>
      </c>
      <c r="B170" s="672" t="s">
        <v>31</v>
      </c>
      <c r="C170" s="617"/>
      <c r="D170" s="617"/>
      <c r="E170" s="617"/>
      <c r="F170" s="617"/>
      <c r="G170" s="617"/>
      <c r="H170" s="569">
        <v>46000</v>
      </c>
      <c r="I170" s="617"/>
      <c r="J170" s="617"/>
      <c r="K170" s="1693">
        <f>SUM(C170:J170)</f>
        <v>46000</v>
      </c>
      <c r="L170" s="569">
        <v>52000</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60657</v>
      </c>
      <c r="I172" s="639"/>
      <c r="J172" s="617"/>
      <c r="K172" s="1699">
        <f>SUM(K168,K169,K170,K171)</f>
        <v>60657</v>
      </c>
      <c r="L172" s="1699">
        <f>SUM(L168,L169,L170,L171)</f>
        <v>62000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60657</v>
      </c>
      <c r="I174" s="639"/>
      <c r="J174" s="617"/>
      <c r="K174" s="1699">
        <f>SUM(K160,K172,K173)</f>
        <v>60657</v>
      </c>
      <c r="L174" s="1699">
        <f>SUM(L160,L172,L173)</f>
        <v>62000</v>
      </c>
    </row>
    <row r="175" spans="1:14" ht="13.5" thickTop="1" x14ac:dyDescent="0.2">
      <c r="A175" s="2215" t="s">
        <v>1053</v>
      </c>
      <c r="B175" s="2216"/>
      <c r="C175" s="617"/>
      <c r="D175" s="617"/>
      <c r="E175" s="617"/>
      <c r="F175" s="617"/>
      <c r="G175" s="617"/>
      <c r="H175" s="619"/>
      <c r="I175" s="617"/>
      <c r="J175" s="617"/>
      <c r="K175" s="1706">
        <f>'Revenues 9-14'!E275-'Expenditures 15-22'!K174</f>
        <v>-331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82926</v>
      </c>
      <c r="D182" s="466">
        <v>4846</v>
      </c>
      <c r="E182" s="466">
        <v>20983</v>
      </c>
      <c r="F182" s="466">
        <v>26225</v>
      </c>
      <c r="G182" s="466"/>
      <c r="H182" s="466"/>
      <c r="I182" s="467"/>
      <c r="J182" s="467"/>
      <c r="K182" s="1693">
        <f>SUM(C182:J182)</f>
        <v>134980</v>
      </c>
      <c r="L182" s="466">
        <v>140466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82926</v>
      </c>
      <c r="D184" s="1699">
        <f t="shared" ref="D184:J184" si="17">SUM(D180,D182,D183)</f>
        <v>4846</v>
      </c>
      <c r="E184" s="1699">
        <f t="shared" si="17"/>
        <v>20983</v>
      </c>
      <c r="F184" s="1699">
        <f t="shared" si="17"/>
        <v>26225</v>
      </c>
      <c r="G184" s="1699">
        <f t="shared" si="17"/>
        <v>0</v>
      </c>
      <c r="H184" s="1699">
        <f t="shared" si="17"/>
        <v>0</v>
      </c>
      <c r="I184" s="1699">
        <f t="shared" si="17"/>
        <v>0</v>
      </c>
      <c r="J184" s="1699">
        <f t="shared" si="17"/>
        <v>0</v>
      </c>
      <c r="K184" s="1699">
        <f>SUM(K180,K182,K183)</f>
        <v>134980</v>
      </c>
      <c r="L184" s="1699">
        <f>SUM(L180, L182:L183)</f>
        <v>140466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82926</v>
      </c>
      <c r="D210" s="1692">
        <f>SUM(D184,D185)</f>
        <v>4846</v>
      </c>
      <c r="E210" s="1692">
        <f>SUM(E184,E185,E196)</f>
        <v>20983</v>
      </c>
      <c r="F210" s="1692">
        <f>SUM(F184,F185)</f>
        <v>26225</v>
      </c>
      <c r="G210" s="1692">
        <f>SUM(G184,G185)</f>
        <v>0</v>
      </c>
      <c r="H210" s="1692">
        <f>SUM(H184,H185,H196,H208,H209)</f>
        <v>0</v>
      </c>
      <c r="I210" s="1692">
        <f>SUM(I184,I185)</f>
        <v>0</v>
      </c>
      <c r="J210" s="1692">
        <f>SUM(J184,J185)</f>
        <v>0</v>
      </c>
      <c r="K210" s="1693">
        <f>SUM(K184,K185,K196,K208,K209)</f>
        <v>134980</v>
      </c>
      <c r="L210" s="1692">
        <f>SUM(L184,L185,L196,L208,L209)</f>
        <v>140466</v>
      </c>
    </row>
    <row r="211" spans="1:14" ht="13.5" thickTop="1" x14ac:dyDescent="0.2">
      <c r="A211" s="2215" t="s">
        <v>1053</v>
      </c>
      <c r="B211" s="2216"/>
      <c r="C211" s="619"/>
      <c r="D211" s="619"/>
      <c r="E211" s="619"/>
      <c r="F211" s="619"/>
      <c r="G211" s="619"/>
      <c r="H211" s="619"/>
      <c r="I211" s="617"/>
      <c r="J211" s="617"/>
      <c r="K211" s="1706">
        <f>'Revenues 9-14'!F275-'Expenditures 15-22'!K210</f>
        <v>32255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8941</v>
      </c>
      <c r="E215" s="617"/>
      <c r="F215" s="617"/>
      <c r="G215" s="617"/>
      <c r="H215" s="617"/>
      <c r="I215" s="617"/>
      <c r="J215" s="617"/>
      <c r="K215" s="1693">
        <f>D215</f>
        <v>8941</v>
      </c>
      <c r="L215" s="466">
        <v>9700</v>
      </c>
    </row>
    <row r="216" spans="1:14" x14ac:dyDescent="0.2">
      <c r="A216" s="1526" t="s">
        <v>165</v>
      </c>
      <c r="B216" s="615" t="s">
        <v>1024</v>
      </c>
      <c r="C216" s="617"/>
      <c r="D216" s="467">
        <v>1876</v>
      </c>
      <c r="E216" s="617"/>
      <c r="F216" s="617"/>
      <c r="G216" s="617"/>
      <c r="H216" s="617"/>
      <c r="I216" s="617"/>
      <c r="J216" s="617"/>
      <c r="K216" s="1693">
        <f t="shared" ref="K216:K228" si="19">D216</f>
        <v>1876</v>
      </c>
      <c r="L216" s="466">
        <v>2530</v>
      </c>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420</v>
      </c>
      <c r="E219" s="617"/>
      <c r="F219" s="617"/>
      <c r="G219" s="617"/>
      <c r="H219" s="617"/>
      <c r="I219" s="617"/>
      <c r="J219" s="617"/>
      <c r="K219" s="1693">
        <f t="shared" si="19"/>
        <v>420</v>
      </c>
      <c r="L219" s="466">
        <v>300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940</v>
      </c>
      <c r="E222" s="617"/>
      <c r="F222" s="617"/>
      <c r="G222" s="617"/>
      <c r="H222" s="617"/>
      <c r="I222" s="617"/>
      <c r="J222" s="617"/>
      <c r="K222" s="1693">
        <f t="shared" si="19"/>
        <v>940</v>
      </c>
      <c r="L222" s="466">
        <v>1100</v>
      </c>
    </row>
    <row r="223" spans="1:14" x14ac:dyDescent="0.2">
      <c r="A223" s="1526" t="s">
        <v>1020</v>
      </c>
      <c r="B223" s="615">
        <v>1500</v>
      </c>
      <c r="C223" s="617"/>
      <c r="D223" s="466">
        <v>1369</v>
      </c>
      <c r="E223" s="617"/>
      <c r="F223" s="617"/>
      <c r="G223" s="617"/>
      <c r="H223" s="617"/>
      <c r="I223" s="617"/>
      <c r="J223" s="617"/>
      <c r="K223" s="1693">
        <f t="shared" si="19"/>
        <v>1369</v>
      </c>
      <c r="L223" s="466">
        <v>1600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73</v>
      </c>
      <c r="E226" s="617"/>
      <c r="F226" s="617"/>
      <c r="G226" s="617"/>
      <c r="H226" s="617"/>
      <c r="I226" s="617"/>
      <c r="J226" s="617"/>
      <c r="K226" s="1693">
        <f t="shared" si="19"/>
        <v>73</v>
      </c>
      <c r="L226" s="466">
        <v>100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13619</v>
      </c>
      <c r="E229" s="617"/>
      <c r="F229" s="617"/>
      <c r="G229" s="617"/>
      <c r="H229" s="617"/>
      <c r="I229" s="617"/>
      <c r="J229" s="617"/>
      <c r="K229" s="1692">
        <f>SUM(K215:K228)</f>
        <v>13619</v>
      </c>
      <c r="L229" s="1692">
        <f>SUM(L215:L228)</f>
        <v>15330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459</v>
      </c>
      <c r="E233" s="617"/>
      <c r="F233" s="617"/>
      <c r="G233" s="617"/>
      <c r="H233" s="617"/>
      <c r="I233" s="617"/>
      <c r="J233" s="617"/>
      <c r="K233" s="1693">
        <f t="shared" si="20"/>
        <v>459</v>
      </c>
      <c r="L233" s="466">
        <v>500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459</v>
      </c>
      <c r="E238" s="617"/>
      <c r="F238" s="617"/>
      <c r="G238" s="617"/>
      <c r="H238" s="617"/>
      <c r="I238" s="617"/>
      <c r="J238" s="617"/>
      <c r="K238" s="1692">
        <f>SUM(K232:K237)</f>
        <v>459</v>
      </c>
      <c r="L238" s="1692">
        <f>SUM(L232:L237)</f>
        <v>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299</v>
      </c>
      <c r="E241" s="617"/>
      <c r="F241" s="617"/>
      <c r="G241" s="617"/>
      <c r="H241" s="617"/>
      <c r="I241" s="617"/>
      <c r="J241" s="617"/>
      <c r="K241" s="1694">
        <f>D241</f>
        <v>299</v>
      </c>
      <c r="L241" s="466">
        <v>350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299</v>
      </c>
      <c r="E243" s="617"/>
      <c r="F243" s="617"/>
      <c r="G243" s="617"/>
      <c r="H243" s="617"/>
      <c r="I243" s="617"/>
      <c r="J243" s="617"/>
      <c r="K243" s="1692">
        <f>SUM(K240:K242)</f>
        <v>299</v>
      </c>
      <c r="L243" s="1692">
        <f>SUM(L240:L242)</f>
        <v>350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3961</v>
      </c>
      <c r="E246" s="617"/>
      <c r="F246" s="617"/>
      <c r="G246" s="617"/>
      <c r="H246" s="617"/>
      <c r="I246" s="617"/>
      <c r="J246" s="617"/>
      <c r="K246" s="1694">
        <f t="shared" ref="K246:K256" si="21">D246</f>
        <v>3961</v>
      </c>
      <c r="L246" s="466">
        <v>750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3961</v>
      </c>
      <c r="E257" s="617"/>
      <c r="F257" s="617"/>
      <c r="G257" s="617"/>
      <c r="H257" s="617"/>
      <c r="I257" s="617"/>
      <c r="J257" s="617"/>
      <c r="K257" s="1692">
        <f>SUM(K245:K256)</f>
        <v>3961</v>
      </c>
      <c r="L257" s="1692">
        <f>SUM(L245:L256)</f>
        <v>750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5335</v>
      </c>
      <c r="E259" s="617"/>
      <c r="F259" s="617"/>
      <c r="G259" s="617"/>
      <c r="H259" s="617"/>
      <c r="I259" s="617"/>
      <c r="J259" s="617"/>
      <c r="K259" s="1694">
        <f>D259</f>
        <v>5335</v>
      </c>
      <c r="L259" s="481">
        <v>6100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5335</v>
      </c>
      <c r="E261" s="617"/>
      <c r="F261" s="617"/>
      <c r="G261" s="617"/>
      <c r="H261" s="617"/>
      <c r="I261" s="617"/>
      <c r="J261" s="617"/>
      <c r="K261" s="1692">
        <f>SUM(K259:K260)</f>
        <v>5335</v>
      </c>
      <c r="L261" s="1692">
        <f>SUM(L259:L260)</f>
        <v>6100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5258</v>
      </c>
      <c r="E264" s="617"/>
      <c r="F264" s="617"/>
      <c r="G264" s="617"/>
      <c r="H264" s="617"/>
      <c r="I264" s="617"/>
      <c r="J264" s="617"/>
      <c r="K264" s="1694">
        <f t="shared" ref="K264:K269" si="22">D264</f>
        <v>5258</v>
      </c>
      <c r="L264" s="466">
        <v>5400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14540</v>
      </c>
      <c r="E266" s="617"/>
      <c r="F266" s="617"/>
      <c r="G266" s="617"/>
      <c r="H266" s="617"/>
      <c r="I266" s="617"/>
      <c r="J266" s="617"/>
      <c r="K266" s="1694">
        <f t="shared" si="22"/>
        <v>14540</v>
      </c>
      <c r="L266" s="466">
        <v>15400</v>
      </c>
    </row>
    <row r="267" spans="1:14" x14ac:dyDescent="0.2">
      <c r="A267" s="1526" t="s">
        <v>1010</v>
      </c>
      <c r="B267" s="615">
        <v>2550</v>
      </c>
      <c r="C267" s="617"/>
      <c r="D267" s="466">
        <v>10274</v>
      </c>
      <c r="E267" s="617"/>
      <c r="F267" s="617"/>
      <c r="G267" s="617"/>
      <c r="H267" s="617"/>
      <c r="I267" s="617"/>
      <c r="J267" s="617"/>
      <c r="K267" s="1694">
        <f t="shared" si="22"/>
        <v>10274</v>
      </c>
      <c r="L267" s="466">
        <v>9200</v>
      </c>
    </row>
    <row r="268" spans="1:14" x14ac:dyDescent="0.2">
      <c r="A268" s="1526" t="s">
        <v>102</v>
      </c>
      <c r="B268" s="615">
        <v>2560</v>
      </c>
      <c r="C268" s="617"/>
      <c r="D268" s="466">
        <v>8662</v>
      </c>
      <c r="E268" s="617"/>
      <c r="F268" s="617"/>
      <c r="G268" s="617"/>
      <c r="H268" s="617"/>
      <c r="I268" s="617"/>
      <c r="J268" s="617"/>
      <c r="K268" s="1694">
        <f t="shared" si="22"/>
        <v>8662</v>
      </c>
      <c r="L268" s="466">
        <v>9050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38734</v>
      </c>
      <c r="E270" s="617"/>
      <c r="F270" s="617"/>
      <c r="G270" s="617"/>
      <c r="H270" s="617"/>
      <c r="I270" s="617"/>
      <c r="J270" s="617"/>
      <c r="K270" s="1692">
        <f>SUM(K263:K269)</f>
        <v>38734</v>
      </c>
      <c r="L270" s="1692">
        <f>SUM(L263:L269)</f>
        <v>39050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48788</v>
      </c>
      <c r="E279" s="617"/>
      <c r="F279" s="617"/>
      <c r="G279" s="617"/>
      <c r="H279" s="617"/>
      <c r="I279" s="617"/>
      <c r="J279" s="617"/>
      <c r="K279" s="1699">
        <f>SUM(K238,K243,K257,K261,K270,K277,K278)</f>
        <v>48788</v>
      </c>
      <c r="L279" s="1699">
        <f>SUM(L238,L243,L257,L261,L270,L277,L278)</f>
        <v>46750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92">
        <f>SUM(D229,D279,D280,D285)</f>
        <v>62407</v>
      </c>
      <c r="E295" s="617"/>
      <c r="F295" s="617"/>
      <c r="G295" s="617"/>
      <c r="H295" s="1692">
        <f>H293</f>
        <v>0</v>
      </c>
      <c r="I295" s="617"/>
      <c r="J295" s="617"/>
      <c r="K295" s="1692">
        <f>SUM(K229,K279,K280,K285,K293,K294)</f>
        <v>62407</v>
      </c>
      <c r="L295" s="1692">
        <f>SUM(L229,L279,L280,L285,L293,L294)</f>
        <v>62080</v>
      </c>
    </row>
    <row r="296" spans="1:14" ht="13.5" thickTop="1" x14ac:dyDescent="0.2">
      <c r="A296" s="2215" t="s">
        <v>1053</v>
      </c>
      <c r="B296" s="2216"/>
      <c r="C296" s="617"/>
      <c r="D296" s="619"/>
      <c r="E296" s="617"/>
      <c r="F296" s="617"/>
      <c r="G296" s="617"/>
      <c r="H296" s="688"/>
      <c r="I296" s="617"/>
      <c r="J296" s="617"/>
      <c r="K296" s="1706">
        <f>'Revenues 9-14'!G275-'Expenditures 15-22'!K295</f>
        <v>8191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v>146191</v>
      </c>
      <c r="F302" s="466"/>
      <c r="G302" s="466"/>
      <c r="H302" s="466"/>
      <c r="I302" s="467"/>
      <c r="J302" s="467"/>
      <c r="K302" s="1693">
        <f>SUM(C302:J302)</f>
        <v>146191</v>
      </c>
      <c r="L302" s="466">
        <v>160000</v>
      </c>
    </row>
    <row r="303" spans="1:14" ht="12.75" customHeight="1" thickBot="1" x14ac:dyDescent="0.25">
      <c r="A303" s="1690" t="s">
        <v>865</v>
      </c>
      <c r="B303" s="1691" t="s">
        <v>590</v>
      </c>
      <c r="C303" s="1699">
        <f>SUM(C301:C302)</f>
        <v>0</v>
      </c>
      <c r="D303" s="1699">
        <f t="shared" ref="D303:L303" si="23">SUM(D301:D302)</f>
        <v>0</v>
      </c>
      <c r="E303" s="1699">
        <f t="shared" si="23"/>
        <v>146191</v>
      </c>
      <c r="F303" s="1699">
        <f t="shared" si="23"/>
        <v>0</v>
      </c>
      <c r="G303" s="1699">
        <f t="shared" si="23"/>
        <v>0</v>
      </c>
      <c r="H303" s="1699">
        <f t="shared" si="23"/>
        <v>0</v>
      </c>
      <c r="I303" s="1699">
        <f t="shared" si="23"/>
        <v>0</v>
      </c>
      <c r="J303" s="1699">
        <f t="shared" si="23"/>
        <v>0</v>
      </c>
      <c r="K303" s="1699">
        <f t="shared" si="23"/>
        <v>146191</v>
      </c>
      <c r="L303" s="1699">
        <f t="shared" si="23"/>
        <v>160000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92">
        <f>SUM(C303)</f>
        <v>0</v>
      </c>
      <c r="D312" s="1692">
        <f>SUM(D303)</f>
        <v>0</v>
      </c>
      <c r="E312" s="1692">
        <f>SUM(E303,E310)</f>
        <v>146191</v>
      </c>
      <c r="F312" s="1692">
        <f>SUM(F303)</f>
        <v>0</v>
      </c>
      <c r="G312" s="1692">
        <f>SUM(G303)</f>
        <v>0</v>
      </c>
      <c r="H312" s="1692">
        <f>SUM(H303,H310)</f>
        <v>0</v>
      </c>
      <c r="I312" s="1692">
        <f>SUM(I303)</f>
        <v>0</v>
      </c>
      <c r="J312" s="1692">
        <f>SUM(J303)</f>
        <v>0</v>
      </c>
      <c r="K312" s="1692">
        <f>SUM(K303,K310,K311)</f>
        <v>146191</v>
      </c>
      <c r="L312" s="1692">
        <f>SUM(L303,L310,L311)</f>
        <v>160000</v>
      </c>
      <c r="M312" s="666"/>
      <c r="N312" s="666"/>
    </row>
    <row r="313" spans="1:14" ht="13.5" thickTop="1" x14ac:dyDescent="0.2">
      <c r="A313" s="2199" t="s">
        <v>1053</v>
      </c>
      <c r="B313" s="2200"/>
      <c r="C313" s="627"/>
      <c r="D313" s="627"/>
      <c r="E313" s="627"/>
      <c r="F313" s="627"/>
      <c r="G313" s="627"/>
      <c r="H313" s="627"/>
      <c r="I313" s="627"/>
      <c r="J313" s="627"/>
      <c r="K313" s="1707">
        <f>'Revenues 9-14'!H275-'Expenditures 15-22'!K312</f>
        <v>-27004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14242</v>
      </c>
      <c r="F320" s="467"/>
      <c r="G320" s="467"/>
      <c r="H320" s="467"/>
      <c r="I320" s="467"/>
      <c r="J320" s="467"/>
      <c r="K320" s="1693">
        <f t="shared" ref="K320:K327" si="24">SUM(C320:J320)</f>
        <v>14242</v>
      </c>
      <c r="L320" s="467">
        <v>14500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1000</v>
      </c>
      <c r="M321" s="666"/>
      <c r="N321" s="666"/>
    </row>
    <row r="322" spans="1:14" s="675" customFormat="1" x14ac:dyDescent="0.2">
      <c r="A322" s="1541" t="s">
        <v>256</v>
      </c>
      <c r="B322" s="698" t="s">
        <v>302</v>
      </c>
      <c r="C322" s="467"/>
      <c r="D322" s="467"/>
      <c r="E322" s="467">
        <v>2526</v>
      </c>
      <c r="F322" s="467"/>
      <c r="G322" s="467"/>
      <c r="H322" s="467"/>
      <c r="I322" s="467"/>
      <c r="J322" s="467"/>
      <c r="K322" s="1693">
        <f t="shared" si="24"/>
        <v>2526</v>
      </c>
      <c r="L322" s="467">
        <v>3000</v>
      </c>
      <c r="M322" s="666"/>
      <c r="N322" s="666"/>
    </row>
    <row r="323" spans="1:14" s="675" customFormat="1" x14ac:dyDescent="0.2">
      <c r="A323" s="1541" t="s">
        <v>726</v>
      </c>
      <c r="B323" s="698" t="s">
        <v>303</v>
      </c>
      <c r="C323" s="467"/>
      <c r="D323" s="467"/>
      <c r="E323" s="467">
        <v>263</v>
      </c>
      <c r="F323" s="467"/>
      <c r="G323" s="467"/>
      <c r="H323" s="467"/>
      <c r="I323" s="467"/>
      <c r="J323" s="467"/>
      <c r="K323" s="1693">
        <f t="shared" si="24"/>
        <v>263</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278</v>
      </c>
      <c r="F325" s="467"/>
      <c r="G325" s="467"/>
      <c r="H325" s="467"/>
      <c r="I325" s="467"/>
      <c r="J325" s="467"/>
      <c r="K325" s="1693">
        <f t="shared" si="24"/>
        <v>278</v>
      </c>
      <c r="L325" s="467">
        <v>500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18304</v>
      </c>
      <c r="F328" s="474"/>
      <c r="G328" s="474"/>
      <c r="H328" s="474"/>
      <c r="I328" s="474"/>
      <c r="J328" s="474"/>
      <c r="K328" s="1721">
        <f>SUM(C328:J328)</f>
        <v>18304</v>
      </c>
      <c r="L328" s="474">
        <v>18400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35613</v>
      </c>
      <c r="F330" s="1692">
        <f t="shared" si="25"/>
        <v>0</v>
      </c>
      <c r="G330" s="1692">
        <f t="shared" si="25"/>
        <v>0</v>
      </c>
      <c r="H330" s="1692">
        <f t="shared" si="25"/>
        <v>0</v>
      </c>
      <c r="I330" s="1692">
        <f t="shared" si="25"/>
        <v>0</v>
      </c>
      <c r="J330" s="1692">
        <f t="shared" si="25"/>
        <v>0</v>
      </c>
      <c r="K330" s="1692">
        <f>SUM(K319:K329)</f>
        <v>35613</v>
      </c>
      <c r="L330" s="1692">
        <f>SUM(L319:L329)</f>
        <v>37400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35613</v>
      </c>
      <c r="F342" s="1692">
        <f>SUM(F330)</f>
        <v>0</v>
      </c>
      <c r="G342" s="1692">
        <f>SUM(G330)</f>
        <v>0</v>
      </c>
      <c r="H342" s="1692">
        <f>SUM(H330,H334,H340)</f>
        <v>0</v>
      </c>
      <c r="I342" s="1692">
        <f>SUM(I330)</f>
        <v>0</v>
      </c>
      <c r="J342" s="1692">
        <f>SUM(J330)</f>
        <v>0</v>
      </c>
      <c r="K342" s="1692">
        <f>SUM(K330,K334,K340)</f>
        <v>35613</v>
      </c>
      <c r="L342" s="1699">
        <f>SUM(L330,L340,L341)</f>
        <v>37400</v>
      </c>
    </row>
    <row r="343" spans="1:14" ht="12.75" customHeight="1" thickTop="1" x14ac:dyDescent="0.2">
      <c r="A343" s="2201" t="s">
        <v>1053</v>
      </c>
      <c r="B343" s="2202"/>
      <c r="C343" s="617"/>
      <c r="D343" s="617"/>
      <c r="E343" s="617"/>
      <c r="F343" s="617"/>
      <c r="G343" s="617"/>
      <c r="H343" s="617"/>
      <c r="I343" s="617"/>
      <c r="J343" s="617"/>
      <c r="K343" s="1706">
        <f>'Revenues 9-14'!J275-'Expenditures 15-22'!K342</f>
        <v>7408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696</v>
      </c>
      <c r="F349" s="466"/>
      <c r="G349" s="466"/>
      <c r="H349" s="466"/>
      <c r="I349" s="467"/>
      <c r="J349" s="467"/>
      <c r="K349" s="1693">
        <f>SUM(C349:J349)</f>
        <v>696</v>
      </c>
      <c r="L349" s="466">
        <v>1000</v>
      </c>
    </row>
    <row r="350" spans="1:14" ht="12.75" customHeight="1" thickBot="1" x14ac:dyDescent="0.25">
      <c r="A350" s="1690" t="s">
        <v>743</v>
      </c>
      <c r="B350" s="1691" t="s">
        <v>35</v>
      </c>
      <c r="C350" s="1692">
        <f>SUM(C348:C349)</f>
        <v>0</v>
      </c>
      <c r="D350" s="1692">
        <f t="shared" ref="D350:L350" si="26">SUM(D348:D349)</f>
        <v>0</v>
      </c>
      <c r="E350" s="1692">
        <f t="shared" si="26"/>
        <v>696</v>
      </c>
      <c r="F350" s="1692">
        <f t="shared" si="26"/>
        <v>0</v>
      </c>
      <c r="G350" s="1692">
        <f t="shared" si="26"/>
        <v>0</v>
      </c>
      <c r="H350" s="1692">
        <f t="shared" si="26"/>
        <v>0</v>
      </c>
      <c r="I350" s="1692">
        <f t="shared" si="26"/>
        <v>0</v>
      </c>
      <c r="J350" s="1692">
        <f t="shared" si="26"/>
        <v>0</v>
      </c>
      <c r="K350" s="1692">
        <f t="shared" si="26"/>
        <v>696</v>
      </c>
      <c r="L350" s="1692">
        <f t="shared" si="26"/>
        <v>1000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696</v>
      </c>
      <c r="F352" s="1692">
        <f t="shared" si="27"/>
        <v>0</v>
      </c>
      <c r="G352" s="1692">
        <f t="shared" si="27"/>
        <v>0</v>
      </c>
      <c r="H352" s="1692">
        <f t="shared" si="27"/>
        <v>0</v>
      </c>
      <c r="I352" s="1692">
        <f t="shared" si="27"/>
        <v>0</v>
      </c>
      <c r="J352" s="1692">
        <f t="shared" si="27"/>
        <v>0</v>
      </c>
      <c r="K352" s="1692">
        <f t="shared" si="27"/>
        <v>696</v>
      </c>
      <c r="L352" s="1692">
        <f t="shared" si="27"/>
        <v>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696</v>
      </c>
      <c r="F367" s="1692">
        <f t="shared" si="28"/>
        <v>0</v>
      </c>
      <c r="G367" s="1692">
        <f t="shared" si="28"/>
        <v>0</v>
      </c>
      <c r="H367" s="1692">
        <f t="shared" si="28"/>
        <v>0</v>
      </c>
      <c r="I367" s="1692">
        <f t="shared" si="28"/>
        <v>0</v>
      </c>
      <c r="J367" s="1692">
        <f t="shared" si="28"/>
        <v>0</v>
      </c>
      <c r="K367" s="1692">
        <f t="shared" si="28"/>
        <v>696</v>
      </c>
      <c r="L367" s="1692">
        <f t="shared" si="28"/>
        <v>1000</v>
      </c>
    </row>
    <row r="368" spans="1:14" ht="13.5" thickTop="1" x14ac:dyDescent="0.2">
      <c r="A368" s="2215" t="s">
        <v>1053</v>
      </c>
      <c r="B368" s="2216"/>
      <c r="C368" s="655"/>
      <c r="D368" s="655"/>
      <c r="E368" s="627"/>
      <c r="F368" s="627"/>
      <c r="G368" s="627"/>
      <c r="H368" s="627"/>
      <c r="I368" s="627"/>
      <c r="J368" s="624"/>
      <c r="K368" s="1693">
        <f>'Revenues 9-14'!K275-'Expenditures 15-22'!K367</f>
        <v>23324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5" right="0.3" top="1" bottom="0.5" header="0.75" footer="0.4"/>
  <pageSetup scale="6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sharepoint/v3"/>
    <ds:schemaRef ds:uri="http://purl.org/dc/elements/1.1/"/>
    <ds:schemaRef ds:uri="http://www.w3.org/XML/1998/namespace"/>
    <ds:schemaRef ds:uri="http://schemas.microsoft.com/office/2006/documentManagement/types"/>
    <ds:schemaRef ds:uri="http://schemas.microsoft.com/office/2006/metadata/properties"/>
    <ds:schemaRef ds:uri="6ce3111e-7420-4802-b50a-75d4e9a0b980"/>
    <ds:schemaRef ds:uri="http://purl.org/dc/dcmitype/"/>
    <ds:schemaRef ds:uri="http://purl.org/dc/terms/"/>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Activity Funds-Excel</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2018-10-06T18:16:47Z</cp:lastPrinted>
  <dcterms:created xsi:type="dcterms:W3CDTF">2003-10-29T19:06:34Z</dcterms:created>
  <dcterms:modified xsi:type="dcterms:W3CDTF">2018-10-10T19:41:09Z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