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embeddings/oleObject3.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Itemization 33" sheetId="187" r:id="rId18"/>
    <sheet name="AC32" sheetId="145" r:id="rId19"/>
    <sheet name="REF 34" sheetId="117" r:id="rId20"/>
    <sheet name="Table of Contents - Excel" sheetId="183" r:id="rId21"/>
    <sheet name="Opinion - PDF" sheetId="129" r:id="rId22"/>
    <sheet name="GAS Report - PDF" sheetId="184" r:id="rId23"/>
    <sheet name="Notes - PDF" sheetId="185" r:id="rId24"/>
    <sheet name="Activity Funds - Excel" sheetId="186" r:id="rId25"/>
    <sheet name="DeficitAFRSum Calc 36" sheetId="146" r:id="rId26"/>
    <sheet name="AUDITCHECK" sheetId="36" r:id="rId27"/>
    <sheet name="AFR18" sheetId="106" state="hidden" r:id="rId28"/>
    <sheet name="Single Audit Cover" sheetId="169" r:id="rId29"/>
    <sheet name="Single Audit Checklist" sheetId="170" r:id="rId30"/>
    <sheet name="SEFA Reconcile" sheetId="171" r:id="rId31"/>
    <sheet name="SEFA NOTES" sheetId="173" r:id="rId32"/>
    <sheet name=" SEFA" sheetId="179" r:id="rId33"/>
    <sheet name="SF&amp;QC Sec-1" sheetId="174" r:id="rId34"/>
    <sheet name="SF&amp;QC Sec-2" sheetId="175" r:id="rId35"/>
    <sheet name="SF&amp;QC Sec-3" sheetId="176" r:id="rId36"/>
    <sheet name="SSPAF" sheetId="177" r:id="rId37"/>
  </sheets>
  <externalReferences>
    <externalReference r:id="rId38"/>
  </externalReferences>
  <definedNames>
    <definedName name="a" localSheetId="22">#REF!</definedName>
    <definedName name="a" localSheetId="23">#REF!</definedName>
    <definedName name="a">#REF!</definedName>
    <definedName name="AFAFDAF" localSheetId="22">#REF!</definedName>
    <definedName name="AFAFDAF" localSheetId="23">#REF!</definedName>
    <definedName name="AFAFDAF">#REF!</definedName>
    <definedName name="AFDASFDAFDAFD" localSheetId="22">#REF!</definedName>
    <definedName name="AFDASFDAFDAFD" localSheetId="23">#REF!</definedName>
    <definedName name="AFDASFDAFDAFD">#REF!</definedName>
    <definedName name="b" localSheetId="22">#REF!</definedName>
    <definedName name="b" localSheetId="23">#REF!</definedName>
    <definedName name="b">#REF!</definedName>
    <definedName name="d" localSheetId="22">#REF!</definedName>
    <definedName name="d" localSheetId="23">#REF!</definedName>
    <definedName name="d">#REF!</definedName>
    <definedName name="dafd" localSheetId="22">#REF!</definedName>
    <definedName name="dafd" localSheetId="23">#REF!</definedName>
    <definedName name="dafd">#REF!</definedName>
    <definedName name="E" localSheetId="22">#REF!</definedName>
    <definedName name="E" localSheetId="23">#REF!</definedName>
    <definedName name="E">#REF!</definedName>
    <definedName name="FDAFDAFD" localSheetId="22">#REF!</definedName>
    <definedName name="FDAFDAFD" localSheetId="23">#REF!</definedName>
    <definedName name="FDAFDAFD">#REF!</definedName>
    <definedName name="_xlnm.Print_Area" localSheetId="32">' SEFA'!$B$1:$M$46</definedName>
    <definedName name="_xlnm.Print_Area" localSheetId="31">'SEFA NOTES'!$A$1:$F$52</definedName>
    <definedName name="_xlnm.Print_Area" localSheetId="30">'SEFA Reconcile'!$A$1:$E$49</definedName>
    <definedName name="_xlnm.Print_Area" localSheetId="33">'SF&amp;QC Sec-1'!$A$1:$J$63</definedName>
    <definedName name="_xlnm.Print_Area" localSheetId="35">'SF&amp;QC Sec-3'!$A$1:$K$52</definedName>
    <definedName name="_xlnm.Print_Area" localSheetId="16">'Shared Outsourced Services 31'!$A$1:$F$43</definedName>
    <definedName name="_xlnm.Print_Area" localSheetId="29">'Single Audit Checklist'!$A$1:$D$124</definedName>
    <definedName name="_xlnm.Print_Area" localSheetId="28">'Single Audit Cover'!$A$1:$L$52</definedName>
    <definedName name="_xlnm.Print_Titles" localSheetId="6">'Acct Summary 7-8'!$A:$B,'Acct Summary 7-8'!$1:$2</definedName>
    <definedName name="_xlnm.Print_Titles" localSheetId="5">'Assets-Liab 5-6'!$A:$B,'Assets-Liab 5-6'!$1:$2</definedName>
    <definedName name="_xlnm.Print_Titles" localSheetId="26">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9">'Single Audit Checklist'!$1:$4</definedName>
    <definedName name="SCHADDRS" localSheetId="32">#REF!</definedName>
    <definedName name="SCHADDRS" localSheetId="18">#REF!</definedName>
    <definedName name="SCHADDRS" localSheetId="24">#REF!</definedName>
    <definedName name="SCHADDRS" localSheetId="25">#REF!</definedName>
    <definedName name="SCHADDRS" localSheetId="4">#REF!</definedName>
    <definedName name="SCHADDRS" localSheetId="22">#REF!</definedName>
    <definedName name="SCHADDRS" localSheetId="17">#REF!</definedName>
    <definedName name="SCHADDRS" localSheetId="23">#REF!</definedName>
    <definedName name="SCHADDRS" localSheetId="31">#REF!</definedName>
    <definedName name="SCHADDRS" localSheetId="30">#REF!</definedName>
    <definedName name="SCHADDRS" localSheetId="33">#REF!</definedName>
    <definedName name="SCHADDRS" localSheetId="34">#REF!</definedName>
    <definedName name="SCHADDRS" localSheetId="35">#REF!</definedName>
    <definedName name="SCHADDRS" localSheetId="29">#REF!</definedName>
    <definedName name="SCHADDRS" localSheetId="28">#REF!</definedName>
    <definedName name="SCHADDRS" localSheetId="36">#REF!</definedName>
    <definedName name="SCHADDRS" localSheetId="20">#REF!</definedName>
    <definedName name="SCHADDRS">#REF!</definedName>
    <definedName name="SCHCTY" localSheetId="32">#REF!</definedName>
    <definedName name="SCHCTY" localSheetId="18">#REF!</definedName>
    <definedName name="SCHCTY" localSheetId="24">#REF!</definedName>
    <definedName name="SCHCTY" localSheetId="25">#REF!</definedName>
    <definedName name="SCHCTY" localSheetId="4">#REF!</definedName>
    <definedName name="SCHCTY" localSheetId="22">#REF!</definedName>
    <definedName name="SCHCTY" localSheetId="17">#REF!</definedName>
    <definedName name="SCHCTY" localSheetId="23">#REF!</definedName>
    <definedName name="SCHCTY" localSheetId="31">#REF!</definedName>
    <definedName name="SCHCTY" localSheetId="30">#REF!</definedName>
    <definedName name="SCHCTY" localSheetId="33">#REF!</definedName>
    <definedName name="SCHCTY" localSheetId="34">#REF!</definedName>
    <definedName name="SCHCTY" localSheetId="35">#REF!</definedName>
    <definedName name="SCHCTY" localSheetId="29">#REF!</definedName>
    <definedName name="SCHCTY" localSheetId="28">#REF!</definedName>
    <definedName name="SCHCTY" localSheetId="36">#REF!</definedName>
    <definedName name="SCHCTY" localSheetId="20">#REF!</definedName>
    <definedName name="SCHCTY">#REF!</definedName>
    <definedName name="SCHNMBR" localSheetId="32">#REF!</definedName>
    <definedName name="SCHNMBR" localSheetId="18">#REF!</definedName>
    <definedName name="SCHNMBR" localSheetId="24">#REF!</definedName>
    <definedName name="SCHNMBR" localSheetId="25">#REF!</definedName>
    <definedName name="SCHNMBR" localSheetId="4">#REF!</definedName>
    <definedName name="SCHNMBR" localSheetId="22">#REF!</definedName>
    <definedName name="SCHNMBR" localSheetId="17">#REF!</definedName>
    <definedName name="SCHNMBR" localSheetId="23">#REF!</definedName>
    <definedName name="SCHNMBR" localSheetId="31">#REF!</definedName>
    <definedName name="SCHNMBR" localSheetId="30">#REF!</definedName>
    <definedName name="SCHNMBR" localSheetId="33">#REF!</definedName>
    <definedName name="SCHNMBR" localSheetId="34">#REF!</definedName>
    <definedName name="SCHNMBR" localSheetId="35">#REF!</definedName>
    <definedName name="SCHNMBR" localSheetId="29">#REF!</definedName>
    <definedName name="SCHNMBR" localSheetId="28">#REF!</definedName>
    <definedName name="SCHNMBR" localSheetId="36">#REF!</definedName>
    <definedName name="SCHNMBR" localSheetId="20">#REF!</definedName>
    <definedName name="SCHNMBR">#REF!</definedName>
    <definedName name="SCHNME" localSheetId="32">#REF!</definedName>
    <definedName name="SCHNME" localSheetId="18">#REF!</definedName>
    <definedName name="SCHNME" localSheetId="24">#REF!</definedName>
    <definedName name="SCHNME" localSheetId="25">#REF!</definedName>
    <definedName name="SCHNME" localSheetId="4">#REF!</definedName>
    <definedName name="SCHNME" localSheetId="22">#REF!</definedName>
    <definedName name="SCHNME" localSheetId="17">#REF!</definedName>
    <definedName name="SCHNME" localSheetId="23">#REF!</definedName>
    <definedName name="SCHNME" localSheetId="31">#REF!</definedName>
    <definedName name="SCHNME" localSheetId="30">#REF!</definedName>
    <definedName name="SCHNME" localSheetId="33">#REF!</definedName>
    <definedName name="SCHNME" localSheetId="34">#REF!</definedName>
    <definedName name="SCHNME" localSheetId="35">#REF!</definedName>
    <definedName name="SCHNME" localSheetId="29">#REF!</definedName>
    <definedName name="SCHNME" localSheetId="28">#REF!</definedName>
    <definedName name="SCHNME" localSheetId="36">#REF!</definedName>
    <definedName name="SCHNME" localSheetId="20">#REF!</definedName>
    <definedName name="SCHNME">#REF!</definedName>
    <definedName name="SUPT" localSheetId="32">#REF!</definedName>
    <definedName name="SUPT" localSheetId="18">#REF!</definedName>
    <definedName name="SUPT" localSheetId="24">#REF!</definedName>
    <definedName name="SUPT" localSheetId="25">#REF!</definedName>
    <definedName name="SUPT" localSheetId="4">#REF!</definedName>
    <definedName name="SUPT" localSheetId="22">#REF!</definedName>
    <definedName name="SUPT" localSheetId="17">#REF!</definedName>
    <definedName name="SUPT" localSheetId="23">#REF!</definedName>
    <definedName name="SUPT" localSheetId="31">#REF!</definedName>
    <definedName name="SUPT" localSheetId="30">#REF!</definedName>
    <definedName name="SUPT" localSheetId="33">#REF!</definedName>
    <definedName name="SUPT" localSheetId="34">#REF!</definedName>
    <definedName name="SUPT" localSheetId="35">#REF!</definedName>
    <definedName name="SUPT" localSheetId="29">#REF!</definedName>
    <definedName name="SUPT" localSheetId="28">#REF!</definedName>
    <definedName name="SUPT" localSheetId="36">#REF!</definedName>
    <definedName name="SUPT" localSheetId="20">#REF!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9" i="4" l="1"/>
  <c r="J19" i="12"/>
  <c r="J31" i="8"/>
  <c r="L4" i="3"/>
  <c r="K5" i="3"/>
  <c r="E322" i="29"/>
  <c r="I5" i="3"/>
  <c r="D215" i="29"/>
  <c r="D216" i="29"/>
  <c r="D280" i="29"/>
  <c r="D268" i="29"/>
  <c r="D267" i="29"/>
  <c r="D266" i="29"/>
  <c r="D264" i="29"/>
  <c r="D259" i="29"/>
  <c r="D245" i="29"/>
  <c r="D240" i="29"/>
  <c r="D223" i="29"/>
  <c r="D222" i="29"/>
  <c r="D219" i="29"/>
  <c r="D217" i="29"/>
  <c r="F182" i="29"/>
  <c r="E182" i="29"/>
  <c r="C182" i="29"/>
  <c r="F124" i="29"/>
  <c r="E124" i="29"/>
  <c r="F5" i="29"/>
  <c r="H79" i="29"/>
  <c r="F75" i="29"/>
  <c r="F63" i="29"/>
  <c r="C63" i="29"/>
  <c r="E60" i="29"/>
  <c r="E55" i="29"/>
  <c r="D55" i="29"/>
  <c r="C55" i="29"/>
  <c r="D50" i="29"/>
  <c r="E49" i="29"/>
  <c r="C49" i="29"/>
  <c r="E44" i="29"/>
  <c r="D44" i="29"/>
  <c r="C44" i="29"/>
  <c r="D37" i="29"/>
  <c r="C37" i="29"/>
  <c r="F14" i="29"/>
  <c r="D14" i="29"/>
  <c r="C14" i="29"/>
  <c r="G13" i="29"/>
  <c r="F13" i="29"/>
  <c r="D13" i="29"/>
  <c r="C13" i="29"/>
  <c r="C10" i="29"/>
  <c r="C8" i="29"/>
  <c r="F7" i="29"/>
  <c r="E7" i="29"/>
  <c r="D7" i="29"/>
  <c r="C7" i="29"/>
  <c r="C5" i="29"/>
  <c r="E5" i="29"/>
  <c r="D5" i="29"/>
  <c r="C158" i="5"/>
  <c r="C81" i="5"/>
  <c r="C79" i="5"/>
  <c r="C5" i="3"/>
  <c r="C4" i="3"/>
  <c r="I12" i="11" l="1"/>
  <c r="G52" i="186"/>
  <c r="I13" i="11"/>
  <c r="B70" i="187" l="1"/>
  <c r="B69" i="187"/>
  <c r="G41" i="186"/>
  <c r="I41" i="186" s="1"/>
  <c r="G48" i="186"/>
  <c r="I48" i="186" s="1"/>
  <c r="G46" i="186"/>
  <c r="I46" i="186" s="1"/>
  <c r="E44" i="186"/>
  <c r="I44" i="186" s="1"/>
  <c r="G40" i="186"/>
  <c r="I40" i="186" s="1"/>
  <c r="E39" i="186"/>
  <c r="G21" i="186"/>
  <c r="G31" i="186"/>
  <c r="I31" i="186" s="1"/>
  <c r="G36" i="186"/>
  <c r="I36" i="186"/>
  <c r="E52" i="186"/>
  <c r="I52" i="186" s="1"/>
  <c r="C54" i="186"/>
  <c r="I51" i="186"/>
  <c r="I50" i="186"/>
  <c r="I49" i="186"/>
  <c r="I47" i="186"/>
  <c r="I45" i="186"/>
  <c r="I43" i="186"/>
  <c r="I42" i="186"/>
  <c r="I38" i="186"/>
  <c r="I37" i="186"/>
  <c r="I35" i="186"/>
  <c r="I34" i="186"/>
  <c r="I33" i="186"/>
  <c r="I32" i="186"/>
  <c r="I30" i="186"/>
  <c r="I29" i="186"/>
  <c r="I28" i="186"/>
  <c r="I27" i="186"/>
  <c r="I26" i="186"/>
  <c r="I25" i="186"/>
  <c r="I24" i="186"/>
  <c r="I23" i="186"/>
  <c r="I22" i="186"/>
  <c r="I20" i="186"/>
  <c r="I19" i="186"/>
  <c r="I18" i="186"/>
  <c r="C13" i="186"/>
  <c r="E13" i="186" l="1"/>
  <c r="E54" i="186"/>
  <c r="G54" i="186"/>
  <c r="I39" i="186"/>
  <c r="I21" i="186"/>
  <c r="G13" i="186"/>
  <c r="I54" i="186" l="1"/>
  <c r="I13" i="186"/>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B7786" i="106" s="1"/>
  <c r="H334" i="29"/>
  <c r="B7789" i="106" s="1"/>
  <c r="K282" i="29"/>
  <c r="B7784" i="106" s="1"/>
  <c r="H160" i="29"/>
  <c r="K159" i="29"/>
  <c r="K158" i="29"/>
  <c r="B7780" i="106" s="1"/>
  <c r="K157" i="29"/>
  <c r="B7778" i="106" s="1"/>
  <c r="B7795" i="106"/>
  <c r="K133" i="29"/>
  <c r="B7776" i="106" s="1"/>
  <c r="B7793" i="106"/>
  <c r="B7791" i="106"/>
  <c r="B7787" i="106"/>
  <c r="B7785" i="106"/>
  <c r="B7783" i="106"/>
  <c r="B7782"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B7758" i="106"/>
  <c r="D7758" i="106" s="1"/>
  <c r="K6" i="29"/>
  <c r="B7763" i="106" s="1"/>
  <c r="B7762" i="106"/>
  <c r="K12" i="12"/>
  <c r="K23" i="12"/>
  <c r="K24" i="12" s="1"/>
  <c r="B7733" i="106" s="1"/>
  <c r="J12" i="12"/>
  <c r="J21" i="12"/>
  <c r="J23" i="12"/>
  <c r="B7729" i="106"/>
  <c r="D7729" i="106" s="1"/>
  <c r="B7734" i="106"/>
  <c r="B7726" i="106"/>
  <c r="D76" i="36"/>
  <c r="F162" i="34"/>
  <c r="B30" i="36"/>
  <c r="B33" i="36" s="1"/>
  <c r="B43" i="36" s="1"/>
  <c r="B56" i="36" s="1"/>
  <c r="B66" i="36" s="1"/>
  <c r="B70" i="36" s="1"/>
  <c r="B74" i="36" s="1"/>
  <c r="D73" i="36"/>
  <c r="C191" i="5"/>
  <c r="B4395" i="106" s="1"/>
  <c r="D4395" i="106" s="1"/>
  <c r="C201" i="5"/>
  <c r="B5246" i="106" s="1"/>
  <c r="D5246" i="106" s="1"/>
  <c r="C211" i="5"/>
  <c r="C216" i="5"/>
  <c r="C224" i="5"/>
  <c r="C228" i="5"/>
  <c r="C259" i="5"/>
  <c r="B7761" i="106"/>
  <c r="L127" i="29"/>
  <c r="L129" i="29" s="1"/>
  <c r="L139" i="29"/>
  <c r="L149" i="29"/>
  <c r="I7" i="145"/>
  <c r="I6" i="145"/>
  <c r="D78" i="36"/>
  <c r="K75" i="29"/>
  <c r="K130" i="29"/>
  <c r="F56" i="34" s="1"/>
  <c r="K185" i="29"/>
  <c r="F14" i="4" s="1"/>
  <c r="B2597" i="106" s="1"/>
  <c r="D2597" i="106" s="1"/>
  <c r="K122" i="29"/>
  <c r="F15" i="145" s="1"/>
  <c r="F19" i="145" s="1"/>
  <c r="K67" i="29"/>
  <c r="K64" i="29"/>
  <c r="K59" i="29"/>
  <c r="D26" i="108"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B2976" i="106" s="1"/>
  <c r="D2976" i="106" s="1"/>
  <c r="K82" i="29"/>
  <c r="K83" i="29"/>
  <c r="K93" i="29"/>
  <c r="B6997" i="106" s="1"/>
  <c r="D6997" i="106" s="1"/>
  <c r="K94" i="29"/>
  <c r="B6999" i="106" s="1"/>
  <c r="D6999" i="106" s="1"/>
  <c r="K95" i="29"/>
  <c r="K96" i="29"/>
  <c r="K97" i="29"/>
  <c r="K98" i="29"/>
  <c r="B7007" i="106" s="1"/>
  <c r="D7007" i="106" s="1"/>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B3010" i="106" s="1"/>
  <c r="D3010" i="106" s="1"/>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K252" i="29"/>
  <c r="B7090" i="106" s="1"/>
  <c r="D7090" i="106" s="1"/>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s="1"/>
  <c r="B4267" i="106"/>
  <c r="D4267" i="106" s="1"/>
  <c r="J10" i="37"/>
  <c r="H29" i="118"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c r="B5101" i="106"/>
  <c r="D5101" i="106" s="1"/>
  <c r="B5103" i="106"/>
  <c r="D5103" i="106" s="1"/>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s="1"/>
  <c r="B5117" i="106"/>
  <c r="D5117" i="106" s="1"/>
  <c r="B5118" i="106"/>
  <c r="D5118" i="106" s="1"/>
  <c r="B5119" i="106"/>
  <c r="D5119" i="106" s="1"/>
  <c r="B5122" i="106"/>
  <c r="D5122" i="106"/>
  <c r="B5123" i="106"/>
  <c r="D5123" i="106"/>
  <c r="B5124" i="106"/>
  <c r="D5124" i="106"/>
  <c r="B5126" i="106"/>
  <c r="D5126" i="106"/>
  <c r="B5127" i="106"/>
  <c r="D5127" i="106"/>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s="1"/>
  <c r="B5242" i="106"/>
  <c r="D5242" i="106" s="1"/>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c r="B6735" i="106"/>
  <c r="D6735" i="106" s="1"/>
  <c r="B6736" i="106"/>
  <c r="D6736" i="106" s="1"/>
  <c r="B6737" i="106"/>
  <c r="D6737" i="106" s="1"/>
  <c r="B6738" i="106"/>
  <c r="D6738" i="106" s="1"/>
  <c r="B6739" i="106"/>
  <c r="D6739" i="106" s="1"/>
  <c r="B6740" i="106"/>
  <c r="D6740" i="106" s="1"/>
  <c r="B6741" i="106"/>
  <c r="D6741" i="106" s="1"/>
  <c r="B6742" i="106"/>
  <c r="D6742" i="106"/>
  <c r="B6743" i="106"/>
  <c r="D6743" i="106" s="1"/>
  <c r="B6744" i="106"/>
  <c r="D6744" i="106" s="1"/>
  <c r="B6745" i="106"/>
  <c r="D6745" i="106" s="1"/>
  <c r="B6746" i="106"/>
  <c r="D6746" i="106" s="1"/>
  <c r="B6747" i="106"/>
  <c r="D6747" i="106" s="1"/>
  <c r="B6748" i="106"/>
  <c r="D6748" i="106" s="1"/>
  <c r="B6749" i="106"/>
  <c r="D6749" i="106" s="1"/>
  <c r="B6750" i="106"/>
  <c r="D6750" i="106"/>
  <c r="B6751" i="106"/>
  <c r="D6751" i="106" s="1"/>
  <c r="B6752" i="106"/>
  <c r="D6752" i="106" s="1"/>
  <c r="B6753" i="106"/>
  <c r="D6753" i="106" s="1"/>
  <c r="B6754" i="106"/>
  <c r="D6754" i="106" s="1"/>
  <c r="B6755" i="106"/>
  <c r="D6755" i="106" s="1"/>
  <c r="B6756" i="106"/>
  <c r="D6756" i="106" s="1"/>
  <c r="B6757" i="106"/>
  <c r="D6757" i="106" s="1"/>
  <c r="B6758" i="106"/>
  <c r="D6758" i="106"/>
  <c r="B6759" i="106"/>
  <c r="D6759" i="106" s="1"/>
  <c r="B6760" i="106"/>
  <c r="D6760" i="106" s="1"/>
  <c r="B6761" i="106"/>
  <c r="D6761" i="106" s="1"/>
  <c r="B6762" i="106"/>
  <c r="D6762" i="106" s="1"/>
  <c r="B6763" i="106"/>
  <c r="D6763" i="106" s="1"/>
  <c r="B6764" i="106"/>
  <c r="D6764" i="106" s="1"/>
  <c r="B6765" i="106"/>
  <c r="D6765" i="106" s="1"/>
  <c r="B6766" i="106"/>
  <c r="D6766" i="106"/>
  <c r="B6767" i="106"/>
  <c r="D6767" i="106" s="1"/>
  <c r="B6768" i="106"/>
  <c r="D6768" i="106" s="1"/>
  <c r="B6769" i="106"/>
  <c r="D6769" i="106" s="1"/>
  <c r="B6770" i="106"/>
  <c r="D6770" i="106" s="1"/>
  <c r="B6771" i="106"/>
  <c r="D6771" i="106" s="1"/>
  <c r="B6772" i="106"/>
  <c r="D6772" i="106" s="1"/>
  <c r="B6773" i="106"/>
  <c r="D6773" i="106" s="1"/>
  <c r="B6774" i="106"/>
  <c r="D6774" i="106"/>
  <c r="B6775" i="106"/>
  <c r="D6775" i="106" s="1"/>
  <c r="B6776" i="106"/>
  <c r="D6776" i="106" s="1"/>
  <c r="B6777" i="106"/>
  <c r="D6777" i="106" s="1"/>
  <c r="B6778" i="106"/>
  <c r="D6778" i="106" s="1"/>
  <c r="B6779" i="106"/>
  <c r="D6779" i="106" s="1"/>
  <c r="B6780" i="106"/>
  <c r="D6780" i="106" s="1"/>
  <c r="B6781" i="106"/>
  <c r="D6781" i="106" s="1"/>
  <c r="B6782" i="106"/>
  <c r="D6782" i="106"/>
  <c r="B6783" i="106"/>
  <c r="D6783" i="106" s="1"/>
  <c r="B6784" i="106"/>
  <c r="D6784" i="106" s="1"/>
  <c r="B6785" i="106"/>
  <c r="D6785" i="106" s="1"/>
  <c r="B6786" i="106"/>
  <c r="D6786" i="106" s="1"/>
  <c r="B6787" i="106"/>
  <c r="D6787" i="106" s="1"/>
  <c r="B6788" i="106"/>
  <c r="D6788" i="106" s="1"/>
  <c r="B6789" i="106"/>
  <c r="D6789" i="106" s="1"/>
  <c r="B6790" i="106"/>
  <c r="D6790" i="106"/>
  <c r="B6791" i="106"/>
  <c r="D6791" i="106" s="1"/>
  <c r="B6792" i="106"/>
  <c r="D6792" i="106" s="1"/>
  <c r="B6793" i="106"/>
  <c r="D6793" i="106" s="1"/>
  <c r="B6794" i="106"/>
  <c r="D6794" i="106" s="1"/>
  <c r="B6795" i="106"/>
  <c r="D6795" i="106" s="1"/>
  <c r="B6796" i="106"/>
  <c r="D6796" i="106" s="1"/>
  <c r="B6797" i="106"/>
  <c r="D6797" i="106" s="1"/>
  <c r="B6798" i="106"/>
  <c r="D6798" i="106"/>
  <c r="B6799" i="106"/>
  <c r="D6799" i="106" s="1"/>
  <c r="B6800" i="106"/>
  <c r="D6800" i="106" s="1"/>
  <c r="B6801" i="106"/>
  <c r="D6801" i="106" s="1"/>
  <c r="B6802" i="106"/>
  <c r="D6802" i="106" s="1"/>
  <c r="B6803" i="106"/>
  <c r="D6803" i="106" s="1"/>
  <c r="B6804" i="106"/>
  <c r="D6804" i="106" s="1"/>
  <c r="B6805" i="106"/>
  <c r="D6805" i="106" s="1"/>
  <c r="B6806" i="106"/>
  <c r="D6806" i="106"/>
  <c r="B6807" i="106"/>
  <c r="D6807" i="106" s="1"/>
  <c r="B6808" i="106"/>
  <c r="D6808" i="106" s="1"/>
  <c r="B6809" i="106"/>
  <c r="D6809" i="106" s="1"/>
  <c r="B6810" i="106"/>
  <c r="D6810" i="106" s="1"/>
  <c r="B6811" i="106"/>
  <c r="D6811" i="106" s="1"/>
  <c r="B6812" i="106"/>
  <c r="D6812" i="106" s="1"/>
  <c r="B6813" i="106"/>
  <c r="D6813" i="106" s="1"/>
  <c r="B6814" i="106"/>
  <c r="D6814" i="106"/>
  <c r="B6815" i="106"/>
  <c r="D6815" i="106" s="1"/>
  <c r="B6816" i="106"/>
  <c r="D6816" i="106" s="1"/>
  <c r="B6817" i="106"/>
  <c r="D6817" i="106" s="1"/>
  <c r="B6818" i="106"/>
  <c r="D6818" i="106" s="1"/>
  <c r="B6819" i="106"/>
  <c r="D6819" i="106" s="1"/>
  <c r="B6820" i="106"/>
  <c r="D6820" i="106" s="1"/>
  <c r="B6821" i="106"/>
  <c r="D6821" i="106" s="1"/>
  <c r="B6822" i="106"/>
  <c r="D6822" i="106"/>
  <c r="B6823" i="106"/>
  <c r="D6823" i="106" s="1"/>
  <c r="B6824" i="106"/>
  <c r="D6824" i="106" s="1"/>
  <c r="B6825" i="106"/>
  <c r="D6825" i="106" s="1"/>
  <c r="B6826" i="106"/>
  <c r="D6826" i="106" s="1"/>
  <c r="B6827" i="106"/>
  <c r="D6827" i="106" s="1"/>
  <c r="B6828" i="106"/>
  <c r="D6828" i="106" s="1"/>
  <c r="B6829" i="106"/>
  <c r="D6829" i="106" s="1"/>
  <c r="B6830" i="106"/>
  <c r="D6830" i="106"/>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3" i="106"/>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E26" i="108"/>
  <c r="F26" i="108"/>
  <c r="G26" i="108"/>
  <c r="D27" i="108"/>
  <c r="E27" i="108"/>
  <c r="F27" i="108"/>
  <c r="G27" i="108"/>
  <c r="E28" i="108"/>
  <c r="F31" i="108"/>
  <c r="F37" i="108"/>
  <c r="G28" i="108"/>
  <c r="E29" i="108"/>
  <c r="D31" i="108"/>
  <c r="D37" i="108"/>
  <c r="E31" i="108"/>
  <c r="G31" i="108"/>
  <c r="E33" i="108"/>
  <c r="G33" i="108"/>
  <c r="E34"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F49" i="34"/>
  <c r="C50" i="34"/>
  <c r="D50" i="34"/>
  <c r="C51" i="34"/>
  <c r="D51" i="34"/>
  <c r="C52" i="34"/>
  <c r="F52" i="34"/>
  <c r="C53" i="34"/>
  <c r="D53" i="34"/>
  <c r="C56" i="34"/>
  <c r="C57" i="34"/>
  <c r="D57" i="34"/>
  <c r="C61" i="34"/>
  <c r="C62" i="34"/>
  <c r="C63" i="34"/>
  <c r="D63" i="34"/>
  <c r="C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c r="D5562" i="106" s="1"/>
  <c r="G18" i="5"/>
  <c r="B5730" i="106" s="1"/>
  <c r="D5730" i="106" s="1"/>
  <c r="H18" i="5"/>
  <c r="B5878" i="106" s="1"/>
  <c r="D5878" i="106" s="1"/>
  <c r="I18" i="5"/>
  <c r="B5923" i="106" s="1"/>
  <c r="D5923" i="106" s="1"/>
  <c r="J18" i="5"/>
  <c r="B6306" i="106"/>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72" i="5"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I274" i="5"/>
  <c r="G5" i="4"/>
  <c r="B3409" i="106" s="1"/>
  <c r="D3409" i="106" s="1"/>
  <c r="G14" i="4"/>
  <c r="B2609" i="106" s="1"/>
  <c r="D2609" i="106" s="1"/>
  <c r="C14" i="4"/>
  <c r="B2558" i="106" s="1"/>
  <c r="D2558" i="106" s="1"/>
  <c r="D14" i="4"/>
  <c r="B2570" i="106" s="1"/>
  <c r="D2570" i="106" s="1"/>
  <c r="B2633" i="106"/>
  <c r="D2633" i="106" s="1"/>
  <c r="D7" i="118"/>
  <c r="D8" i="118"/>
  <c r="D9" i="118"/>
  <c r="H14" i="118"/>
  <c r="H19" i="118"/>
  <c r="H24" i="118"/>
  <c r="H28" i="118"/>
  <c r="H33" i="118"/>
  <c r="J22" i="37"/>
  <c r="L22" i="37"/>
  <c r="D13" i="7"/>
  <c r="B3726" i="106" s="1"/>
  <c r="D3726" i="106" s="1"/>
  <c r="D9" i="7"/>
  <c r="B1767" i="106" s="1"/>
  <c r="D1767" i="106" s="1"/>
  <c r="F131" i="34"/>
  <c r="B5847" i="106"/>
  <c r="D5847" i="106" s="1"/>
  <c r="B1746" i="106"/>
  <c r="D1746" i="106" s="1"/>
  <c r="D12" i="7"/>
  <c r="B1769" i="106" s="1"/>
  <c r="D1769" i="106" s="1"/>
  <c r="I173" i="5" l="1"/>
  <c r="B4216" i="106" s="1"/>
  <c r="D4216" i="106" s="1"/>
  <c r="F44" i="34"/>
  <c r="F106" i="34"/>
  <c r="F50" i="34"/>
  <c r="J352" i="29"/>
  <c r="G210" i="29"/>
  <c r="L367" i="29"/>
  <c r="B5752" i="106"/>
  <c r="D5752" i="106" s="1"/>
  <c r="J129" i="29"/>
  <c r="B7038" i="106" s="1"/>
  <c r="D7038" i="106" s="1"/>
  <c r="F136" i="34"/>
  <c r="D6103" i="106"/>
  <c r="F21" i="8"/>
  <c r="B1879" i="106" s="1"/>
  <c r="D1879" i="106" s="1"/>
  <c r="B1124" i="106"/>
  <c r="D1124" i="106" s="1"/>
  <c r="D17" i="7"/>
  <c r="B4104" i="106" s="1"/>
  <c r="D4104" i="106" s="1"/>
  <c r="D24" i="37"/>
  <c r="B4270" i="106" s="1"/>
  <c r="D4270" i="106" s="1"/>
  <c r="D5" i="4"/>
  <c r="B3406" i="106" s="1"/>
  <c r="D3406" i="106" s="1"/>
  <c r="I210" i="29"/>
  <c r="K28" i="118"/>
  <c r="O27" i="118" s="1"/>
  <c r="O29" i="118" s="1"/>
  <c r="K350" i="29"/>
  <c r="B3670" i="106" s="1"/>
  <c r="D3670" i="106" s="1"/>
  <c r="F28" i="108"/>
  <c r="F34" i="34"/>
  <c r="F128" i="34"/>
  <c r="C109" i="5"/>
  <c r="B5121" i="106" s="1"/>
  <c r="D5121" i="106" s="1"/>
  <c r="D4" i="7"/>
  <c r="B1760" i="106" s="1"/>
  <c r="D1760" i="106" s="1"/>
  <c r="B5066" i="106"/>
  <c r="D5066" i="106" s="1"/>
  <c r="L15" i="11"/>
  <c r="B3459" i="106" s="1"/>
  <c r="D3459" i="106" s="1"/>
  <c r="L13" i="11"/>
  <c r="B2060" i="106" s="1"/>
  <c r="D2060" i="106" s="1"/>
  <c r="L5" i="11"/>
  <c r="B2056" i="106" s="1"/>
  <c r="D2056" i="106" s="1"/>
  <c r="B4268" i="106"/>
  <c r="D4268" i="106" s="1"/>
  <c r="B3649" i="106"/>
  <c r="D3649" i="106" s="1"/>
  <c r="G367" i="29"/>
  <c r="B3650" i="106" s="1"/>
  <c r="D3650" i="106" s="1"/>
  <c r="G173" i="5"/>
  <c r="B5778" i="106" s="1"/>
  <c r="D5778" i="106" s="1"/>
  <c r="B5770" i="106"/>
  <c r="D5770" i="106" s="1"/>
  <c r="D31" i="36"/>
  <c r="H365" i="29"/>
  <c r="B2836" i="106"/>
  <c r="D2836" i="106" s="1"/>
  <c r="I24" i="12"/>
  <c r="B6289" i="106"/>
  <c r="D6289" i="106" s="1"/>
  <c r="B3621" i="106"/>
  <c r="D3621" i="106" s="1"/>
  <c r="C367" i="29"/>
  <c r="H109" i="5"/>
  <c r="F111" i="34"/>
  <c r="D22" i="37"/>
  <c r="B7041" i="106"/>
  <c r="D7041" i="106" s="1"/>
  <c r="E109" i="5"/>
  <c r="E4" i="4" s="1"/>
  <c r="B2630" i="106" s="1"/>
  <c r="D2630" i="106" s="1"/>
  <c r="C172" i="5"/>
  <c r="F127" i="34"/>
  <c r="D5" i="7"/>
  <c r="B1761" i="106" s="1"/>
  <c r="D1761" i="106" s="1"/>
  <c r="D11" i="37"/>
  <c r="K173" i="5"/>
  <c r="K6" i="4" s="1"/>
  <c r="B3570" i="106" s="1"/>
  <c r="D3570" i="106" s="1"/>
  <c r="F45" i="34"/>
  <c r="F36" i="34"/>
  <c r="G39" i="108"/>
  <c r="D36" i="108"/>
  <c r="D41" i="108" s="1"/>
  <c r="E43" i="108" s="1"/>
  <c r="F36" i="108"/>
  <c r="F41" i="108" s="1"/>
  <c r="G43" i="108" s="1"/>
  <c r="H112" i="29"/>
  <c r="B7018" i="106" s="1"/>
  <c r="D7018" i="106" s="1"/>
  <c r="K285" i="29"/>
  <c r="B1329" i="106"/>
  <c r="D1329" i="106" s="1"/>
  <c r="F61" i="34"/>
  <c r="E15" i="145"/>
  <c r="G15" i="145" s="1"/>
  <c r="D109" i="5"/>
  <c r="F62" i="34"/>
  <c r="H173" i="5"/>
  <c r="H275" i="5" s="1"/>
  <c r="D69" i="36"/>
  <c r="I342" i="29"/>
  <c r="B7222" i="106" s="1"/>
  <c r="D7222" i="106" s="1"/>
  <c r="H22" i="37"/>
  <c r="G109" i="5"/>
  <c r="B6995" i="106"/>
  <c r="D6995" i="106" s="1"/>
  <c r="D15" i="7"/>
  <c r="B1772" i="106" s="1"/>
  <c r="D1772" i="106" s="1"/>
  <c r="K274" i="5"/>
  <c r="B6022" i="106" s="1"/>
  <c r="D6022" i="106" s="1"/>
  <c r="F130" i="34"/>
  <c r="N22" i="3"/>
  <c r="B283" i="106" s="1"/>
  <c r="D283" i="106" s="1"/>
  <c r="B5304" i="106"/>
  <c r="D5304" i="106" s="1"/>
  <c r="L342" i="29"/>
  <c r="E38" i="108"/>
  <c r="G30" i="108"/>
  <c r="K26" i="12"/>
  <c r="B7743" i="106" s="1"/>
  <c r="D7743" i="106" s="1"/>
  <c r="K41" i="3"/>
  <c r="H76" i="4"/>
  <c r="B3298" i="106" s="1"/>
  <c r="D3298" i="106" s="1"/>
  <c r="B2805" i="106"/>
  <c r="D2805" i="106" s="1"/>
  <c r="B2724" i="106"/>
  <c r="D2724" i="106" s="1"/>
  <c r="F41" i="34"/>
  <c r="E30" i="108"/>
  <c r="D54" i="36"/>
  <c r="H342" i="29"/>
  <c r="B7221" i="106" s="1"/>
  <c r="D7221" i="106" s="1"/>
  <c r="E174" i="29"/>
  <c r="B1309" i="106" s="1"/>
  <c r="D1309" i="106" s="1"/>
  <c r="F19" i="7"/>
  <c r="B1807" i="106" s="1"/>
  <c r="D1807" i="106" s="1"/>
  <c r="G38" i="108"/>
  <c r="K184" i="29"/>
  <c r="F13" i="4" s="1"/>
  <c r="B2596" i="106" s="1"/>
  <c r="D2596" i="106" s="1"/>
  <c r="D11" i="7"/>
  <c r="B1768" i="106" s="1"/>
  <c r="D1768" i="106" s="1"/>
  <c r="D7" i="7"/>
  <c r="B1763" i="106" s="1"/>
  <c r="D1763" i="106" s="1"/>
  <c r="F172" i="5"/>
  <c r="B5644" i="106" s="1"/>
  <c r="D5644" i="106" s="1"/>
  <c r="L312" i="29"/>
  <c r="G29" i="108"/>
  <c r="B3689" i="106"/>
  <c r="D3689" i="106" s="1"/>
  <c r="B1410" i="106"/>
  <c r="D1410"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I6" i="4"/>
  <c r="B5011" i="106" s="1"/>
  <c r="D5011"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G6" i="4"/>
  <c r="B2604" i="106" s="1"/>
  <c r="D2604" i="106" s="1"/>
  <c r="D44" i="3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D274" i="5"/>
  <c r="B7270" i="106"/>
  <c r="D7251" i="106" l="1"/>
  <c r="D7250" i="106"/>
  <c r="B1365" i="106"/>
  <c r="D1365" i="106" s="1"/>
  <c r="F65" i="34"/>
  <c r="J367" i="29"/>
  <c r="B7245" i="106" s="1"/>
  <c r="D7245" i="106" s="1"/>
  <c r="B7235" i="106"/>
  <c r="D7235" i="106" s="1"/>
  <c r="D7254" i="106"/>
  <c r="D7255" i="106"/>
  <c r="K7" i="4"/>
  <c r="B3718" i="106" s="1"/>
  <c r="D3718" i="106" s="1"/>
  <c r="D7256" i="106"/>
  <c r="D7253" i="106"/>
  <c r="B6014" i="106"/>
  <c r="D6014" i="106" s="1"/>
  <c r="B7071" i="106"/>
  <c r="D7071" i="106" s="1"/>
  <c r="F66" i="34"/>
  <c r="N23" i="3"/>
  <c r="B284" i="106" s="1"/>
  <c r="D284" i="106" s="1"/>
  <c r="K367" i="29"/>
  <c r="K352" i="29"/>
  <c r="K342" i="29"/>
  <c r="F13" i="34" s="1"/>
  <c r="H77" i="4"/>
  <c r="B3299" i="106" s="1"/>
  <c r="D3299" i="106" s="1"/>
  <c r="B1381" i="106"/>
  <c r="D1381" i="106" s="1"/>
  <c r="B1317" i="106"/>
  <c r="D1317" i="106" s="1"/>
  <c r="C114" i="29"/>
  <c r="B757" i="106" s="1"/>
  <c r="D757" i="106" s="1"/>
  <c r="C4" i="4"/>
  <c r="B2551" i="106" s="1"/>
  <c r="D2551" i="106" s="1"/>
  <c r="L16" i="11"/>
  <c r="B2061" i="106" s="1"/>
  <c r="D2061" i="106" s="1"/>
  <c r="L114" i="29"/>
  <c r="B5527" i="106"/>
  <c r="D5527" i="106" s="1"/>
  <c r="F274" i="5"/>
  <c r="F173" i="5"/>
  <c r="B6024" i="106"/>
  <c r="D6024" i="106" s="1"/>
  <c r="G4" i="4"/>
  <c r="B2603" i="106" s="1"/>
  <c r="D2603" i="106" s="1"/>
  <c r="H367" i="29"/>
  <c r="B3660" i="106" s="1"/>
  <c r="D3660" i="106" s="1"/>
  <c r="B7242" i="106"/>
  <c r="D7242" i="106" s="1"/>
  <c r="I26" i="12"/>
  <c r="B7741" i="106" s="1"/>
  <c r="D7741" i="106" s="1"/>
  <c r="B1996" i="106"/>
  <c r="D1996" i="106" s="1"/>
  <c r="B5356" i="106"/>
  <c r="D5356" i="106" s="1"/>
  <c r="D4" i="4"/>
  <c r="B2564" i="106" s="1"/>
  <c r="D2564" i="106" s="1"/>
  <c r="D19" i="7"/>
  <c r="B1775" i="106" s="1"/>
  <c r="D1775" i="106" s="1"/>
  <c r="F73" i="34"/>
  <c r="G15" i="4"/>
  <c r="B6032" i="106" s="1"/>
  <c r="D6032" i="106" s="1"/>
  <c r="B6025" i="106"/>
  <c r="D6025" i="106" s="1"/>
  <c r="H4" i="4"/>
  <c r="B5906" i="106"/>
  <c r="D5906" i="106" s="1"/>
  <c r="H6" i="4"/>
  <c r="B2656" i="106" s="1"/>
  <c r="D2656" i="106" s="1"/>
  <c r="D7252" i="106"/>
  <c r="B3568" i="106"/>
  <c r="D3568" i="106" s="1"/>
  <c r="D52" i="36"/>
  <c r="B5214" i="106"/>
  <c r="D5214" i="106" s="1"/>
  <c r="C173"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D7" i="4"/>
  <c r="B5507" i="106"/>
  <c r="D5507" i="106" s="1"/>
  <c r="B7298" i="106"/>
  <c r="B7299" i="106"/>
  <c r="K13" i="4" l="1"/>
  <c r="B3572" i="106" s="1"/>
  <c r="D3572" i="106" s="1"/>
  <c r="B3672" i="106"/>
  <c r="D3672" i="106" s="1"/>
  <c r="B1145" i="106"/>
  <c r="D1145" i="106" s="1"/>
  <c r="B2655" i="106"/>
  <c r="D2655" i="106" s="1"/>
  <c r="H8" i="4"/>
  <c r="B5223" i="106"/>
  <c r="D5223" i="106" s="1"/>
  <c r="C6" i="4"/>
  <c r="B2553" i="106" s="1"/>
  <c r="D2553" i="106" s="1"/>
  <c r="G41" i="108"/>
  <c r="G44" i="108" s="1"/>
  <c r="G45" i="108" s="1"/>
  <c r="J8" i="4"/>
  <c r="J10" i="4" s="1"/>
  <c r="B6225" i="106" s="1"/>
  <c r="D6225" i="106" s="1"/>
  <c r="E41" i="108"/>
  <c r="E44" i="108" s="1"/>
  <c r="E45" i="108" s="1"/>
  <c r="B5653" i="106"/>
  <c r="D5653" i="106" s="1"/>
  <c r="F6" i="4"/>
  <c r="F275" i="5"/>
  <c r="B5720" i="106" s="1"/>
  <c r="D5720"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D8" i="4"/>
  <c r="B2567" i="106"/>
  <c r="D2567" i="106" s="1"/>
  <c r="K17" i="4" l="1"/>
  <c r="B3575" i="106" s="1"/>
  <c r="D3575" i="106" s="1"/>
  <c r="B6223" i="106"/>
  <c r="D6223" i="106" s="1"/>
  <c r="J20" i="4"/>
  <c r="D10" i="171"/>
  <c r="D19" i="171" s="1"/>
  <c r="D32" i="171" s="1"/>
  <c r="D49" i="171" s="1"/>
  <c r="B2658" i="106"/>
  <c r="D2658" i="106" s="1"/>
  <c r="H10" i="4"/>
  <c r="B4127" i="106" s="1"/>
  <c r="D4127" i="106" s="1"/>
  <c r="B2593" i="106"/>
  <c r="D2593" i="106" s="1"/>
  <c r="F8" i="4"/>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H13" i="118" l="1"/>
  <c r="K19" i="4"/>
  <c r="B4144" i="106" s="1"/>
  <c r="D4144" i="106" s="1"/>
  <c r="D8" i="146"/>
  <c r="F10" i="4"/>
  <c r="B4125" i="106" s="1"/>
  <c r="D4125" i="106" s="1"/>
  <c r="B2595" i="106"/>
  <c r="D2595"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F8" i="146"/>
  <c r="D10" i="146"/>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E78" i="4"/>
  <c r="B2636" i="106"/>
  <c r="D2636" i="106" s="1"/>
  <c r="D64" i="36"/>
  <c r="J82" i="4"/>
  <c r="B6266" i="106"/>
  <c r="D6266" i="106" s="1"/>
  <c r="D81" i="4"/>
  <c r="B3239" i="106"/>
  <c r="D3239" i="106" s="1"/>
  <c r="F10" i="146" l="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<sst xmlns="http://schemas.openxmlformats.org/spreadsheetml/2006/main" count="5174" uniqueCount="2226">
  <si>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</si>
  <si>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</si>
  <si>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</si>
  <si>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</si>
  <si>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</si>
  <si>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</si>
  <si>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</si>
  <si>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</si>
  <si>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</si>
  <si>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</si>
  <si>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</si>
  <si>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</si>
  <si>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</si>
  <si>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</si>
  <si>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</si>
  <si>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</si>
  <si>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</si>
  <si>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</si>
  <si>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</si>
  <si>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</si>
  <si>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</si>
  <si>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</si>
  <si>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</si>
  <si>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</si>
  <si>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</si>
  <si>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</si>
  <si>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</si>
  <si>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</si>
  <si>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</si>
  <si>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</si>
  <si>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</si>
  <si>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</si>
  <si>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</si>
  <si>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</si>
  <si>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</si>
  <si>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</si>
  <si>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</si>
  <si>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</si>
  <si>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</si>
  <si>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</si>
  <si>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</si>
  <si>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</si>
  <si>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</si>
  <si>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</si>
  <si>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</si>
  <si>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</si>
  <si>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</si>
  <si>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</si>
  <si>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</si>
  <si>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</si>
  <si>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</si>
  <si>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</si>
  <si>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</si>
  <si>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</si>
  <si>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</si>
  <si>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</si>
  <si>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</si>
  <si>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</si>
  <si>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</si>
  <si>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</si>
  <si>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</si>
  <si>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</si>
  <si>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</si>
  <si>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</si>
  <si>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</si>
  <si>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</si>
  <si>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</si>
  <si>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</si>
  <si>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</si>
  <si>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</si>
  <si>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</si>
  <si>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</si>
  <si>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</si>
  <si>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</si>
  <si>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</si>
  <si>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</si>
  <si>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</si>
  <si>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</si>
  <si>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</si>
  <si>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</si>
  <si>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</si>
  <si>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</si>
  <si>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</si>
  <si>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</si>
  <si>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</si>
  <si>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</si>
  <si>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</si>
  <si>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</si>
  <si>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</si>
  <si>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</si>
  <si>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</si>
  <si>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</si>
  <si>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</si>
  <si>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</si>
  <si>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</si>
  <si>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</si>
  <si>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</si>
  <si>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</si>
  <si>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</si>
  <si>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</si>
  <si>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</si>
  <si>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</si>
  <si>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</si>
  <si>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</si>
  <si>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</si>
  <si>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</si>
  <si>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</si>
  <si>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</si>
  <si>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</si>
  <si>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</si>
  <si>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</si>
  <si>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</si>
  <si>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</si>
  <si>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</si>
  <si>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</si>
  <si>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</si>
  <si>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</si>
  <si>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</si>
  <si>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</si>
  <si>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</si>
  <si>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</si>
  <si>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</si>
  <si>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</si>
  <si>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</si>
  <si>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</si>
  <si>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</si>
  <si>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</si>
  <si>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</si>
  <si>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</si>
  <si>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</si>
  <si>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</si>
  <si>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</si>
  <si>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</si>
  <si>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</si>
  <si>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</si>
  <si>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</si>
  <si>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</si>
  <si>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</si>
  <si>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</si>
  <si>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</si>
  <si>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</si>
  <si>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</si>
  <si>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</si>
  <si>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</si>
  <si>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</si>
  <si>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</si>
  <si>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</si>
  <si>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</si>
  <si>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</si>
  <si>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</si>
  <si>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</si>
  <si>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</si>
  <si>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</si>
  <si>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</si>
  <si>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</si>
  <si>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</si>
  <si>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</si>
  <si>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</si>
  <si>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</si>
  <si>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</si>
  <si>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</si>
  <si>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</si>
  <si>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</si>
  <si>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</si>
  <si>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</si>
  <si>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</si>
  <si>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</si>
  <si>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</si>
  <si>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</si>
  <si>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</si>
  <si>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</si>
  <si>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</si>
  <si>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</si>
  <si>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</si>
  <si>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</si>
  <si>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</si>
  <si>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</si>
  <si>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</si>
  <si>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</si>
  <si>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</si>
  <si>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</si>
  <si>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</si>
  <si>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</si>
  <si>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</si>
  <si>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</si>
  <si>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</si>
  <si>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</si>
  <si>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</si>
  <si>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</si>
  <si>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</si>
  <si>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</si>
  <si>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</si>
  <si>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</si>
  <si>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</si>
  <si>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</si>
  <si>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</si>
  <si>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</si>
  <si>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</si>
  <si>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</si>
  <si>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</si>
  <si>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</si>
  <si>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</si>
  <si>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</si>
  <si>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</si>
  <si>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</si>
  <si>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</si>
  <si>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</si>
  <si>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</si>
  <si>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</si>
  <si>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</si>
  <si>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</si>
  <si>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</si>
  <si>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</si>
  <si>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</si>
  <si>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</si>
  <si>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</si>
  <si>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</si>
  <si>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</si>
  <si>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</si>
  <si>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</si>
  <si>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</si>
  <si>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</si>
  <si>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</si>
  <si>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</si>
  <si>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</si>
  <si>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</si>
  <si>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</si>
  <si>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</si>
  <si>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</si>
  <si>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</si>
  <si>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</si>
  <si>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</si>
  <si>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</si>
  <si>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</si>
  <si>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</si>
  <si>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</si>
  <si>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</si>
  <si>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</si>
  <si>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</si>
  <si>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</si>
  <si>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</si>
  <si>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</si>
  <si>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</si>
  <si>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</si>
  <si>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</si>
  <si>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</si>
  <si>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</si>
  <si>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</si>
  <si>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</si>
  <si>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</si>
  <si>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</si>
  <si>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</si>
  <si>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</si>
  <si>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</si>
  <si>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</si>
  <si>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</si>
  <si>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</si>
  <si>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</si>
  <si>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</si>
  <si>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</si>
  <si>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</si>
  <si>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</si>
  <si>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</si>
  <si>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</si>
  <si>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</si>
  <si>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</si>
  <si>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</si>
  <si>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</si>
  <si>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</si>
  <si>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</si>
  <si>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</si>
  <si>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</si>
  <si>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</si>
  <si>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</si>
  <si>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</si>
  <si>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</si>
  <si>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</si>
  <si>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</si>
  <si>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</si>
  <si>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</si>
  <si>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</si>
  <si>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</si>
  <si>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</si>
  <si>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</si>
  <si>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</si>
  <si>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</si>
  <si>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</si>
  <si>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</si>
  <si>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</si>
  <si>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</si>
  <si>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</si>
  <si>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</si>
  <si>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</si>
  <si>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</si>
  <si>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</si>
  <si>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</si>
  <si>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</si>
  <si>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</si>
  <si>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</si>
  <si>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</si>
  <si>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</si>
  <si>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</si>
  <si>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</si>
  <si>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</si>
  <si>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</si>
  <si>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</si>
  <si>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</si>
  <si>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</si>
  <si>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</si>
  <si>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</si>
  <si>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</si>
  <si>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</si>
  <si>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</si>
  <si>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</si>
  <si>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</si>
  <si>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</si>
  <si>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</si>
  <si>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</si>
  <si>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</si>
  <si>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</si>
  <si>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</si>
  <si>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</si>
  <si>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</si>
  <si>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</si>
  <si>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</si>
  <si>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</si>
  <si>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</si>
  <si>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</si>
  <si>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</si>
  <si>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</si>
  <si>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</si>
  <si>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</si>
  <si>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</si>
  <si>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</si>
  <si>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</si>
  <si>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</si>
  <si>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</si>
  <si>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</si>
  <si>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</si>
  <si>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</si>
  <si>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</si>
  <si>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</si>
  <si>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</si>
  <si>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</si>
  <si>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</si>
  <si>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</si>
  <si>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</si>
  <si>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</si>
  <si>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</si>
  <si>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</si>
  <si>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</si>
  <si>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</si>
  <si>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</si>
  <si>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</si>
  <si>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</si>
  <si>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</si>
  <si>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</si>
  <si>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</si>
  <si>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</si>
  <si>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</si>
  <si>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</si>
  <si>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</si>
  <si>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</si>
  <si>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</si>
  <si>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</si>
  <si>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</si>
  <si>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</si>
  <si>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</si>
  <si>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</si>
  <si>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</si>
  <si>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</si>
  <si>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</si>
  <si>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</si>
  <si>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</si>
  <si>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</si>
  <si>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</si>
  <si>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</si>
  <si>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</si>
  <si>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</si>
  <si>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</si>
  <si>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</si>
  <si>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</si>
  <si>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</si>
  <si>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</si>
  <si>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</si>
  <si>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</si>
  <si>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</si>
  <si>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</si>
  <si>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</si>
  <si>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</si>
  <si>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</si>
  <si>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</si>
  <si>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</si>
  <si>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</si>
  <si>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</si>
  <si>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</si>
  <si>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</si>
  <si>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</si>
  <si>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</si>
  <si>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</si>
  <si>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</si>
  <si>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</si>
  <si>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</si>
  <si>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</si>
  <si>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</si>
  <si>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</si>
  <si>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</si>
  <si>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</si>
  <si>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</si>
  <si>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</si>
  <si>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</si>
  <si>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</si>
  <si>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</si>
  <si>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</si>
  <si>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</si>
  <si>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</si>
  <si>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</si>
  <si>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</si>
  <si>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</si>
  <si>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</si>
  <si>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</si>
  <si>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</si>
  <si>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</si>
  <si>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</si>
  <si>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</si>
  <si>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</si>
  <si>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</si>
  <si>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</si>
  <si>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</si>
  <si>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</si>
  <si>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</si>
  <si>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</si>
  <si>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</si>
  <si>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</si>
  <si>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</si>
  <si>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</si>
  <si>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</si>
  <si>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</si>
  <si>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</si>
  <si>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</si>
  <si>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</si>
  <si>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</si>
  <si>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</si>
  <si>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</si>
  <si>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</si>
  <si>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</si>
  <si>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</si>
  <si>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</si>
  <si>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</si>
  <si>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</si>
  <si>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</si>
  <si>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</si>
  <si>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</si>
  <si>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</si>
  <si>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</si>
  <si>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</si>
  <si>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</si>
  <si>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</si>
  <si>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</si>
  <si>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</si>
  <si>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</si>
  <si>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</si>
  <si>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</si>
  <si>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</si>
  <si>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</si>
  <si>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</si>
  <si>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</si>
  <si>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</si>
  <si>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</si>
  <si>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</si>
  <si>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</si>
  <si>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</si>
  <si>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</si>
  <si>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</si>
  <si>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</si>
  <si>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</si>
  <si>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</si>
  <si>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</si>
  <si>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</si>
  <si>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</si>
  <si>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</si>
  <si>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</si>
  <si>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</si>
  <si>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</si>
  <si>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</si>
  <si>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</si>
  <si>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</si>
  <si>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</si>
  <si>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</si>
  <si>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</si>
  <si>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</si>
  <si>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</si>
  <si>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</si>
  <si>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</si>
  <si>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</si>
  <si>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</si>
  <si>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</si>
  <si>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</si>
  <si>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</si>
  <si>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</si>
  <si>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</si>
  <si>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</si>
  <si>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</si>
  <si>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</si>
  <si>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</si>
  <si>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</si>
  <si>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</si>
  <si>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</si>
  <si>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</si>
  <si>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</si>
  <si>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</si>
  <si>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</si>
  <si>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</si>
  <si>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</si>
  <si>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</si>
  <si>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</si>
  <si>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</si>
  <si>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</si>
  <si>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</si>
  <si>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</si>
  <si>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</si>
  <si>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</si>
  <si>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</si>
  <si>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</si>
  <si>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</si>
  <si>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</si>
  <si>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</si>
  <si>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</si>
  <si>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</si>
  <si>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</si>
  <si>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</si>
  <si>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</si>
  <si>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</si>
  <si>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</si>
  <si>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</si>
  <si>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</si>
  <si>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</si>
  <si>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</si>
  <si>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</si>
  <si>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</si>
  <si>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</si>
  <si>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</si>
  <si>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</si>
  <si>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</si>
  <si>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</si>
  <si>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</si>
  <si>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</si>
  <si>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</si>
  <si>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</si>
  <si>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</si>
  <si>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</si>
  <si>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</si>
  <si>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</si>
  <si>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</si>
  <si>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</si>
  <si>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</si>
  <si>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</si>
  <si>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</si>
  <si>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</si>
  <si>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</si>
  <si>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</si>
  <si>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</si>
  <si>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</si>
  <si>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</si>
  <si>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</si>
  <si>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</si>
  <si>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</si>
  <si>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</si>
  <si>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</si>
  <si>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</si>
  <si>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</si>
  <si>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</si>
  <si>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</si>
  <si>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</si>
  <si>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</si>
  <si>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</si>
  <si>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</si>
  <si>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</si>
  <si>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</si>
  <si>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</si>
  <si>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</si>
  <si>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</si>
  <si>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</si>
  <si>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</si>
  <si>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</si>
  <si>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</si>
  <si>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</si>
  <si>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</si>
  <si>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</si>
  <si>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</si>
  <si>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</si>
  <si>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</si>
  <si>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</si>
  <si>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</si>
  <si>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</si>
  <si>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</si>
  <si>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</si>
  <si>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</si>
  <si>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</si>
  <si>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</si>
  <si>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</si>
  <si>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</si>
  <si>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</si>
  <si>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</si>
  <si>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</si>
  <si>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</si>
  <si>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</si>
  <si>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</si>
  <si>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</si>
  <si>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</si>
  <si>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</si>
  <si>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</si>
  <si>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</si>
  <si>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</si>
  <si>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</si>
  <si>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</si>
  <si>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</si>
  <si>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</si>
  <si>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</si>
  <si>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</si>
  <si>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</si>
  <si>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</si>
  <si>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</si>
  <si>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</si>
  <si>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</si>
  <si>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</si>
  <si>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</si>
  <si>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</si>
  <si>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</si>
  <si>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</si>
  <si>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</si>
  <si>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</si>
  <si>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</si>
  <si>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</si>
  <si>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</si>
  <si>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</si>
  <si>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</si>
  <si>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</si>
  <si>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</si>
  <si>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</si>
  <si>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</si>
  <si>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</si>
  <si>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</si>
  <si>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</si>
  <si>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</si>
  <si>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</si>
  <si>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</si>
  <si>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</si>
  <si>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</si>
  <si>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</si>
  <si>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</si>
  <si>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</si>
  <si>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</si>
  <si>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</si>
  <si>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</si>
  <si>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</si>
  <si>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</si>
  <si>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</si>
  <si>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</si>
  <si>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</si>
  <si>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</si>
  <si>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</si>
  <si>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</si>
  <si>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</si>
  <si>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</si>
  <si>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</si>
  <si>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</si>
  <si>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</si>
  <si>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</si>
  <si>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</si>
  <si>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</si>
  <si>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</si>
  <si>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</si>
  <si>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</si>
  <si>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</si>
  <si>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</si>
  <si>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</si>
  <si>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</si>
  <si>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</si>
  <si>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</si>
  <si>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</si>
  <si>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</si>
  <si>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</si>
  <si>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</si>
  <si>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</si>
  <si>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</si>
  <si>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</si>
  <si>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</si>
  <si>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</si>
  <si>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</si>
  <si>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</si>
  <si>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</si>
  <si>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</si>
  <si>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</si>
  <si>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</si>
  <si>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</si>
  <si>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</si>
  <si>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</si>
  <si>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</si>
  <si>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</si>
  <si>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</si>
  <si>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</si>
  <si>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</si>
  <si>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</si>
  <si>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</si>
  <si>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</si>
  <si>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</si>
  <si>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</si>
  <si>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</si>
  <si>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</si>
  <si>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</si>
  <si>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</si>
  <si>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</si>
  <si>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</si>
  <si>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</si>
  <si>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</si>
  <si>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</si>
  <si>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</si>
  <si>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</si>
  <si>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</si>
  <si>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</si>
  <si>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</si>
  <si>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</si>
  <si>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</si>
  <si>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</si>
  <si>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</si>
  <si>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</si>
  <si>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</si>
  <si>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</si>
  <si>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</si>
  <si>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</si>
  <si>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</si>
  <si>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</si>
  <si>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</si>
  <si>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</si>
  <si>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</si>
  <si>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</si>
  <si>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</si>
  <si>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</si>
  <si>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</si>
  <si>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</si>
  <si>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</si>
  <si>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</si>
  <si>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</si>
  <si>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</si>
  <si>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</si>
  <si>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</si>
  <si>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</si>
  <si>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</si>
  <si>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</si>
  <si>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</si>
  <si>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</si>
  <si>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</si>
  <si>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</si>
  <si>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</si>
  <si>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</si>
  <si>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</si>
  <si>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</si>
  <si>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</si>
  <si>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</si>
  <si>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</si>
  <si>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</si>
  <si>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</si>
  <si>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</si>
  <si>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</si>
  <si>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</si>
  <si>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</si>
  <si>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</si>
  <si>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</si>
  <si>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</si>
  <si>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</si>
  <si>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</si>
  <si>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</si>
  <si>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</si>
  <si>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</si>
  <si>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</si>
  <si>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</si>
  <si>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</si>
  <si>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</si>
  <si>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</si>
  <si>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</si>
  <si>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</si>
  <si>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</si>
  <si>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</si>
  <si>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</si>
  <si>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</si>
  <si>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</si>
  <si>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</si>
  <si>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</si>
  <si>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</si>
  <si>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</si>
  <si>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</si>
  <si>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</si>
  <si>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</si>
  <si>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</si>
  <si>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</si>
  <si>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</si>
  <si>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</si>
  <si>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</si>
  <si>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</si>
  <si>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</si>
  <si>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</si>
  <si>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</si>
  <si>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</si>
  <si>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</si>
  <si>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</si>
  <si>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</si>
  <si>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</si>
  <si>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</si>
  <si>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</si>
  <si>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</si>
  <si>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</si>
  <si>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</si>
  <si>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</si>
  <si>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</si>
  <si>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</si>
  <si>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</si>
  <si>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</si>
  <si>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</si>
  <si>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</si>
  <si>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</si>
  <si>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</si>
  <si>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</si>
  <si>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</si>
  <si>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</si>
  <si>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</si>
  <si>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</si>
  <si>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</si>
  <si>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</si>
  <si>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</si>
  <si>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</si>
  <si>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</si>
  <si>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</si>
  <si>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</si>
  <si>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</si>
  <si>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</si>
  <si>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</si>
  <si>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</si>
  <si>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</si>
  <si>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</si>
  <si>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</si>
  <si>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</si>
  <si>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</si>
  <si>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</si>
  <si>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</si>
  <si>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</si>
  <si>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</si>
  <si>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</si>
  <si>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</si>
  <si>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</si>
  <si>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</si>
  <si>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</si>
  <si>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</si>
  <si>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</si>
  <si>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</si>
  <si>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</si>
  <si>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</si>
  <si>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</si>
  <si>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</si>
  <si>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</si>
  <si>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</si>
  <si>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</si>
  <si>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</si>
  <si>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</si>
  <si>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</si>
  <si>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</si>
  <si>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</si>
  <si>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</si>
  <si>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</si>
  <si>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</si>
  <si>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</si>
  <si>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</si>
  <si>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</si>
  <si>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</si>
  <si>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</si>
  <si>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</si>
  <si>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</si>
  <si>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</si>
  <si>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</si>
  <si>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</si>
  <si>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</si>
  <si>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</si>
  <si>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</si>
  <si>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</si>
  <si>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</si>
  <si>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</si>
  <si>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</si>
  <si>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</si>
  <si>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</si>
  <si>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</si>
  <si>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</si>
  <si>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</si>
  <si>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</si>
  <si>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</si>
  <si>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</si>
  <si>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</si>
  <si>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</si>
  <si>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</si>
  <si>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</si>
  <si>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</si>
  <si>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</si>
  <si>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</si>
  <si>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</si>
  <si>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</si>
  <si>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</si>
  <si>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</si>
  <si>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</si>
  <si>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</si>
  <si>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</si>
  <si>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</si>
  <si>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</si>
  <si>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</si>
  <si>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</si>
  <si>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</si>
  <si>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</si>
  <si>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</si>
  <si>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</si>
  <si>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</si>
  <si>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</si>
  <si>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</si>
  <si>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</si>
  <si>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</si>
  <si>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</si>
  <si>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</si>
  <si>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</si>
  <si>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</si>
  <si>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</si>
  <si>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</si>
  <si>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</si>
  <si>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</si>
  <si>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</si>
  <si>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</si>
  <si>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</si>
  <si>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</si>
  <si>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</si>
  <si>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</si>
  <si>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</si>
  <si>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</si>
  <si>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</si>
  <si>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</si>
  <si>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</si>
  <si>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</si>
  <si>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</si>
  <si>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</si>
  <si>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</si>
  <si>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</si>
  <si>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</si>
  <si>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</si>
  <si>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</si>
  <si>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</si>
  <si>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</si>
  <si>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</si>
  <si>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</si>
  <si>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</si>
  <si>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</si>
  <si>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</si>
  <si>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</si>
  <si>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</si>
  <si>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</si>
  <si>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</si>
  <si>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</si>
  <si>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</si>
  <si>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</si>
  <si>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</si>
  <si>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</si>
  <si>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</si>
  <si>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</si>
  <si>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</si>
  <si>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</si>
  <si>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</si>
  <si>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</si>
  <si>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</si>
  <si>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</si>
  <si>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</si>
  <si>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</si>
  <si>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</si>
  <si>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</si>
  <si>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</si>
  <si>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</si>
  <si>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</si>
  <si>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</si>
  <si>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</si>
  <si>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</si>
  <si>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</si>
  <si>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</si>
  <si>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</si>
  <si>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</si>
  <si>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</si>
  <si>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</si>
  <si>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</si>
  <si>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</si>
  <si>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</si>
  <si>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</si>
  <si>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</si>
  <si>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</si>
  <si>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</si>
  <si>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</si>
  <si>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</si>
  <si>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</si>
  <si>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</si>
  <si>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</si>
  <si>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</si>
  <si>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</si>
  <si>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</si>
  <si>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</si>
  <si>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</si>
  <si>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</si>
  <si>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</si>
  <si>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</si>
  <si>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</si>
  <si>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</si>
  <si>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</si>
  <si>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</si>
  <si>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</si>
  <si>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</si>
  <si>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</si>
  <si>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</si>
  <si>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</si>
  <si>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</si>
  <si>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</si>
  <si>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</si>
  <si>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</si>
  <si>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</si>
  <si>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</si>
  <si>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</si>
  <si>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</si>
  <si>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</si>
  <si>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</si>
  <si>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</si>
  <si>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</si>
  <si>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</si>
  <si>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</si>
  <si>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</si>
  <si>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</si>
  <si>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</si>
  <si>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</si>
  <si>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</si>
  <si>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</si>
  <si>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</si>
  <si>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</si>
  <si>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</si>
  <si>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</si>
  <si>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</si>
  <si>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</si>
  <si>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</si>
  <si>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</si>
  <si>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</si>
  <si>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</si>
  <si>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</si>
  <si>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</si>
  <si>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</si>
  <si>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</si>
  <si>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</si>
  <si>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</si>
  <si>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</si>
  <si>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</si>
  <si>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</si>
  <si>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</si>
  <si>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</si>
  <si>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</si>
  <si>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</si>
  <si>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</si>
  <si>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</si>
  <si>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</si>
  <si>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</si>
  <si>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</si>
  <si>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</si>
  <si>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</si>
  <si>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</si>
  <si>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</si>
  <si>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</si>
  <si>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</si>
  <si>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</si>
  <si>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</si>
  <si>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</si>
  <si>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</si>
  <si>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</si>
  <si>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</si>
  <si>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</si>
  <si>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</si>
  <si>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</si>
  <si>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</si>
  <si>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</si>
  <si>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</si>
  <si>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</si>
  <si>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</si>
  <si>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</si>
  <si>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</si>
  <si>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</si>
  <si>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</si>
  <si>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</si>
  <si>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</si>
  <si>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</si>
  <si>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</si>
  <si>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</si>
  <si>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</si>
  <si>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</si>
  <si>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</si>
  <si>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</si>
  <si>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</si>
  <si>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</si>
  <si>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</si>
  <si>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</si>
  <si>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</si>
  <si>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</si>
  <si>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</si>
  <si>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</si>
  <si>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</si>
  <si>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</si>
  <si>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</si>
  <si>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</si>
  <si>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</si>
  <si>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</si>
  <si>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</si>
  <si>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</si>
  <si>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</si>
  <si>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</si>
  <si>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</si>
  <si>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</si>
  <si>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</si>
  <si>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</si>
  <si>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</si>
  <si>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</si>
  <si>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</si>
  <si>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</si>
  <si>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</si>
  <si>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</si>
  <si>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</si>
  <si>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</si>
  <si>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</si>
  <si>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</si>
  <si>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</si>
  <si>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</si>
  <si>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</si>
  <si>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</si>
  <si>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</si>
  <si>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</si>
  <si>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</si>
  <si>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</si>
  <si>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</si>
  <si>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</si>
  <si>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</si>
  <si>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</si>
  <si>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</si>
  <si>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</si>
  <si>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</si>
  <si>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</si>
  <si>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</si>
  <si>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</si>
  <si>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</si>
  <si>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</si>
  <si>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</si>
  <si>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</si>
  <si>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</si>
  <si>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</si>
  <si>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</si>
  <si>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</si>
  <si>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</si>
  <si>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</si>
  <si>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</si>
  <si>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</si>
  <si>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</si>
  <si>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</si>
  <si>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</si>
  <si>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</si>
  <si>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</si>
  <si>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</si>
  <si>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</si>
  <si>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</si>
  <si>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</si>
  <si>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</si>
  <si>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</si>
  <si>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</si>
  <si>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</si>
  <si>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</si>
  <si>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</si>
  <si>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</si>
  <si>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</si>
  <si>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</si>
  <si>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</si>
  <si>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</si>
  <si>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</si>
  <si>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</si>
  <si>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</si>
  <si>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</si>
  <si>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</si>
  <si>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</si>
  <si>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</si>
  <si>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</si>
  <si>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</si>
  <si>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</si>
  <si>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</si>
  <si>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</si>
  <si>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</si>
  <si>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</si>
  <si>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</si>
  <si>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</si>
  <si>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</si>
  <si>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</si>
  <si>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</si>
  <si>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</si>
  <si>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</si>
  <si>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</si>
  <si>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</si>
  <si>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</si>
  <si>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</si>
  <si>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</si>
  <si>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</si>
  <si>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</si>
  <si>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</si>
  <si>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</si>
  <si>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</si>
  <si>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</si>
  <si>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</si>
  <si>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</si>
  <si>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</si>
  <si>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</si>
  <si>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</si>
  <si>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</si>
  <si>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</si>
  <si>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</si>
  <si>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</si>
  <si>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</si>
  <si>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</si>
  <si>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</si>
  <si>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</si>
  <si>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</si>
  <si>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</si>
  <si>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</si>
  <si>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</si>
  <si>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</si>
  <si>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</si>
  <si>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</si>
  <si>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</si>
  <si>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</si>
  <si>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</si>
  <si>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</si>
  <si>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</si>
  <si>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</si>
  <si>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</si>
  <si>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</si>
  <si>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</si>
  <si>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</si>
  <si>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</si>
  <si>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</si>
  <si>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</si>
  <si>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</si>
  <si>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</si>
  <si>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</si>
  <si>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</si>
  <si>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</si>
  <si>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</si>
  <si>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</si>
  <si>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</si>
  <si>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</si>
  <si>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</si>
  <si>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</si>
  <si>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</si>
  <si>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</si>
  <si>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</si>
  <si>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</si>
  <si>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</si>
  <si>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</si>
  <si>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</si>
  <si>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</si>
  <si>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</si>
  <si>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</si>
  <si>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</si>
  <si>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</si>
  <si>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</si>
  <si>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</si>
  <si>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</si>
  <si>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</si>
  <si>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</si>
  <si>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</si>
  <si>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</si>
  <si>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</si>
  <si>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</si>
  <si>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</si>
  <si>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</si>
  <si>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</si>
  <si>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</si>
  <si>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</si>
  <si>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</si>
  <si>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</si>
  <si>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</si>
  <si>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</si>
  <si>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</si>
  <si>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</si>
  <si>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</si>
  <si>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</si>
  <si>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</si>
  <si>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</si>
  <si>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</si>
  <si>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</si>
  <si>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</si>
  <si>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</si>
  <si>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</si>
  <si>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</si>
  <si>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</si>
  <si>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</si>
  <si>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</si>
  <si>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</si>
  <si>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</si>
  <si>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</si>
  <si>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</si>
  <si>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</si>
  <si>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</si>
  <si>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</si>
  <si>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</si>
  <si>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</si>
  <si>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</si>
  <si>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</si>
  <si>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</si>
  <si>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</si>
  <si>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</si>
  <si>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</si>
  <si>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</si>
  <si>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</si>
  <si>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</si>
  <si>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</si>
  <si>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</si>
  <si>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</si>
  <si>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</si>
  <si>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</si>
  <si>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</si>
  <si>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</si>
  <si>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</si>
  <si>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</si>
  <si>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</si>
  <si>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</si>
  <si>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</si>
  <si>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</si>
  <si>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</si>
  <si>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</si>
  <si>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</si>
  <si>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</si>
  <si>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</si>
  <si>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</si>
  <si>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</si>
  <si>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</si>
  <si>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</si>
  <si>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</si>
  <si>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</si>
  <si>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</si>
  <si>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</si>
  <si>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</si>
  <si>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</si>
  <si>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</si>
  <si>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</si>
  <si>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</si>
  <si>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</si>
  <si>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</si>
  <si>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</si>
  <si>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</si>
  <si>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</si>
  <si>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</si>
  <si>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</si>
  <si>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</si>
  <si>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</si>
  <si>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</si>
  <si>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</si>
  <si>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</si>
  <si>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</si>
  <si>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</si>
  <si>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</si>
  <si>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</si>
  <si>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</si>
  <si>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</si>
  <si>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</si>
  <si>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</si>
  <si>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</si>
  <si>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</si>
  <si>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</si>
  <si>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</si>
  <si>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</si>
  <si>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</si>
  <si>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</si>
  <si>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</si>
  <si>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</si>
  <si>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</si>
  <si>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</si>
  <si>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</si>
  <si>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</si>
  <si>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</si>
  <si>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</si>
  <si>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</si>
  <si>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</si>
  <si>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</si>
  <si>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</si>
  <si>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</si>
  <si>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</si>
  <si>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</si>
  <si>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</si>
  <si>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</si>
  <si>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</si>
  <si>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</si>
  <si>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</si>
  <si>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</si>
  <si>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</si>
  <si>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</si>
  <si>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</si>
  <si>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</si>
  <si>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</si>
  <si>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</si>
  <si>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</si>
  <si>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</si>
  <si>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</si>
  <si>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</si>
  <si>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</si>
  <si>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</si>
  <si>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</si>
  <si>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</si>
  <si>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</si>
  <si>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</si>
  <si>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</si>
  <si>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</si>
  <si>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</si>
  <si>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</si>
  <si>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</si>
  <si>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</si>
  <si>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</si>
  <si>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</si>
  <si>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</si>
  <si>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</si>
  <si>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</si>
  <si>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</si>
  <si>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</si>
  <si>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</si>
  <si>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</si>
  <si>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</si>
  <si>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</si>
  <si>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</si>
  <si>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</si>
  <si>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</si>
  <si>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</si>
  <si>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</si>
  <si>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</si>
  <si>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</si>
  <si>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</si>
  <si>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</si>
  <si>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</si>
  <si>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</si>
  <si>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</si>
  <si>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</si>
  <si>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</si>
  <si>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</si>
  <si>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</si>
  <si>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</si>
  <si>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</si>
  <si>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</si>
  <si>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</si>
  <si>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</si>
  <si>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</si>
  <si>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</si>
  <si>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</si>
  <si>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</si>
  <si>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</si>
  <si>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</si>
  <si>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</si>
  <si>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</si>
  <si>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</si>
  <si>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</si>
  <si>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</si>
  <si>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</si>
  <si>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</si>
  <si>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</si>
  <si>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</si>
  <si>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</si>
  <si>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</si>
  <si>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</si>
  <si>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</si>
  <si>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</si>
  <si>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</si>
  <si>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</si>
  <si>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</si>
  <si>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</si>
  <si>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</si>
  <si>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</si>
  <si>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</si>
  <si>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</si>
  <si>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</si>
  <si>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</si>
  <si>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</si>
  <si>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</si>
  <si>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</si>
  <si>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</si>
  <si>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</si>
  <si>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</si>
  <si>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</si>
  <si>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</si>
  <si>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</si>
  <si>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</si>
  <si>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</si>
  <si>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</si>
  <si>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</si>
  <si>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</si>
  <si>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</si>
  <si>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</si>
  <si>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</si>
  <si>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</si>
  <si>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</si>
  <si>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</si>
  <si>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</si>
  <si>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</si>
  <si>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</si>
  <si>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</si>
  <si>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</si>
  <si>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</si>
  <si>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</si>
  <si>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</si>
  <si>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</si>
  <si>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</si>
  <si>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</si>
  <si>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</si>
  <si>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</si>
  <si>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</si>
  <si>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</si>
  <si>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</si>
  <si>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</si>
  <si>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</si>
  <si>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</si>
  <si>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</si>
  <si>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</si>
  <si>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</si>
  <si>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</si>
  <si>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</si>
  <si>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</si>
  <si>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</si>
  <si>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</si>
  <si>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</si>
  <si>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</si>
  <si>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</si>
  <si>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</si>
  <si>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</si>
  <si>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</si>
  <si>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</si>
  <si>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</si>
  <si>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</si>
  <si>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</si>
  <si>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</si>
  <si>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</si>
  <si>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</si>
  <si>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</si>
  <si>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</si>
  <si>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</si>
  <si>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</si>
  <si>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</si>
  <si>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</si>
  <si>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</si>
  <si>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</si>
  <si>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</si>
  <si>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</si>
  <si>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</si>
  <si>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</si>
  <si>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</si>
  <si>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</si>
  <si>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</si>
  <si>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</si>
  <si>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</si>
  <si>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</si>
  <si>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</si>
  <si>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</si>
  <si>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</si>
  <si>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</si>
  <si>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</si>
  <si>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</si>
  <si>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</si>
  <si>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</si>
  <si>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</si>
  <si>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</si>
  <si>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</si>
  <si>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</si>
  <si>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</si>
  <si>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</si>
  <si>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</si>
  <si>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</si>
  <si>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</si>
  <si>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</si>
  <si>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</si>
  <si>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</si>
  <si>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</si>
  <si>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</si>
  <si>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</si>
  <si>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</si>
  <si>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</si>
  <si>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</si>
  <si>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</si>
  <si>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</si>
  <si>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</si>
  <si>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</si>
  <si>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</si>
  <si>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</si>
  <si>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</si>
  <si>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</si>
  <si>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</si>
  <si>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</si>
  <si>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</si>
  <si>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</si>
  <si>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</si>
  <si>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</si>
  <si>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</si>
  <si>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</si>
  <si>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</si>
  <si>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</si>
  <si>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</si>
  <si>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</si>
  <si>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</si>
  <si>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</si>
  <si>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</si>
  <si>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</si>
  <si>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</si>
  <si>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</si>
  <si>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</si>
  <si>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</si>
  <si>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</si>
  <si>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</si>
  <si>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</si>
  <si>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</si>
  <si>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</si>
  <si>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</si>
  <si>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</si>
  <si>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</si>
  <si>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</si>
  <si>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</si>
  <si>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</si>
  <si>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</si>
  <si>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</si>
  <si>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</si>
  <si>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</si>
  <si>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</si>
  <si>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</si>
  <si>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</si>
  <si>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</si>
  <si>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</si>
  <si>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</si>
  <si>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</si>
  <si>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</si>
  <si>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</si>
  <si>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</si>
  <si>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</si>
  <si>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</si>
  <si>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</si>
  <si>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</si>
  <si>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</si>
  <si>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</si>
  <si>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</si>
  <si>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</si>
  <si>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</si>
  <si>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</si>
  <si>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</si>
  <si>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</si>
  <si>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</si>
  <si>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</si>
  <si>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</si>
  <si>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</si>
  <si>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</si>
  <si>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</si>
  <si>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</si>
  <si>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</si>
  <si>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</si>
  <si>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</si>
  <si>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</si>
  <si>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</si>
  <si>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</si>
  <si>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</si>
  <si>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</si>
  <si>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</si>
  <si>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</si>
  <si>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</si>
  <si>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</si>
  <si>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</si>
  <si>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</si>
  <si>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</si>
  <si>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</si>
  <si>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</si>
  <si>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</si>
  <si>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</si>
  <si>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</si>
  <si>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</si>
  <si>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</si>
  <si>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</si>
  <si>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</si>
  <si>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</si>
  <si>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</si>
  <si>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</si>
  <si>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</si>
  <si>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</si>
  <si>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</si>
  <si>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</si>
  <si>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</si>
  <si>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</si>
  <si>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</si>
  <si>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</si>
  <si>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</si>
  <si>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</si>
  <si>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</si>
  <si>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</si>
  <si>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</si>
  <si>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</si>
  <si>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</si>
  <si>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</si>
  <si>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</si>
  <si>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</si>
  <si>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</si>
  <si>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</si>
  <si>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</si>
  <si>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</si>
  <si>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</si>
  <si>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</si>
  <si>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</si>
  <si>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</si>
  <si>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</si>
  <si>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</si>
  <si>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</si>
  <si>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</si>
  <si>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</si>
  <si>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</si>
  <si>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</si>
  <si>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</si>
  <si>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</si>
  <si>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</si>
  <si>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</si>
  <si>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</si>
  <si>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</si>
  <si>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</si>
  <si>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</si>
  <si>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</si>
  <si>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</si>
  <si>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</si>
  <si>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</si>
  <si>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</si>
  <si>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</si>
  <si>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</si>
  <si>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</si>
  <si>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</si>
  <si>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</si>
  <si>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</si>
  <si>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</si>
  <si>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</si>
  <si>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</si>
  <si>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</si>
  <si>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</si>
  <si>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</si>
  <si>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</si>
  <si>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</si>
  <si>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</si>
  <si>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</si>
  <si>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</si>
  <si>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</si>
  <si>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</si>
  <si>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</si>
  <si>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</si>
  <si>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</si>
  <si>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</si>
  <si>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</si>
  <si>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</si>
  <si>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</si>
  <si>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</si>
  <si>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</si>
  <si>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</si>
  <si>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</si>
  <si>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</si>
  <si>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</si>
  <si>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</si>
  <si>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</si>
  <si>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</si>
  <si>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</si>
  <si>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</si>
  <si>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</si>
  <si>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</si>
  <si>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</si>
  <si>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</si>
  <si>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</si>
  <si>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</si>
  <si>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</si>
  <si>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</si>
  <si>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</si>
  <si>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</si>
  <si>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</si>
  <si>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</si>
  <si>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</si>
  <si>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</si>
  <si>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</si>
  <si>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</si>
  <si>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</si>
  <si>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</si>
  <si>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</si>
  <si>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</si>
  <si>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</si>
  <si>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</si>
  <si>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</si>
  <si>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</si>
  <si>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</si>
  <si>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</si>
  <si>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</si>
  <si>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</si>
  <si>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</si>
  <si>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</si>
  <si>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</si>
  <si>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</si>
  <si>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</si>
  <si>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</si>
  <si>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</si>
  <si>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</si>
  <si>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</si>
  <si>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</si>
  <si>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</si>
  <si>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</si>
  <si>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</si>
  <si>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</si>
  <si>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</si>
  <si>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</si>
  <si>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</si>
  <si>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</si>
  <si>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</si>
  <si>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</si>
  <si>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</si>
  <si>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</si>
  <si>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</si>
  <si>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</si>
  <si>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</si>
  <si>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</si>
  <si>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</si>
  <si>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</si>
  <si>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</si>
  <si>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</si>
  <si>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</si>
  <si>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</si>
  <si>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</si>
  <si>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</si>
  <si>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</si>
  <si>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</si>
  <si>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</si>
  <si>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</si>
  <si>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</si>
  <si>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</si>
  <si>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</si>
  <si>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</si>
  <si>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</si>
  <si>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</si>
  <si>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</si>
  <si>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</si>
  <si>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</si>
  <si>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</si>
  <si>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</si>
  <si>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</si>
  <si>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</si>
  <si>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</si>
  <si>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</si>
  <si>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</si>
  <si>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</si>
  <si>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</si>
  <si>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</si>
  <si>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</si>
  <si>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</si>
  <si>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</si>
  <si>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</si>
  <si>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</si>
  <si>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</si>
  <si>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</si>
  <si>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</si>
  <si>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</si>
  <si>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</si>
  <si>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</si>
  <si>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</si>
  <si>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</si>
  <si>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</si>
  <si>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</si>
  <si>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</si>
  <si>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</si>
  <si>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</si>
  <si>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</si>
  <si>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</si>
  <si>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</si>
  <si>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</si>
  <si>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</si>
  <si>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</si>
  <si>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</si>
  <si>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</si>
  <si>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</si>
  <si>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</si>
  <si>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</si>
  <si>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</si>
  <si>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</si>
  <si>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</si>
  <si>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</si>
  <si>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</si>
  <si>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</si>
  <si>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</si>
  <si>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</si>
  <si>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</si>
  <si>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</si>
  <si>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</si>
  <si>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</si>
  <si>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</si>
  <si>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</si>
  <si>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</si>
  <si>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</si>
  <si>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</si>
  <si>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</si>
  <si>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</si>
  <si>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</si>
  <si>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</si>
  <si>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</si>
  <si>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</si>
  <si>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</si>
  <si>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</si>
  <si>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</si>
  <si>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</si>
  <si>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</si>
  <si>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</si>
  <si>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</si>
  <si>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</si>
  <si>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</si>
  <si>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</si>
  <si>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</si>
  <si>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</si>
  <si>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</si>
  <si>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</si>
  <si>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</si>
  <si>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</si>
  <si>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</si>
  <si>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</si>
  <si>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</si>
  <si>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</si>
  <si>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</si>
  <si>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</si>
  <si>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</si>
  <si>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</si>
  <si>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</si>
  <si>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</si>
  <si>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</si>
  <si>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</si>
  <si>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</si>
  <si>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</si>
  <si>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</si>
  <si>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</si>
  <si>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</si>
  <si>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</si>
  <si>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</si>
  <si>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</si>
  <si>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</si>
  <si>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</si>
  <si>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</si>
  <si>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</si>
  <si>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</si>
  <si>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</si>
  <si>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</si>
  <si>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</si>
  <si>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</si>
  <si>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</si>
  <si>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</si>
  <si>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</si>
  <si>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</si>
  <si>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</si>
  <si>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</si>
  <si>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</si>
  <si>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</si>
  <si>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</si>
  <si>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</si>
  <si>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</si>
  <si>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</si>
  <si>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</si>
  <si>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</si>
  <si>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</si>
  <si>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</si>
  <si>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</si>
  <si>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</si>
  <si>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</si>
  <si>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</si>
  <si>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</si>
  <si>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</si>
  <si>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</si>
  <si>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</si>
  <si>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</si>
  <si>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</si>
  <si>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</si>
  <si>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</si>
  <si>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</si>
  <si>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</si>
  <si>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</si>
  <si>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</si>
  <si>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</si>
  <si>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</si>
  <si>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</si>
  <si>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</si>
  <si>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</si>
  <si>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</si>
  <si>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</si>
  <si>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</si>
  <si>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</si>
  <si>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</si>
  <si>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</si>
  <si>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</si>
  <si>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</si>
  <si>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</si>
  <si>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</si>
  <si>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</si>
  <si>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</si>
  <si>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</si>
  <si>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</si>
  <si>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</si>
  <si>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</si>
  <si>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</si>
  <si>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</si>
  <si>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</si>
  <si>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</si>
  <si>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</si>
  <si>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</si>
  <si>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</si>
  <si>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</si>
  <si>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</si>
  <si>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</si>
  <si>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</si>
  <si>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</si>
  <si>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</si>
  <si>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</si>
  <si>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</si>
  <si>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</si>
  <si>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</si>
  <si>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</si>
  <si>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</si>
  <si>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</si>
  <si>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</si>
  <si>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</si>
  <si>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</si>
  <si>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</si>
  <si>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</si>
  <si>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</si>
  <si>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</si>
  <si>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</si>
  <si>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</si>
  <si>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</si>
  <si>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</si>
  <si>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</si>
  <si>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</si>
  <si>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</si>
  <si>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</si>
  <si>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</si>
  <si>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</si>
  <si>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</si>
  <si>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</si>
  <si>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</si>
  <si>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</si>
  <si>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</si>
  <si>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</si>
  <si>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</si>
  <si>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</si>
  <si>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</si>
  <si>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</si>
  <si>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</si>
  <si>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</si>
  <si>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</si>
  <si>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</si>
  <si>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</si>
  <si>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</si>
  <si>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</si>
  <si>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</si>
  <si>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</si>
  <si>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</si>
  <si>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</si>
  <si>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</si>
  <si>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</si>
  <si>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</si>
  <si>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</si>
  <si>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</si>
  <si>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</si>
  <si>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</si>
  <si>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</si>
  <si>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</si>
  <si>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</si>
  <si>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</si>
  <si>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</si>
  <si>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</si>
  <si>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</si>
  <si>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</si>
  <si>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</si>
  <si>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Morrisonville CUSD 1</t>
  </si>
  <si>
    <t>Christian/Montgomery</t>
  </si>
  <si>
    <t>301 School Street</t>
  </si>
  <si>
    <t>Morrisonville</t>
  </si>
  <si>
    <t>dmeister@ga.mohawks.net</t>
  </si>
  <si>
    <t>Dave Meister</t>
  </si>
  <si>
    <t>217-526-4431</t>
  </si>
  <si>
    <t>217-526-4433</t>
  </si>
  <si>
    <t>LMHN, Ltd.</t>
  </si>
  <si>
    <t>M. Adam Mathias, CPA, PFS, CVA</t>
  </si>
  <si>
    <t>900 N. Webster Street</t>
  </si>
  <si>
    <t>Taylorville</t>
  </si>
  <si>
    <t>IL</t>
  </si>
  <si>
    <t>217-824-9661</t>
  </si>
  <si>
    <t>217-824-2415</t>
  </si>
  <si>
    <t>066-003847</t>
  </si>
  <si>
    <t>lmhncpas@yahoo.com</t>
  </si>
  <si>
    <t>MORRISONVILLE COMMUNITY UNIT SCHOOL DISTRICT NO. 1</t>
  </si>
  <si>
    <t>Pages</t>
  </si>
  <si>
    <t>Independent Auditor's Report</t>
  </si>
  <si>
    <t>1-3</t>
  </si>
  <si>
    <t>Independent Auditor's Report on Internal Control Over Financial Reporting and</t>
  </si>
  <si>
    <t xml:space="preserve">   on Compliance and Other Matters Based on an Audit of Financial Statements</t>
  </si>
  <si>
    <r>
      <t xml:space="preserve">   Performed in Accordance with </t>
    </r>
    <r>
      <rPr>
        <u/>
        <sz val="13"/>
        <rFont val="Times New Roman"/>
        <family val="1"/>
      </rPr>
      <t>Government Auditing Standards</t>
    </r>
  </si>
  <si>
    <t>Basic Financial Statements:</t>
  </si>
  <si>
    <t>Statement of Assets and Liabilities Arising from Cash Transactions / Statement</t>
  </si>
  <si>
    <t xml:space="preserve">   of Position (All Funds)</t>
  </si>
  <si>
    <t>Statement of Revenues Received / Revenues, Expenditures Disbursed / Expenditures,</t>
  </si>
  <si>
    <t xml:space="preserve">  Other Sources (Uses) and Changes in Fund Balance (All Funds)</t>
  </si>
  <si>
    <t>Statement of Revenues Received / Revenues (All Funds)</t>
  </si>
  <si>
    <t>Statement of Expenditures Disbursed / Expenditures, Budget to Actual (All Funds)</t>
  </si>
  <si>
    <t>Notes to Financial Statements</t>
  </si>
  <si>
    <t>51</t>
  </si>
  <si>
    <t>Supplementary Schedules:</t>
  </si>
  <si>
    <t>Schedule of Ad Valorem Tax Receipts</t>
  </si>
  <si>
    <t>Schedule of Short Term Debt and Long Term Debt</t>
  </si>
  <si>
    <t>Schedule of Restricted Local Tax Levies and Tort Immunity Expenditures</t>
  </si>
  <si>
    <t>Estimated Indirect Cost Data</t>
  </si>
  <si>
    <t>57</t>
  </si>
  <si>
    <t>TABLE OF CONTENTS (CONTINUED)</t>
  </si>
  <si>
    <t>Statistical Section:</t>
  </si>
  <si>
    <t>Schedule of Capital Outlay and Depreciation</t>
  </si>
  <si>
    <t>58</t>
  </si>
  <si>
    <t>Estimated Operating Expenditures Per Pupil and Per Capita Tuition Charge</t>
  </si>
  <si>
    <t>Other Schedules and Itemizations:</t>
  </si>
  <si>
    <t>Itemization Schedule</t>
  </si>
  <si>
    <t>Reference Page</t>
  </si>
  <si>
    <t>Auditor's Questionnaire</t>
  </si>
  <si>
    <t>Financial Profile Information</t>
  </si>
  <si>
    <t>Schedule of Cash Receipts and Disbursements - Activity Funds</t>
  </si>
  <si>
    <t>Limitation of Administrative Cost Worksheet</t>
  </si>
  <si>
    <t>Report on Shared Services or Outsourcing</t>
  </si>
  <si>
    <r>
      <t>Note…</t>
    </r>
    <r>
      <rPr>
        <sz val="11"/>
        <rFont val="Times New Roman"/>
        <family val="1"/>
      </rPr>
      <t>The page numbers referred to above are the sequential page numbers that were assigned to each</t>
    </r>
  </si>
  <si>
    <t xml:space="preserve">   page by LMHN, Ltd. and are located at the bottom center of each page.  These page numbers do not</t>
  </si>
  <si>
    <t xml:space="preserve">   correlate to the page numbering system that ISBE utilizes on their AFR.  Occasionally, the AFR will</t>
  </si>
  <si>
    <t xml:space="preserve">   cross reference an item to another page number within the AFR.  These page numbers are located on</t>
  </si>
  <si>
    <t xml:space="preserve">   the top left or top right hand corner of each AFR page.</t>
  </si>
  <si>
    <t>FISCAL YEAR ENDED JUNE 30, 2018</t>
  </si>
  <si>
    <t>44</t>
  </si>
  <si>
    <t>45</t>
  </si>
  <si>
    <t>46</t>
  </si>
  <si>
    <t>47</t>
  </si>
  <si>
    <t xml:space="preserve">   Computation 2017-2018</t>
  </si>
  <si>
    <t>Current Year Payment on Contracts for Indirect Cost Rate Computation</t>
  </si>
  <si>
    <t>SCHEDULE OF CASH RECEIPTS AND DISBURSEMENTS</t>
  </si>
  <si>
    <t>ACTIVITY FUNDS</t>
  </si>
  <si>
    <t>Balance</t>
  </si>
  <si>
    <t>Receipts</t>
  </si>
  <si>
    <t>Disbursements</t>
  </si>
  <si>
    <t>ASSETS</t>
  </si>
  <si>
    <t>Cash</t>
  </si>
  <si>
    <t>LIABILITIES</t>
  </si>
  <si>
    <t>Amounts Due to Organizations:</t>
  </si>
  <si>
    <t xml:space="preserve">   Senior Class</t>
  </si>
  <si>
    <t xml:space="preserve">   Junior Class</t>
  </si>
  <si>
    <t xml:space="preserve">   Sophomore Class</t>
  </si>
  <si>
    <t xml:space="preserve">   Freshman Class</t>
  </si>
  <si>
    <t xml:space="preserve">   Band/Chorus</t>
  </si>
  <si>
    <t xml:space="preserve">   F.F.A.</t>
  </si>
  <si>
    <t xml:space="preserve">   General</t>
  </si>
  <si>
    <t xml:space="preserve">   High School Student Council</t>
  </si>
  <si>
    <t xml:space="preserve">   Junior High School Student Council</t>
  </si>
  <si>
    <t xml:space="preserve">   Learning Disability</t>
  </si>
  <si>
    <t xml:space="preserve">   Physical Education</t>
  </si>
  <si>
    <t xml:space="preserve">   Staff Appreciation</t>
  </si>
  <si>
    <t xml:space="preserve">   Technology</t>
  </si>
  <si>
    <t xml:space="preserve">   Yearbook</t>
  </si>
  <si>
    <t xml:space="preserve">   Play</t>
  </si>
  <si>
    <t xml:space="preserve">   Emergency Fund</t>
  </si>
  <si>
    <t xml:space="preserve">   National Honor Society</t>
  </si>
  <si>
    <t xml:space="preserve">   Renaissance</t>
  </si>
  <si>
    <t xml:space="preserve">   Elaine's Scholarship Fund</t>
  </si>
  <si>
    <t xml:space="preserve">   Memorial Fund</t>
  </si>
  <si>
    <t xml:space="preserve">   Athletic Donations</t>
  </si>
  <si>
    <t xml:space="preserve">   Baseball</t>
  </si>
  <si>
    <t xml:space="preserve">   High School Cheerleaders</t>
  </si>
  <si>
    <t xml:space="preserve">   High School Volleyball</t>
  </si>
  <si>
    <t xml:space="preserve">   Junior High School Basketball</t>
  </si>
  <si>
    <t xml:space="preserve">   Junior High School Cheerleaders</t>
  </si>
  <si>
    <t xml:space="preserve">   Junior High School Girls Basketball</t>
  </si>
  <si>
    <t xml:space="preserve">   Junior High School Volleyball</t>
  </si>
  <si>
    <t xml:space="preserve">   Pom Poms</t>
  </si>
  <si>
    <t xml:space="preserve">   Softball</t>
  </si>
  <si>
    <t xml:space="preserve">   Gym Floor</t>
  </si>
  <si>
    <t xml:space="preserve">   Peterson Scholarship</t>
  </si>
  <si>
    <t xml:space="preserve">   Synder Scholarship</t>
  </si>
  <si>
    <t xml:space="preserve">   Grade School</t>
  </si>
  <si>
    <t>TOTAL LIABILITIES</t>
  </si>
  <si>
    <t>FOR THE FISCAL YEAR ENDED JUNE 30, 2018</t>
  </si>
  <si>
    <t xml:space="preserve">   Community Crashers</t>
  </si>
  <si>
    <t>Note… The page numbers referred to above correlate to the page numbering system that ISBE utilizes on their AFR, located on the top</t>
  </si>
  <si>
    <t xml:space="preserve">   left or top right hand corner of each AFR page.</t>
  </si>
  <si>
    <t>59</t>
  </si>
  <si>
    <t>Series 2008 Bonds</t>
  </si>
  <si>
    <t>Series 2013 Bonds</t>
  </si>
  <si>
    <t>Bus Installment Loan</t>
  </si>
  <si>
    <t>Series 2016 Bonds</t>
  </si>
  <si>
    <t>1,3,4</t>
  </si>
  <si>
    <t>Installment Loan</t>
  </si>
  <si>
    <t>n/a</t>
  </si>
  <si>
    <t>Ag with Panhandle CUSD 2</t>
  </si>
  <si>
    <t>Mid-State Special Education</t>
  </si>
  <si>
    <t>Sports with Panhandle CUSD 2 and South Fork CUSD 14</t>
  </si>
  <si>
    <t>4-6</t>
  </si>
  <si>
    <t>7-8</t>
  </si>
  <si>
    <t>9-10</t>
  </si>
  <si>
    <t>11-16</t>
  </si>
  <si>
    <t>17-24</t>
  </si>
  <si>
    <t>25-43</t>
  </si>
  <si>
    <t>48</t>
  </si>
  <si>
    <t>49-50</t>
  </si>
  <si>
    <t>52</t>
  </si>
  <si>
    <t>53-54</t>
  </si>
  <si>
    <t>55-56</t>
  </si>
  <si>
    <t>60</t>
  </si>
  <si>
    <t>Page 7, Account 7990, Debt Services Fund - $10,111 represents transfers of school facility occupation tax monies from</t>
  </si>
  <si>
    <t xml:space="preserve">   bonds, as authorized by the County School Facility Occupation Tax Law, 55 ILCS 5/5-1006.7.</t>
  </si>
  <si>
    <t>Page 8, Account 8990, Capital Projects Fund - $10,111 represents transfers of school facility occupation tax monies from</t>
  </si>
  <si>
    <t xml:space="preserve">   the Capital Projects Fund to the Debt Services Fund, to pay on principal and interest of outstanding capital purpose</t>
  </si>
  <si>
    <t>Page 10, Account 1614, Educational Fund - $908 represents revenues received from the sale of milk and juice.</t>
  </si>
  <si>
    <t>Page 10, Account 1690, Educational Fund - $15 represents revenues received from the sale of miscellaneous food items.</t>
  </si>
  <si>
    <t>Page 10, Account 1790, Educational Fund - $8,065 represents miscellaneous revenues.</t>
  </si>
  <si>
    <t>Page 11, Account 1999, Educational Fund - $11,232 represents miscellaneous revenues.</t>
  </si>
  <si>
    <t>Page 11, Account 1999, Transportation Fund - $1,049 represents miscellaneous revenues.</t>
  </si>
  <si>
    <t>Page 18, Account 5400, Other Objects - $600 represents bond agent fees.</t>
  </si>
  <si>
    <t>Audit check error message - long term debt retired of $210,777 (page 24) does not equal amount reported on page 18 (Educational</t>
  </si>
  <si>
    <t xml:space="preserve">   Fund code 5300), which amounted to $195,000.  The difference of $15,777 is reported in the Transportation Fund (code 5300).</t>
  </si>
  <si>
    <t>Page 12, Account 3999, Educational Fund - $750 represents state library grant revenues.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</si>
</sst>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mmmm\ d\,\ yyyy"/>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12"/>
      <name val="Times New Roman"/>
      <family val="1"/>
    </font>
    <font>
      <b/>
      <u/>
      <sz val="12"/>
      <name val="Times New Roman"/>
      <family val="1"/>
    </font>
    <font>
      <b/>
      <sz val="13"/>
      <name val="Times New Roman"/>
      <family val="1"/>
    </font>
    <font>
      <u/>
      <sz val="13"/>
      <name val="Times New Roman"/>
      <family val="1"/>
    </font>
    <font>
      <sz val="13"/>
      <name val="Times New Roman"/>
      <family val="1"/>
    </font>
    <font>
      <sz val="12"/>
      <name val="Times New Roman"/>
      <family val="1"/>
    </font>
    <font>
      <sz val="11"/>
      <name val="Times New Roman"/>
      <family val="1"/>
    </font>
    <font>
      <b/>
      <sz val="11"/>
      <name val="Times New Roman"/>
      <family val="1"/>
    </font>
    <font>
      <b/>
      <sz val="10"/>
      <name val="Times New Roman"/>
      <family val="1"/>
    </font>
    <font>
      <b/>
      <u/>
      <sz val="10"/>
      <name val="Times New Roman"/>
      <family val="1"/>
    </font>
    <font>
      <u/>
      <sz val="10"/>
      <name val="Times New Roman"/>
      <family val="1"/>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2">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2" fillId="0" borderId="0"/>
    <xf numFmtId="44" fontId="9" fillId="0" borderId="0" applyFont="0" applyFill="0" applyBorder="0" applyAlignment="0" applyProtection="0"/>
    <xf numFmtId="43" fontId="9" fillId="0" borderId="0" applyFont="0" applyFill="0" applyBorder="0" applyAlignment="0" applyProtection="0"/>
  </cellStyleXfs>
  <cellXfs count="255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44" fillId="0" borderId="0" xfId="0" applyFont="1"/>
    <xf numFmtId="0" fontId="138" fillId="0" borderId="0" xfId="0" applyFont="1" applyAlignment="1">
      <alignment horizontal="center"/>
    </xf>
    <xf numFmtId="0" fontId="137" fillId="0" borderId="0" xfId="0" applyFont="1" applyAlignment="1">
      <alignment horizontal="center"/>
    </xf>
    <xf numFmtId="0" fontId="139" fillId="0" borderId="0" xfId="0" applyFont="1" applyAlignment="1">
      <alignment horizontal="center"/>
    </xf>
    <xf numFmtId="16" fontId="140" fillId="0" borderId="0" xfId="0" applyNumberFormat="1" applyFont="1" applyAlignment="1">
      <alignment horizontal="center"/>
    </xf>
    <xf numFmtId="0" fontId="141" fillId="0" borderId="0" xfId="0" applyFont="1" applyBorder="1" applyAlignment="1">
      <alignment horizontal="left"/>
    </xf>
    <xf numFmtId="0" fontId="139" fillId="0" borderId="0" xfId="0" applyFont="1" applyBorder="1" applyAlignment="1">
      <alignment horizontal="center"/>
    </xf>
    <xf numFmtId="16" fontId="141" fillId="0" borderId="0" xfId="0" quotePrefix="1" applyNumberFormat="1" applyFont="1" applyAlignment="1">
      <alignment horizontal="center"/>
    </xf>
    <xf numFmtId="0" fontId="141" fillId="0" borderId="0" xfId="0" applyFont="1" applyBorder="1"/>
    <xf numFmtId="0" fontId="140" fillId="0" borderId="0" xfId="0" applyFont="1" applyBorder="1" applyAlignment="1">
      <alignment horizontal="left"/>
    </xf>
    <xf numFmtId="0" fontId="141" fillId="0" borderId="0" xfId="0" applyFont="1"/>
    <xf numFmtId="0" fontId="141" fillId="0" borderId="0" xfId="0" quotePrefix="1" applyFont="1"/>
    <xf numFmtId="0" fontId="141" fillId="0" borderId="0" xfId="0" applyFont="1" applyAlignment="1">
      <alignment horizontal="center"/>
    </xf>
    <xf numFmtId="0" fontId="141" fillId="0" borderId="0" xfId="0" quotePrefix="1" applyFont="1" applyAlignment="1">
      <alignment horizontal="center"/>
    </xf>
    <xf numFmtId="0" fontId="142" fillId="0" borderId="0" xfId="0" applyFont="1"/>
    <xf numFmtId="0" fontId="142" fillId="0" borderId="0" xfId="0" applyFont="1" applyAlignment="1">
      <alignment horizontal="center"/>
    </xf>
    <xf numFmtId="0" fontId="143" fillId="0" borderId="0" xfId="0" applyFont="1"/>
    <xf numFmtId="0" fontId="143" fillId="0" borderId="0" xfId="0" applyFont="1" applyAlignment="1">
      <alignment horizontal="center"/>
    </xf>
    <xf numFmtId="0" fontId="144" fillId="0" borderId="0" xfId="0" applyFont="1"/>
    <xf numFmtId="0" fontId="44" fillId="0" borderId="0" xfId="0" applyFont="1" applyAlignment="1">
      <alignment horizontal="center"/>
    </xf>
    <xf numFmtId="0" fontId="145" fillId="0" borderId="0" xfId="0" applyFont="1" applyAlignment="1">
      <alignment horizontal="center"/>
    </xf>
    <xf numFmtId="181" fontId="44" fillId="0" borderId="78" xfId="0" applyNumberFormat="1" applyFont="1" applyBorder="1" applyAlignment="1">
      <alignment horizontal="center"/>
    </xf>
    <xf numFmtId="0" fontId="44" fillId="0" borderId="78" xfId="0" applyFont="1" applyFill="1" applyBorder="1" applyAlignment="1">
      <alignment horizontal="center"/>
    </xf>
    <xf numFmtId="0" fontId="44" fillId="0" borderId="0" xfId="0" applyFont="1" applyFill="1" applyAlignment="1">
      <alignment horizontal="center"/>
    </xf>
    <xf numFmtId="0" fontId="44" fillId="0" borderId="0" xfId="0" applyFont="1" applyFill="1"/>
    <xf numFmtId="0" fontId="147" fillId="0" borderId="0" xfId="19" applyFont="1"/>
    <xf numFmtId="0" fontId="9" fillId="0" borderId="0" xfId="19" applyFont="1"/>
    <xf numFmtId="0" fontId="9" fillId="0" borderId="0" xfId="19" applyFont="1" applyFill="1"/>
    <xf numFmtId="41" fontId="44" fillId="0" borderId="0" xfId="19" applyNumberFormat="1" applyFont="1"/>
    <xf numFmtId="41" fontId="44" fillId="0" borderId="0" xfId="19" applyNumberFormat="1" applyFont="1" applyFill="1"/>
    <xf numFmtId="0" fontId="44" fillId="0" borderId="0" xfId="19" applyFont="1"/>
    <xf numFmtId="44" fontId="44" fillId="0" borderId="166" xfId="19" applyNumberFormat="1" applyFont="1" applyFill="1" applyBorder="1"/>
    <xf numFmtId="44" fontId="44" fillId="0" borderId="0" xfId="19" applyNumberFormat="1" applyFont="1"/>
    <xf numFmtId="44" fontId="44" fillId="0" borderId="0" xfId="19" applyNumberFormat="1" applyFont="1" applyFill="1"/>
    <xf numFmtId="44" fontId="44" fillId="0" borderId="166" xfId="19" applyNumberFormat="1" applyFont="1" applyBorder="1"/>
    <xf numFmtId="44" fontId="44" fillId="0" borderId="0" xfId="20" applyNumberFormat="1" applyFont="1"/>
    <xf numFmtId="44" fontId="9" fillId="0" borderId="0" xfId="19" applyNumberFormat="1" applyFont="1"/>
    <xf numFmtId="44" fontId="44" fillId="0" borderId="0" xfId="20" applyNumberFormat="1" applyFont="1" applyFill="1"/>
    <xf numFmtId="44" fontId="9" fillId="0" borderId="0" xfId="19" applyNumberFormat="1" applyFont="1" applyFill="1"/>
    <xf numFmtId="43" fontId="44" fillId="0" borderId="0" xfId="0" applyNumberFormat="1" applyFont="1"/>
    <xf numFmtId="43" fontId="44" fillId="0" borderId="0" xfId="1" applyFont="1"/>
    <xf numFmtId="43" fontId="9" fillId="0" borderId="0" xfId="1" applyFont="1"/>
    <xf numFmtId="43" fontId="44" fillId="0" borderId="0" xfId="1" applyFont="1" applyFill="1"/>
    <xf numFmtId="43" fontId="9" fillId="0" borderId="0" xfId="1" applyFont="1" applyFill="1"/>
    <xf numFmtId="43" fontId="44" fillId="0" borderId="78" xfId="1" applyFont="1" applyBorder="1"/>
    <xf numFmtId="43" fontId="44" fillId="0" borderId="78" xfId="1" applyFont="1" applyFill="1" applyBorder="1"/>
    <xf numFmtId="44" fontId="44" fillId="0" borderId="0" xfId="21" applyNumberFormat="1" applyFont="1"/>
    <xf numFmtId="44" fontId="44" fillId="0" borderId="0" xfId="21" applyNumberFormat="1" applyFont="1" applyFill="1"/>
    <xf numFmtId="44" fontId="44" fillId="0" borderId="166" xfId="20" applyNumberFormat="1" applyFont="1" applyBorder="1"/>
    <xf numFmtId="44" fontId="44" fillId="0" borderId="166" xfId="20" applyNumberFormat="1" applyFont="1" applyFill="1" applyBorder="1"/>
    <xf numFmtId="0" fontId="12" fillId="0" borderId="0" xfId="0" applyFont="1"/>
    <xf numFmtId="164" fontId="0" fillId="0" borderId="0" xfId="0" applyNumberFormat="1"/>
    <xf numFmtId="164" fontId="10" fillId="0" borderId="0" xfId="0" applyNumberFormat="1" applyFont="1"/>
    <xf numFmtId="0" fontId="10" fillId="0" borderId="0" xfId="0" applyFont="1" applyAlignment="1">
      <alignment horizontal="left"/>
    </xf>
    <xf numFmtId="166" fontId="10" fillId="0" borderId="0" xfId="0" applyNumberFormat="1" applyFont="1" applyAlignment="1">
      <alignment horizontal="left"/>
    </xf>
    <xf numFmtId="0" fontId="1" fillId="0" borderId="158" xfId="17" applyFont="1" applyBorder="1" applyAlignment="1" applyProtection="1">
      <alignment horizontal="left" vertical="top" wrapText="1"/>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138" fillId="0" borderId="0" xfId="0" applyFont="1" applyAlignment="1">
      <alignment horizontal="center"/>
    </xf>
    <xf numFmtId="0" fontId="137" fillId="0" borderId="0" xfId="0" applyFont="1" applyAlignment="1">
      <alignment horizontal="center"/>
    </xf>
    <xf numFmtId="0" fontId="82" fillId="0" borderId="0" xfId="0" applyFont="1" applyAlignment="1">
      <alignment vertical="top" wrapText="1"/>
    </xf>
    <xf numFmtId="0" fontId="145" fillId="0" borderId="0" xfId="0" applyFont="1" applyAlignment="1">
      <alignment horizontal="center"/>
    </xf>
    <xf numFmtId="0" fontId="146" fillId="0" borderId="0" xfId="0" applyFont="1" applyAlignment="1">
      <alignment horizontal="center"/>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2">
    <cellStyle name="Comma" xfId="1" builtinId="3"/>
    <cellStyle name="Comma 2" xfId="21"/>
    <cellStyle name="Currency 2" xfId="20"/>
    <cellStyle name="Hyperlink" xfId="2" builtinId="8"/>
    <cellStyle name="Hyperlink 2" xfId="15"/>
    <cellStyle name="Normal" xfId="0" builtinId="0"/>
    <cellStyle name="Normal 2" xfId="3"/>
    <cellStyle name="Normal 3" xfId="4"/>
    <cellStyle name="Normal 3 2" xfId="14"/>
    <cellStyle name="Normal 3 2 2" xfId="18"/>
    <cellStyle name="Normal 3 3" xfId="19"/>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911802</xdr:colOff>
          <xdr:row>5</xdr:row>
          <xdr:rowOff>51089</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9823EBCB-025F-4D98-BCFB-0142D3B230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4</xdr:row>
          <xdr:rowOff>161925</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2A7175B4-82EF-4376-B450-2DD871AFA4E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9CFA0568-CCDA-4428-93FE-FFC77E8EFF1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am.LMH\Desktop\Off%20Site%20Work%20-%20Delete%20Later\M%20CUSD%201\AFR\03-011-0010-26_AFR1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ARRA Sched 23"/>
      <sheetName val="Tax Sched 24"/>
      <sheetName val="Short-Term Long-Term Debt 25"/>
      <sheetName val="Rest Tax Levies-Tort Im 26"/>
      <sheetName val="Cap Outlay Deprec 27"/>
      <sheetName val="PCTC-OEPP 28-29"/>
      <sheetName val="ICR Computation 30"/>
      <sheetName val="Shared Outsourced Services 31"/>
      <sheetName val="AC32"/>
      <sheetName val="Itemization 33"/>
      <sheetName val="REF 34"/>
      <sheetName val="Table of Contents - Excel"/>
      <sheetName val="Opinion - PDF"/>
      <sheetName val="GAS Report - PDF"/>
      <sheetName val="Notes - PDF"/>
      <sheetName val="IMRF Schedule - OI 1 - Excel"/>
      <sheetName val="IMRF Schedule - OI 2 - Excel"/>
      <sheetName val="TRS Schedule - OI - Excel"/>
      <sheetName val="Activity Funds - Excel"/>
      <sheetName val="DeficitAFRSum Calc 36"/>
      <sheetName val="AUDITCHECK"/>
      <sheetName val="Single Audit Cover"/>
      <sheetName val="Single Audit Checklist"/>
      <sheetName val="SEFA Reconcile"/>
      <sheetName val="SEFA NOTES"/>
      <sheetName val=" SEFA"/>
      <sheetName val="SF&amp;QC Sec-1"/>
      <sheetName val="SF&amp;QC Sec-2"/>
      <sheetName val="SF&amp;QC Sec-3"/>
      <sheetName val="SSPAF"/>
      <sheetName val="CAP"/>
      <sheetName val="AFR17"/>
    </sheetNames>
    <sheetDataSet>
      <sheetData sheetId="0">
        <row r="13">
          <cell r="A13" t="str">
            <v>03-011-0010-26</v>
          </cell>
        </row>
        <row r="17">
          <cell r="A17" t="str">
            <v>Morrisonville CUSD 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3.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2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30.bin"/><Relationship Id="rId4" Type="http://schemas.openxmlformats.org/officeDocument/2006/relationships/hyperlink" Target="https://www.isbe.net/Pages/School-Nutrition-Programs-Food-Distribution.aspx"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84" t="s">
        <v>425</v>
      </c>
      <c r="J1" s="2085"/>
      <c r="K1" s="2085"/>
      <c r="L1" s="2085"/>
      <c r="M1" s="2085"/>
      <c r="N1" s="2085"/>
      <c r="O1" s="2085"/>
      <c r="P1" s="2085"/>
      <c r="Q1" s="2085"/>
      <c r="R1" s="2085"/>
      <c r="S1" s="2085"/>
    </row>
    <row r="2" spans="1:28" ht="12" customHeight="1" x14ac:dyDescent="0.2">
      <c r="A2" s="47" t="s">
        <v>1684</v>
      </c>
      <c r="D2" s="48"/>
      <c r="I2" s="2086" t="s">
        <v>1036</v>
      </c>
      <c r="J2" s="2085"/>
      <c r="K2" s="2085"/>
      <c r="L2" s="2085"/>
      <c r="M2" s="2085"/>
      <c r="N2" s="2085"/>
      <c r="O2" s="2085"/>
      <c r="P2" s="2085"/>
      <c r="Q2" s="2085"/>
      <c r="R2" s="2085"/>
      <c r="S2" s="2085"/>
    </row>
    <row r="3" spans="1:28" ht="12" customHeight="1" x14ac:dyDescent="0.2">
      <c r="A3" s="155" t="s">
        <v>1685</v>
      </c>
      <c r="B3" s="156"/>
      <c r="C3" s="156"/>
      <c r="D3" s="157"/>
      <c r="I3" s="2086" t="s">
        <v>54</v>
      </c>
      <c r="J3" s="2085"/>
      <c r="K3" s="2085"/>
      <c r="L3" s="2085"/>
      <c r="M3" s="2085"/>
      <c r="N3" s="2085"/>
      <c r="O3" s="2085"/>
      <c r="P3" s="2085"/>
      <c r="Q3" s="2085"/>
      <c r="R3" s="2085"/>
      <c r="S3" s="2085"/>
    </row>
    <row r="4" spans="1:28" ht="12" customHeight="1" x14ac:dyDescent="0.2">
      <c r="A4" s="37"/>
      <c r="I4" s="2086" t="s">
        <v>545</v>
      </c>
      <c r="J4" s="2085"/>
      <c r="K4" s="2085"/>
      <c r="L4" s="2085"/>
      <c r="M4" s="2085"/>
      <c r="N4" s="2085"/>
      <c r="O4" s="2085"/>
      <c r="P4" s="2085"/>
      <c r="Q4" s="2085"/>
      <c r="R4" s="2085"/>
      <c r="S4" s="2085"/>
    </row>
    <row r="5" spans="1:28" ht="14.1" customHeight="1" x14ac:dyDescent="0.2">
      <c r="B5" s="104" t="s">
        <v>2077</v>
      </c>
      <c r="C5" s="26" t="s">
        <v>966</v>
      </c>
      <c r="D5" s="84"/>
      <c r="E5" s="84"/>
      <c r="H5" s="38"/>
      <c r="I5" s="2093" t="s">
        <v>701</v>
      </c>
      <c r="J5" s="2038"/>
      <c r="K5" s="2038"/>
      <c r="L5" s="2038"/>
      <c r="M5" s="2038"/>
      <c r="N5" s="2038"/>
      <c r="O5" s="2038"/>
      <c r="P5" s="2038"/>
      <c r="Q5" s="2038"/>
      <c r="R5" s="2038"/>
      <c r="S5" s="2038"/>
    </row>
    <row r="6" spans="1:28" ht="14.1" customHeight="1" x14ac:dyDescent="0.2">
      <c r="B6" s="104"/>
      <c r="C6" s="26" t="s">
        <v>967</v>
      </c>
      <c r="D6" s="84"/>
      <c r="E6" s="84"/>
      <c r="I6" s="2092" t="s">
        <v>938</v>
      </c>
      <c r="J6" s="2038"/>
      <c r="K6" s="2038"/>
      <c r="L6" s="2038"/>
      <c r="M6" s="2038"/>
      <c r="N6" s="2038"/>
      <c r="O6" s="2038"/>
      <c r="P6" s="2038"/>
      <c r="Q6" s="2038"/>
      <c r="R6" s="2038"/>
      <c r="S6" s="2038"/>
    </row>
    <row r="7" spans="1:28" ht="12.2" customHeight="1" x14ac:dyDescent="0.2">
      <c r="I7" s="2087">
        <v>43281</v>
      </c>
      <c r="J7" s="2088"/>
      <c r="K7" s="2088"/>
      <c r="L7" s="2088"/>
      <c r="M7" s="2088"/>
      <c r="N7" s="2088"/>
      <c r="O7" s="2088"/>
      <c r="P7" s="2088"/>
      <c r="Q7" s="2088"/>
      <c r="R7" s="2088"/>
      <c r="S7" s="208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89" t="s">
        <v>695</v>
      </c>
      <c r="J9" s="2090"/>
      <c r="K9" s="2090"/>
      <c r="L9" s="2090"/>
      <c r="M9" s="2090"/>
      <c r="N9" s="2090"/>
      <c r="O9" s="2090"/>
      <c r="P9" s="2090"/>
      <c r="Q9" s="2090"/>
      <c r="R9" s="2090"/>
      <c r="S9" s="2091"/>
      <c r="T9" s="2034" t="s">
        <v>554</v>
      </c>
      <c r="U9" s="2035"/>
      <c r="V9" s="2035"/>
      <c r="W9" s="2035"/>
      <c r="X9" s="2035"/>
      <c r="Y9" s="2035"/>
      <c r="Z9" s="2035"/>
      <c r="AA9" s="2036"/>
    </row>
    <row r="10" spans="1:28" ht="13.5" customHeight="1" x14ac:dyDescent="0.2">
      <c r="A10" s="2043" t="s">
        <v>696</v>
      </c>
      <c r="B10" s="2044"/>
      <c r="C10" s="2044"/>
      <c r="D10" s="2044"/>
      <c r="E10" s="2044"/>
      <c r="F10" s="2044"/>
      <c r="G10" s="2044"/>
      <c r="H10" s="2045"/>
      <c r="I10" s="29"/>
      <c r="J10" s="30"/>
      <c r="K10" s="28"/>
      <c r="R10" s="30"/>
      <c r="S10" s="30"/>
      <c r="T10" s="2037"/>
      <c r="U10" s="2038"/>
      <c r="V10" s="2038"/>
      <c r="W10" s="2038"/>
      <c r="X10" s="2038"/>
      <c r="Y10" s="2038"/>
      <c r="Z10" s="2038"/>
      <c r="AA10" s="2039"/>
    </row>
    <row r="11" spans="1:28" ht="14.25" customHeight="1" x14ac:dyDescent="0.2">
      <c r="A11" s="2046" t="s">
        <v>1012</v>
      </c>
      <c r="B11" s="2047"/>
      <c r="C11" s="2047"/>
      <c r="D11" s="2047"/>
      <c r="E11" s="2047"/>
      <c r="F11" s="2047"/>
      <c r="G11" s="2047"/>
      <c r="H11" s="2048"/>
      <c r="I11" s="27"/>
      <c r="J11" s="74"/>
      <c r="K11" s="27"/>
      <c r="O11" s="148" t="s">
        <v>2077</v>
      </c>
      <c r="P11" s="100" t="s">
        <v>210</v>
      </c>
      <c r="Q11" s="30"/>
      <c r="R11" s="28"/>
      <c r="S11" s="27"/>
      <c r="T11" s="2040"/>
      <c r="U11" s="2041"/>
      <c r="V11" s="2041"/>
      <c r="W11" s="2041"/>
      <c r="X11" s="2041"/>
      <c r="Y11" s="2041"/>
      <c r="Z11" s="2041"/>
      <c r="AA11" s="204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54">
        <v>3011001026</v>
      </c>
      <c r="B13" s="2055"/>
      <c r="C13" s="2055"/>
      <c r="D13" s="2055"/>
      <c r="E13" s="2055"/>
      <c r="F13" s="2055"/>
      <c r="G13" s="2055"/>
      <c r="H13" s="2056"/>
      <c r="I13" s="31"/>
      <c r="J13" s="30"/>
      <c r="K13" s="28"/>
      <c r="L13" s="30"/>
      <c r="M13" s="30"/>
      <c r="N13" s="30"/>
      <c r="O13" s="30"/>
      <c r="P13" s="30"/>
      <c r="Q13" s="30"/>
      <c r="R13" s="30"/>
      <c r="S13" s="30"/>
      <c r="T13" s="2059" t="s">
        <v>2086</v>
      </c>
      <c r="U13" s="2060"/>
      <c r="V13" s="2060"/>
      <c r="W13" s="2060"/>
      <c r="X13" s="2060"/>
      <c r="Y13" s="2061"/>
      <c r="Z13" s="2061"/>
      <c r="AA13" s="206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52" t="s">
        <v>2079</v>
      </c>
      <c r="B15" s="2057"/>
      <c r="C15" s="2057"/>
      <c r="D15" s="2057"/>
      <c r="E15" s="2057"/>
      <c r="F15" s="2057"/>
      <c r="G15" s="2057"/>
      <c r="H15" s="2058"/>
      <c r="T15" s="2020" t="s">
        <v>2087</v>
      </c>
      <c r="U15" s="2021"/>
      <c r="V15" s="2021"/>
      <c r="W15" s="2021"/>
      <c r="X15" s="2021"/>
      <c r="Y15" s="2063"/>
      <c r="Z15" s="2063"/>
      <c r="AA15" s="206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12" t="s">
        <v>2078</v>
      </c>
      <c r="B17" s="2082"/>
      <c r="C17" s="2082"/>
      <c r="D17" s="2082"/>
      <c r="E17" s="2082"/>
      <c r="F17" s="2082"/>
      <c r="G17" s="2082"/>
      <c r="H17" s="2083"/>
      <c r="T17" s="2069" t="s">
        <v>2088</v>
      </c>
      <c r="U17" s="2070"/>
      <c r="V17" s="2070"/>
      <c r="W17" s="2070"/>
      <c r="X17" s="2070"/>
      <c r="Y17" s="2070"/>
      <c r="Z17" s="2070"/>
      <c r="AA17" s="2071"/>
    </row>
    <row r="18" spans="1:27" ht="13.5" customHeight="1" x14ac:dyDescent="0.2">
      <c r="A18" s="85" t="s">
        <v>551</v>
      </c>
      <c r="B18" s="76"/>
      <c r="C18" s="72"/>
      <c r="D18" s="76"/>
      <c r="E18" s="76"/>
      <c r="F18" s="76"/>
      <c r="G18" s="76"/>
      <c r="H18" s="56"/>
      <c r="I18" s="2079" t="s">
        <v>697</v>
      </c>
      <c r="J18" s="2080"/>
      <c r="K18" s="2080"/>
      <c r="L18" s="2080"/>
      <c r="M18" s="2080"/>
      <c r="N18" s="2080"/>
      <c r="O18" s="2080"/>
      <c r="P18" s="2080"/>
      <c r="Q18" s="2080"/>
      <c r="R18" s="2080"/>
      <c r="S18" s="2081"/>
      <c r="T18" s="85" t="s">
        <v>735</v>
      </c>
      <c r="U18" s="51"/>
      <c r="V18" s="72"/>
      <c r="W18" s="50"/>
      <c r="X18" s="85" t="s">
        <v>284</v>
      </c>
      <c r="Y18" s="81"/>
      <c r="Z18" s="159" t="s">
        <v>698</v>
      </c>
      <c r="AA18" s="46"/>
    </row>
    <row r="19" spans="1:27" ht="13.5" customHeight="1" x14ac:dyDescent="0.2">
      <c r="A19" s="2052" t="s">
        <v>2080</v>
      </c>
      <c r="B19" s="2053"/>
      <c r="C19" s="2053"/>
      <c r="D19" s="2053"/>
      <c r="E19" s="2053"/>
      <c r="F19" s="2053"/>
      <c r="G19" s="2053"/>
      <c r="H19" s="2051"/>
      <c r="I19" s="30"/>
      <c r="J19" s="99"/>
      <c r="K19" s="40"/>
      <c r="L19" s="38"/>
      <c r="M19" s="112" t="s">
        <v>333</v>
      </c>
      <c r="P19" s="27"/>
      <c r="Q19" s="27"/>
      <c r="R19" s="27"/>
      <c r="S19" s="31"/>
      <c r="T19" s="2052" t="s">
        <v>2089</v>
      </c>
      <c r="U19" s="2050"/>
      <c r="V19" s="2050"/>
      <c r="W19" s="2051"/>
      <c r="X19" s="2067" t="s">
        <v>2090</v>
      </c>
      <c r="Y19" s="2068"/>
      <c r="Z19" s="2065">
        <v>62568</v>
      </c>
      <c r="AA19" s="206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49" t="s">
        <v>2081</v>
      </c>
      <c r="B21" s="2050"/>
      <c r="C21" s="2050"/>
      <c r="D21" s="2050"/>
      <c r="E21" s="2050"/>
      <c r="F21" s="2050"/>
      <c r="G21" s="2050"/>
      <c r="H21" s="2051"/>
      <c r="I21" s="2075" t="s">
        <v>699</v>
      </c>
      <c r="J21" s="2038"/>
      <c r="K21" s="2038"/>
      <c r="L21" s="2038"/>
      <c r="M21" s="2038"/>
      <c r="N21" s="2038"/>
      <c r="O21" s="2038"/>
      <c r="P21" s="2038"/>
      <c r="Q21" s="2038"/>
      <c r="R21" s="2038"/>
      <c r="S21" s="2039"/>
      <c r="T21" s="2017" t="s">
        <v>2091</v>
      </c>
      <c r="U21" s="2018"/>
      <c r="V21" s="2018"/>
      <c r="W21" s="2018"/>
      <c r="X21" s="2031" t="s">
        <v>2092</v>
      </c>
      <c r="Y21" s="2032"/>
      <c r="Z21" s="2032"/>
      <c r="AA21" s="2033"/>
    </row>
    <row r="22" spans="1:27" ht="13.5" customHeight="1" x14ac:dyDescent="0.2">
      <c r="A22" s="87" t="s">
        <v>552</v>
      </c>
      <c r="B22" s="59"/>
      <c r="C22" s="59"/>
      <c r="D22" s="59"/>
      <c r="E22" s="59"/>
      <c r="F22" s="59"/>
      <c r="G22" s="59"/>
      <c r="H22" s="60"/>
      <c r="I22" s="2076" t="s">
        <v>1504</v>
      </c>
      <c r="J22" s="2077"/>
      <c r="K22" s="2077"/>
      <c r="L22" s="2077"/>
      <c r="M22" s="2077"/>
      <c r="N22" s="2077"/>
      <c r="O22" s="2077"/>
      <c r="P22" s="2077"/>
      <c r="Q22" s="2077"/>
      <c r="R22" s="2077"/>
      <c r="S22" s="2078"/>
      <c r="T22" s="85" t="s">
        <v>1596</v>
      </c>
      <c r="U22" s="51"/>
      <c r="V22" s="72"/>
      <c r="W22" s="51"/>
      <c r="X22" s="160" t="s">
        <v>1385</v>
      </c>
      <c r="Z22" s="45"/>
      <c r="AA22" s="46"/>
    </row>
    <row r="23" spans="1:27" ht="13.5" customHeight="1" x14ac:dyDescent="0.2">
      <c r="A23" s="2072" t="s">
        <v>2082</v>
      </c>
      <c r="B23" s="2073"/>
      <c r="C23" s="2073"/>
      <c r="D23" s="2073"/>
      <c r="E23" s="2073"/>
      <c r="F23" s="2073"/>
      <c r="G23" s="2073"/>
      <c r="H23" s="2074"/>
      <c r="T23" s="2012" t="s">
        <v>2093</v>
      </c>
      <c r="U23" s="2013"/>
      <c r="V23" s="2013"/>
      <c r="W23" s="2013"/>
      <c r="X23" s="2028">
        <v>43434</v>
      </c>
      <c r="Y23" s="2029"/>
      <c r="Z23" s="2029"/>
      <c r="AA23" s="2030"/>
    </row>
    <row r="24" spans="1:27" ht="14.1" customHeight="1" x14ac:dyDescent="0.2">
      <c r="A24" s="88" t="s">
        <v>698</v>
      </c>
      <c r="B24" s="49"/>
      <c r="C24" s="49"/>
      <c r="D24" s="49"/>
      <c r="E24" s="49"/>
      <c r="F24" s="49"/>
      <c r="G24" s="49"/>
      <c r="H24" s="61"/>
      <c r="J24" s="2114">
        <f>IF(B5="x",IF(AUDITCHECK!D29="AFR form Incomplete.","",IF(AUDITCHECK!D29="Deficit reduction plan is required.","School District must complete a deficit reduction plan in the 2018-2019 Budget",)),"")</f>
        <v>0</v>
      </c>
      <c r="K24" s="2114"/>
      <c r="L24" s="2114"/>
      <c r="M24" s="2114"/>
      <c r="N24" s="2114"/>
      <c r="O24" s="2114"/>
      <c r="P24" s="2114"/>
      <c r="Q24" s="2114"/>
      <c r="R24" s="2114"/>
      <c r="S24" s="2115"/>
      <c r="T24" s="105" t="s">
        <v>552</v>
      </c>
      <c r="U24" s="106"/>
      <c r="V24" s="106"/>
      <c r="W24" s="106"/>
      <c r="X24" s="107"/>
      <c r="Y24" s="107"/>
      <c r="Z24" s="107"/>
      <c r="AA24" s="108"/>
    </row>
    <row r="25" spans="1:27" ht="14.1" customHeight="1" x14ac:dyDescent="0.2">
      <c r="A25" s="2049">
        <v>62546</v>
      </c>
      <c r="B25" s="2050"/>
      <c r="C25" s="2050"/>
      <c r="D25" s="2050"/>
      <c r="E25" s="2050"/>
      <c r="F25" s="2050"/>
      <c r="G25" s="2050"/>
      <c r="H25" s="2051"/>
      <c r="I25" s="113"/>
      <c r="J25" s="2116"/>
      <c r="K25" s="2116"/>
      <c r="L25" s="2116"/>
      <c r="M25" s="2116"/>
      <c r="N25" s="2116"/>
      <c r="O25" s="2116"/>
      <c r="P25" s="2116"/>
      <c r="Q25" s="2116"/>
      <c r="R25" s="2116"/>
      <c r="S25" s="2117"/>
      <c r="T25" s="2009" t="s">
        <v>2094</v>
      </c>
      <c r="U25" s="2010"/>
      <c r="V25" s="2010"/>
      <c r="W25" s="2010"/>
      <c r="X25" s="2010"/>
      <c r="Y25" s="2010"/>
      <c r="Z25" s="2010"/>
      <c r="AA25" s="201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107" t="s">
        <v>1591</v>
      </c>
      <c r="J27" s="2080"/>
      <c r="K27" s="2080"/>
      <c r="L27" s="2080"/>
      <c r="M27" s="2080"/>
      <c r="N27" s="2080"/>
      <c r="O27" s="2080"/>
      <c r="P27" s="2080"/>
      <c r="Q27" s="2080"/>
      <c r="R27" s="2080"/>
      <c r="S27" s="208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53"/>
      <c r="Q35" s="2050"/>
      <c r="R35" s="205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12" t="s">
        <v>2083</v>
      </c>
      <c r="B38" s="2082"/>
      <c r="C38" s="2082"/>
      <c r="D38" s="2082"/>
      <c r="E38" s="2082"/>
      <c r="F38" s="2050"/>
      <c r="G38" s="2050"/>
      <c r="H38" s="2051"/>
      <c r="I38" s="2101"/>
      <c r="J38" s="2021"/>
      <c r="K38" s="2021"/>
      <c r="L38" s="2021"/>
      <c r="M38" s="2021"/>
      <c r="N38" s="2021"/>
      <c r="O38" s="2021"/>
      <c r="P38" s="2022"/>
      <c r="Q38" s="2022"/>
      <c r="R38" s="2022"/>
      <c r="S38" s="2023"/>
      <c r="T38" s="2020"/>
      <c r="U38" s="2021"/>
      <c r="V38" s="2021"/>
      <c r="W38" s="2021"/>
      <c r="X38" s="2022"/>
      <c r="Y38" s="2022"/>
      <c r="Z38" s="2022"/>
      <c r="AA38" s="2023"/>
    </row>
    <row r="39" spans="1:27" ht="12" customHeight="1" x14ac:dyDescent="0.2">
      <c r="A39" s="2105" t="s">
        <v>552</v>
      </c>
      <c r="B39" s="2106"/>
      <c r="C39" s="72"/>
      <c r="D39" s="69"/>
      <c r="E39" s="69"/>
      <c r="F39" s="79"/>
      <c r="G39" s="69"/>
      <c r="H39" s="56"/>
      <c r="I39" s="2105" t="s">
        <v>552</v>
      </c>
      <c r="J39" s="2106"/>
      <c r="K39" s="2106"/>
      <c r="L39" s="2106"/>
      <c r="M39" s="2106"/>
      <c r="N39" s="67"/>
      <c r="O39" s="72"/>
      <c r="P39" s="72"/>
      <c r="Q39" s="78"/>
      <c r="R39" s="72"/>
      <c r="S39" s="56"/>
      <c r="T39" s="72" t="s">
        <v>552</v>
      </c>
      <c r="U39" s="51"/>
      <c r="V39" s="72"/>
      <c r="W39" s="50"/>
      <c r="X39" s="78"/>
      <c r="Y39" s="45"/>
      <c r="Z39" s="45"/>
      <c r="AA39" s="46"/>
    </row>
    <row r="40" spans="1:27" ht="13.5" customHeight="1" x14ac:dyDescent="0.2">
      <c r="A40" s="2108" t="s">
        <v>2082</v>
      </c>
      <c r="B40" s="2109"/>
      <c r="C40" s="2110"/>
      <c r="D40" s="2110"/>
      <c r="E40" s="2110"/>
      <c r="F40" s="2111"/>
      <c r="G40" s="2111"/>
      <c r="H40" s="2112"/>
      <c r="I40" s="2024"/>
      <c r="J40" s="2026"/>
      <c r="K40" s="2026"/>
      <c r="L40" s="2026"/>
      <c r="M40" s="2026"/>
      <c r="N40" s="2026"/>
      <c r="O40" s="2026"/>
      <c r="P40" s="2026"/>
      <c r="Q40" s="2026"/>
      <c r="R40" s="2026"/>
      <c r="S40" s="2027"/>
      <c r="T40" s="2024"/>
      <c r="U40" s="2025"/>
      <c r="V40" s="2026"/>
      <c r="W40" s="2026"/>
      <c r="X40" s="2026"/>
      <c r="Y40" s="2026"/>
      <c r="Z40" s="2026"/>
      <c r="AA40" s="202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98" t="s">
        <v>2084</v>
      </c>
      <c r="B42" s="2099"/>
      <c r="C42" s="2100"/>
      <c r="D42" s="2113" t="s">
        <v>2085</v>
      </c>
      <c r="E42" s="2099"/>
      <c r="F42" s="2099"/>
      <c r="G42" s="2099"/>
      <c r="H42" s="2100"/>
      <c r="I42" s="2019"/>
      <c r="J42" s="2015"/>
      <c r="K42" s="2015"/>
      <c r="L42" s="2015"/>
      <c r="M42" s="2015"/>
      <c r="N42" s="2015"/>
      <c r="O42" s="2016"/>
      <c r="P42" s="2014"/>
      <c r="Q42" s="2015"/>
      <c r="R42" s="2015"/>
      <c r="S42" s="2016"/>
      <c r="T42" s="2019"/>
      <c r="U42" s="2015"/>
      <c r="V42" s="2015"/>
      <c r="W42" s="2016"/>
      <c r="X42" s="2014"/>
      <c r="Y42" s="2015"/>
      <c r="Z42" s="2015"/>
      <c r="AA42" s="201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102"/>
      <c r="B44" s="2103"/>
      <c r="C44" s="2103"/>
      <c r="D44" s="2103"/>
      <c r="E44" s="2103"/>
      <c r="F44" s="2103"/>
      <c r="G44" s="2103"/>
      <c r="H44" s="2104"/>
      <c r="I44" s="2094"/>
      <c r="J44" s="2096"/>
      <c r="K44" s="2096"/>
      <c r="L44" s="2096"/>
      <c r="M44" s="2096"/>
      <c r="N44" s="2096"/>
      <c r="O44" s="2096"/>
      <c r="P44" s="2096"/>
      <c r="Q44" s="2096"/>
      <c r="R44" s="2096"/>
      <c r="S44" s="2097"/>
      <c r="T44" s="2094"/>
      <c r="U44" s="2095"/>
      <c r="V44" s="2095"/>
      <c r="W44" s="2095"/>
      <c r="X44" s="2095"/>
      <c r="Y44" s="2095"/>
      <c r="Z44" s="2096"/>
      <c r="AA44" s="209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rintOptions horizontalCentered="1"/>
  <pageMargins left="0.5" right="0.5" top="1.4" bottom="0.75" header="1" footer="0.5"/>
  <pageSetup scale="72"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F36"/>
  <sheetViews>
    <sheetView showGridLines="0" defaultGridColor="0" colorId="8" zoomScale="110" zoomScaleNormal="110" workbookViewId="0">
      <selection activeCell="E8" sqref="E8"/>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5" t="s">
        <v>106</v>
      </c>
    </row>
    <row r="2" spans="1:6" ht="39.75" customHeight="1" x14ac:dyDescent="0.2">
      <c r="A2" s="2251" t="s">
        <v>1905</v>
      </c>
      <c r="B2" s="1547" t="s">
        <v>2035</v>
      </c>
      <c r="C2" s="715" t="s">
        <v>1910</v>
      </c>
      <c r="D2" s="715" t="s">
        <v>1911</v>
      </c>
      <c r="E2" s="715" t="s">
        <v>1912</v>
      </c>
      <c r="F2" s="715" t="s">
        <v>1913</v>
      </c>
    </row>
    <row r="3" spans="1:6" ht="12" customHeight="1" x14ac:dyDescent="0.2">
      <c r="A3" s="2252"/>
      <c r="B3" s="1544"/>
      <c r="C3" s="1545"/>
      <c r="D3" s="1546" t="s">
        <v>274</v>
      </c>
      <c r="E3" s="1545"/>
      <c r="F3" s="1546" t="s">
        <v>275</v>
      </c>
    </row>
    <row r="4" spans="1:6" ht="13.7" customHeight="1" x14ac:dyDescent="0.2">
      <c r="A4" s="716" t="s">
        <v>1217</v>
      </c>
      <c r="B4" s="1768">
        <f>'Revenues 9-14'!C5</f>
        <v>1283917</v>
      </c>
      <c r="C4" s="1543"/>
      <c r="D4" s="1771">
        <f>B4-C4</f>
        <v>1283917</v>
      </c>
      <c r="E4" s="1543">
        <v>1343122</v>
      </c>
      <c r="F4" s="1771">
        <f>E4-C4</f>
        <v>1343122</v>
      </c>
    </row>
    <row r="5" spans="1:6" ht="13.7" customHeight="1" x14ac:dyDescent="0.2">
      <c r="A5" s="716" t="s">
        <v>925</v>
      </c>
      <c r="B5" s="1769">
        <f>'Revenues 9-14'!D5</f>
        <v>213999</v>
      </c>
      <c r="C5" s="585"/>
      <c r="D5" s="1772">
        <f t="shared" ref="D5:D18" si="0">B5-C5</f>
        <v>213999</v>
      </c>
      <c r="E5" s="585">
        <v>223854</v>
      </c>
      <c r="F5" s="1772">
        <f>E5-C5</f>
        <v>223854</v>
      </c>
    </row>
    <row r="6" spans="1:6" ht="13.7" customHeight="1" x14ac:dyDescent="0.2">
      <c r="A6" s="716" t="s">
        <v>431</v>
      </c>
      <c r="B6" s="1769">
        <f>'Revenues 9-14'!E5</f>
        <v>157956</v>
      </c>
      <c r="C6" s="585"/>
      <c r="D6" s="1772">
        <f t="shared" si="0"/>
        <v>157956</v>
      </c>
      <c r="E6" s="585">
        <v>166064</v>
      </c>
      <c r="F6" s="1772">
        <f t="shared" ref="F6:F18" si="1">E6-C6</f>
        <v>166064</v>
      </c>
    </row>
    <row r="7" spans="1:6" ht="13.7" customHeight="1" x14ac:dyDescent="0.2">
      <c r="A7" s="716" t="s">
        <v>157</v>
      </c>
      <c r="B7" s="1769">
        <f>'Revenues 9-14'!F5</f>
        <v>85600</v>
      </c>
      <c r="C7" s="585"/>
      <c r="D7" s="1772">
        <f t="shared" si="0"/>
        <v>85600</v>
      </c>
      <c r="E7" s="585">
        <v>89542</v>
      </c>
      <c r="F7" s="1772">
        <f t="shared" si="1"/>
        <v>89542</v>
      </c>
    </row>
    <row r="8" spans="1:6" ht="13.7" customHeight="1" x14ac:dyDescent="0.2">
      <c r="A8" s="716" t="s">
        <v>1241</v>
      </c>
      <c r="B8" s="1769">
        <f>'Revenues 9-14'!G5</f>
        <v>29947</v>
      </c>
      <c r="C8" s="585"/>
      <c r="D8" s="1772">
        <f t="shared" si="0"/>
        <v>29947</v>
      </c>
      <c r="E8" s="585">
        <v>30001</v>
      </c>
      <c r="F8" s="1772">
        <f t="shared" si="1"/>
        <v>30001</v>
      </c>
    </row>
    <row r="9" spans="1:6" ht="13.7" customHeight="1" x14ac:dyDescent="0.2">
      <c r="A9" s="716" t="s">
        <v>428</v>
      </c>
      <c r="B9" s="1769">
        <f>'Revenues 9-14'!H5</f>
        <v>0</v>
      </c>
      <c r="C9" s="585"/>
      <c r="D9" s="1772">
        <f t="shared" si="0"/>
        <v>0</v>
      </c>
      <c r="E9" s="585"/>
      <c r="F9" s="1772">
        <f t="shared" si="1"/>
        <v>0</v>
      </c>
    </row>
    <row r="10" spans="1:6" ht="13.7" customHeight="1" x14ac:dyDescent="0.2">
      <c r="A10" s="716" t="s">
        <v>427</v>
      </c>
      <c r="B10" s="1769">
        <f>'Revenues 9-14'!I5</f>
        <v>21400</v>
      </c>
      <c r="C10" s="585"/>
      <c r="D10" s="1772">
        <f t="shared" si="0"/>
        <v>21400</v>
      </c>
      <c r="E10" s="585">
        <v>22385</v>
      </c>
      <c r="F10" s="1772">
        <f t="shared" si="1"/>
        <v>22385</v>
      </c>
    </row>
    <row r="11" spans="1:6" x14ac:dyDescent="0.2">
      <c r="A11" s="716" t="s">
        <v>429</v>
      </c>
      <c r="B11" s="1769">
        <f>'Revenues 9-14'!J5</f>
        <v>229563</v>
      </c>
      <c r="C11" s="585"/>
      <c r="D11" s="1772">
        <f t="shared" si="0"/>
        <v>229563</v>
      </c>
      <c r="E11" s="585">
        <v>245003</v>
      </c>
      <c r="F11" s="1772">
        <f t="shared" si="1"/>
        <v>245003</v>
      </c>
    </row>
    <row r="12" spans="1:6" ht="13.7" customHeight="1" x14ac:dyDescent="0.2">
      <c r="A12" s="716" t="s">
        <v>159</v>
      </c>
      <c r="B12" s="1769">
        <f>'Revenues 9-14'!K5</f>
        <v>21400</v>
      </c>
      <c r="C12" s="585"/>
      <c r="D12" s="1772">
        <f t="shared" si="0"/>
        <v>21400</v>
      </c>
      <c r="E12" s="585">
        <v>22385</v>
      </c>
      <c r="F12" s="1772">
        <f t="shared" si="1"/>
        <v>22385</v>
      </c>
    </row>
    <row r="13" spans="1:6" ht="13.7" customHeight="1" x14ac:dyDescent="0.2">
      <c r="A13" s="716" t="s">
        <v>993</v>
      </c>
      <c r="B13" s="1769">
        <f>SUM('Revenues 9-14'!C6:D6)</f>
        <v>21941</v>
      </c>
      <c r="C13" s="585"/>
      <c r="D13" s="1772">
        <f t="shared" si="0"/>
        <v>21941</v>
      </c>
      <c r="E13" s="585">
        <v>22385</v>
      </c>
      <c r="F13" s="1772">
        <f t="shared" si="1"/>
        <v>22385</v>
      </c>
    </row>
    <row r="14" spans="1:6" ht="13.7" customHeight="1" x14ac:dyDescent="0.2">
      <c r="A14" s="716" t="s">
        <v>430</v>
      </c>
      <c r="B14" s="1769">
        <f>SUM('Revenues 9-14'!C7:D7,'Revenues 9-14'!F7:H7)</f>
        <v>17120</v>
      </c>
      <c r="C14" s="585"/>
      <c r="D14" s="1772">
        <f t="shared" si="0"/>
        <v>17120</v>
      </c>
      <c r="E14" s="585">
        <v>17908</v>
      </c>
      <c r="F14" s="1772">
        <f t="shared" si="1"/>
        <v>17908</v>
      </c>
    </row>
    <row r="15" spans="1:6" ht="13.7" customHeight="1" x14ac:dyDescent="0.2">
      <c r="A15" s="716" t="s">
        <v>1220</v>
      </c>
      <c r="B15" s="1769">
        <f>'Revenues 9-14'!E9</f>
        <v>0</v>
      </c>
      <c r="C15" s="585"/>
      <c r="D15" s="1772">
        <f t="shared" si="0"/>
        <v>0</v>
      </c>
      <c r="E15" s="585"/>
      <c r="F15" s="1772">
        <f t="shared" si="1"/>
        <v>0</v>
      </c>
    </row>
    <row r="16" spans="1:6" ht="13.7" customHeight="1" x14ac:dyDescent="0.2">
      <c r="A16" s="716" t="s">
        <v>1221</v>
      </c>
      <c r="B16" s="1769">
        <f>'Revenues 9-14'!G8</f>
        <v>74861</v>
      </c>
      <c r="C16" s="585"/>
      <c r="D16" s="1772">
        <f t="shared" si="0"/>
        <v>74861</v>
      </c>
      <c r="E16" s="585">
        <v>75000</v>
      </c>
      <c r="F16" s="1772">
        <f t="shared" si="1"/>
        <v>75000</v>
      </c>
    </row>
    <row r="17" spans="1:6" ht="13.7" customHeight="1" x14ac:dyDescent="0.2">
      <c r="A17" s="716" t="s">
        <v>1222</v>
      </c>
      <c r="B17" s="1769">
        <f>'Revenues 9-14'!C10</f>
        <v>0</v>
      </c>
      <c r="C17" s="585"/>
      <c r="D17" s="1772">
        <f t="shared" si="0"/>
        <v>0</v>
      </c>
      <c r="E17" s="585"/>
      <c r="F17" s="1772">
        <f t="shared" si="1"/>
        <v>0</v>
      </c>
    </row>
    <row r="18" spans="1:6" ht="13.7" customHeight="1" x14ac:dyDescent="0.2">
      <c r="A18" s="716" t="s">
        <v>786</v>
      </c>
      <c r="B18" s="1769">
        <f>SUM('Revenues 9-14'!C11:K11)</f>
        <v>0</v>
      </c>
      <c r="C18" s="585"/>
      <c r="D18" s="1772">
        <f t="shared" si="0"/>
        <v>0</v>
      </c>
      <c r="E18" s="585"/>
      <c r="F18" s="1772">
        <f t="shared" si="1"/>
        <v>0</v>
      </c>
    </row>
    <row r="19" spans="1:6" ht="13.7" customHeight="1" thickBot="1" x14ac:dyDescent="0.25">
      <c r="A19" s="1773" t="s">
        <v>1223</v>
      </c>
      <c r="B19" s="1770">
        <f>SUM(B4:B18)</f>
        <v>2157704</v>
      </c>
      <c r="C19" s="1770">
        <f>SUM(C4:C18)</f>
        <v>0</v>
      </c>
      <c r="D19" s="1770">
        <f>SUM(D4:D18)</f>
        <v>2157704</v>
      </c>
      <c r="E19" s="1770">
        <f>SUM(E4:E18)</f>
        <v>2257649</v>
      </c>
      <c r="F19" s="1770">
        <f>SUM(F4:F18)</f>
        <v>2257649</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orizontalCentered="1" headings="1" gridLinesSet="0"/>
  <pageMargins left="0.5" right="0.5" top="1.4" bottom="0.75" header="1" footer="0.5"/>
  <pageSetup scale="97" firstPageNumber="23" orientation="landscape" useFirstPageNumber="1" r:id="rId1"/>
  <headerFooter alignWithMargins="0">
    <oddHeader>&amp;L&amp;8Page &amp;P&amp;R&amp;8Page &amp;P</oddHeader>
    <oddFooter>&amp;L&amp;8Print Date: &amp;D
&amp;F&amp;CReference should be made to accountant's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34" colorId="8" zoomScale="145" zoomScaleNormal="145" workbookViewId="0">
      <selection activeCell="J35" sqref="J35"/>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57" t="s">
        <v>650</v>
      </c>
      <c r="B1" s="2258"/>
      <c r="C1" s="722"/>
    </row>
    <row r="2" spans="1:7" ht="33.75" x14ac:dyDescent="0.2">
      <c r="A2" s="2266" t="s">
        <v>1905</v>
      </c>
      <c r="B2" s="2267"/>
      <c r="C2" s="1906" t="s">
        <v>2036</v>
      </c>
      <c r="D2" s="724" t="s">
        <v>2043</v>
      </c>
      <c r="E2" s="724" t="s">
        <v>2044</v>
      </c>
      <c r="F2" s="1906" t="s">
        <v>2037</v>
      </c>
    </row>
    <row r="3" spans="1:7" ht="15.75" customHeight="1" x14ac:dyDescent="0.2">
      <c r="A3" s="2270" t="s">
        <v>1176</v>
      </c>
      <c r="B3" s="2271"/>
      <c r="C3" s="2259"/>
      <c r="D3" s="2260"/>
      <c r="E3" s="2260"/>
      <c r="F3" s="2261"/>
    </row>
    <row r="4" spans="1:7" ht="12.75" customHeight="1" thickBot="1" x14ac:dyDescent="0.25">
      <c r="A4" s="2268" t="s">
        <v>651</v>
      </c>
      <c r="B4" s="2269"/>
      <c r="C4" s="581"/>
      <c r="D4" s="581"/>
      <c r="E4" s="581"/>
      <c r="F4" s="1774">
        <f>SUM(C4+D4)-E4</f>
        <v>0</v>
      </c>
    </row>
    <row r="5" spans="1:7" ht="15.75" customHeight="1" thickTop="1" x14ac:dyDescent="0.2">
      <c r="A5" s="2253" t="s">
        <v>1172</v>
      </c>
      <c r="B5" s="2254"/>
      <c r="C5" s="2262"/>
      <c r="D5" s="2263"/>
      <c r="E5" s="2263"/>
      <c r="F5" s="2264"/>
    </row>
    <row r="6" spans="1:7" ht="12.75" customHeight="1" thickBot="1" x14ac:dyDescent="0.25">
      <c r="A6" s="725" t="s">
        <v>66</v>
      </c>
      <c r="B6" s="726"/>
      <c r="C6" s="727"/>
      <c r="D6" s="585"/>
      <c r="E6" s="727"/>
      <c r="F6" s="1774">
        <f t="shared" ref="F6:F14" si="0">SUM(C6+D6)-E6</f>
        <v>0</v>
      </c>
    </row>
    <row r="7" spans="1:7" ht="12.75" customHeight="1" thickTop="1" thickBot="1" x14ac:dyDescent="0.25">
      <c r="A7" s="725" t="s">
        <v>6</v>
      </c>
      <c r="B7" s="726"/>
      <c r="C7" s="727"/>
      <c r="D7" s="585"/>
      <c r="E7" s="727"/>
      <c r="F7" s="1774">
        <f t="shared" si="0"/>
        <v>0</v>
      </c>
    </row>
    <row r="8" spans="1:7" ht="12.75" customHeight="1" thickTop="1" thickBot="1" x14ac:dyDescent="0.25">
      <c r="A8" s="725" t="s">
        <v>529</v>
      </c>
      <c r="B8" s="726"/>
      <c r="C8" s="727"/>
      <c r="D8" s="585"/>
      <c r="E8" s="727"/>
      <c r="F8" s="1774">
        <f t="shared" si="0"/>
        <v>0</v>
      </c>
    </row>
    <row r="9" spans="1:7" ht="12.75" customHeight="1" thickTop="1" thickBot="1" x14ac:dyDescent="0.25">
      <c r="A9" s="725" t="s">
        <v>530</v>
      </c>
      <c r="B9" s="726"/>
      <c r="C9" s="727"/>
      <c r="D9" s="585"/>
      <c r="E9" s="727"/>
      <c r="F9" s="1774">
        <f t="shared" si="0"/>
        <v>0</v>
      </c>
    </row>
    <row r="10" spans="1:7" ht="12.75" customHeight="1" thickTop="1" thickBot="1" x14ac:dyDescent="0.25">
      <c r="A10" s="725" t="s">
        <v>531</v>
      </c>
      <c r="B10" s="726"/>
      <c r="C10" s="727"/>
      <c r="D10" s="585"/>
      <c r="E10" s="727"/>
      <c r="F10" s="1774">
        <f t="shared" si="0"/>
        <v>0</v>
      </c>
    </row>
    <row r="11" spans="1:7" ht="12.75" customHeight="1" thickTop="1" thickBot="1" x14ac:dyDescent="0.25">
      <c r="A11" s="725" t="s">
        <v>359</v>
      </c>
      <c r="B11" s="726"/>
      <c r="C11" s="727"/>
      <c r="D11" s="585"/>
      <c r="E11" s="727"/>
      <c r="F11" s="1774">
        <f t="shared" si="0"/>
        <v>0</v>
      </c>
    </row>
    <row r="12" spans="1:7" ht="12.75" customHeight="1" thickTop="1" thickBot="1" x14ac:dyDescent="0.25">
      <c r="A12" s="725" t="s">
        <v>1219</v>
      </c>
      <c r="B12" s="726"/>
      <c r="C12" s="727"/>
      <c r="D12" s="585"/>
      <c r="E12" s="727"/>
      <c r="F12" s="1774">
        <f t="shared" si="0"/>
        <v>0</v>
      </c>
    </row>
    <row r="13" spans="1:7" ht="12.75" customHeight="1" thickTop="1" thickBot="1" x14ac:dyDescent="0.25">
      <c r="A13" s="725" t="s">
        <v>406</v>
      </c>
      <c r="B13" s="726"/>
      <c r="C13" s="727"/>
      <c r="D13" s="585"/>
      <c r="E13" s="727"/>
      <c r="F13" s="1774">
        <f t="shared" si="0"/>
        <v>0</v>
      </c>
    </row>
    <row r="14" spans="1:7" ht="12.75" customHeight="1" thickTop="1" thickBot="1" x14ac:dyDescent="0.25">
      <c r="A14" s="725" t="s">
        <v>468</v>
      </c>
      <c r="B14" s="726"/>
      <c r="C14" s="727"/>
      <c r="D14" s="585"/>
      <c r="E14" s="727"/>
      <c r="F14" s="1774">
        <f t="shared" si="0"/>
        <v>0</v>
      </c>
    </row>
    <row r="15" spans="1:7" ht="14.25" thickTop="1" thickBot="1" x14ac:dyDescent="0.25">
      <c r="A15" s="2255" t="s">
        <v>652</v>
      </c>
      <c r="B15" s="2256"/>
      <c r="C15" s="1774">
        <f>SUM(C6:C14)</f>
        <v>0</v>
      </c>
      <c r="D15" s="1774">
        <f>SUM(D6:D14)</f>
        <v>0</v>
      </c>
      <c r="E15" s="1774">
        <f>SUM(E6:E14)</f>
        <v>0</v>
      </c>
      <c r="F15" s="1774">
        <f>SUM(F6:F14)</f>
        <v>0</v>
      </c>
      <c r="G15" s="552"/>
    </row>
    <row r="16" spans="1:7" s="202" customFormat="1" ht="15.75" customHeight="1" thickTop="1" x14ac:dyDescent="0.2">
      <c r="A16" s="2265" t="s">
        <v>1173</v>
      </c>
      <c r="B16" s="2254"/>
      <c r="C16" s="2262"/>
      <c r="D16" s="2263"/>
      <c r="E16" s="2263"/>
      <c r="F16" s="2264"/>
    </row>
    <row r="17" spans="1:11" ht="12.75" customHeight="1" thickBot="1" x14ac:dyDescent="0.25">
      <c r="A17" s="2278" t="s">
        <v>66</v>
      </c>
      <c r="B17" s="2279"/>
      <c r="C17" s="727"/>
      <c r="D17" s="585"/>
      <c r="E17" s="727"/>
      <c r="F17" s="1774">
        <f>SUM(C17+D17)-E17</f>
        <v>0</v>
      </c>
    </row>
    <row r="18" spans="1:11" ht="12.75" customHeight="1" thickTop="1" thickBot="1" x14ac:dyDescent="0.25">
      <c r="A18" s="2278" t="s">
        <v>6</v>
      </c>
      <c r="B18" s="2279"/>
      <c r="C18" s="727"/>
      <c r="D18" s="585"/>
      <c r="E18" s="727"/>
      <c r="F18" s="1774">
        <f>SUM(C18+D18)-E18</f>
        <v>0</v>
      </c>
    </row>
    <row r="19" spans="1:11" ht="12.75" customHeight="1" thickTop="1" thickBot="1" x14ac:dyDescent="0.25">
      <c r="A19" s="2278" t="s">
        <v>406</v>
      </c>
      <c r="B19" s="2279"/>
      <c r="C19" s="727"/>
      <c r="D19" s="585"/>
      <c r="E19" s="727"/>
      <c r="F19" s="1774">
        <f>SUM(C19+D19)-E19</f>
        <v>0</v>
      </c>
    </row>
    <row r="20" spans="1:11" ht="12.75" customHeight="1" thickTop="1" thickBot="1" x14ac:dyDescent="0.25">
      <c r="A20" s="2278" t="s">
        <v>468</v>
      </c>
      <c r="B20" s="2279"/>
      <c r="C20" s="727"/>
      <c r="D20" s="585"/>
      <c r="E20" s="727"/>
      <c r="F20" s="1774">
        <f>SUM(C20+D20)-E20</f>
        <v>0</v>
      </c>
    </row>
    <row r="21" spans="1:11" ht="14.25" thickTop="1" thickBot="1" x14ac:dyDescent="0.25">
      <c r="A21" s="2255" t="s">
        <v>653</v>
      </c>
      <c r="B21" s="2256"/>
      <c r="C21" s="1774">
        <f>SUM(C17:C20)</f>
        <v>0</v>
      </c>
      <c r="D21" s="1774">
        <f>SUM(D17:D20)</f>
        <v>0</v>
      </c>
      <c r="E21" s="1774">
        <f>SUM(E17:E20)</f>
        <v>0</v>
      </c>
      <c r="F21" s="1774">
        <f>SUM(F17:F20)</f>
        <v>0</v>
      </c>
      <c r="G21" s="552"/>
    </row>
    <row r="22" spans="1:11" ht="15.75" customHeight="1" thickTop="1" x14ac:dyDescent="0.2">
      <c r="A22" s="2280" t="s">
        <v>1174</v>
      </c>
      <c r="B22" s="2254"/>
      <c r="C22" s="2262"/>
      <c r="D22" s="2263"/>
      <c r="E22" s="2263"/>
      <c r="F22" s="2264"/>
    </row>
    <row r="23" spans="1:11" ht="13.5" thickBot="1" x14ac:dyDescent="0.25">
      <c r="A23" s="2268" t="s">
        <v>654</v>
      </c>
      <c r="B23" s="2269"/>
      <c r="C23" s="581"/>
      <c r="D23" s="581"/>
      <c r="E23" s="581"/>
      <c r="F23" s="1774">
        <f>SUM(C23+D23)-E23</f>
        <v>0</v>
      </c>
      <c r="G23" s="552"/>
    </row>
    <row r="24" spans="1:11" ht="15.75" customHeight="1" thickTop="1" x14ac:dyDescent="0.2">
      <c r="A24" s="2280" t="s">
        <v>1175</v>
      </c>
      <c r="B24" s="2254"/>
      <c r="C24" s="2262"/>
      <c r="D24" s="2263"/>
      <c r="E24" s="2263"/>
      <c r="F24" s="2264"/>
    </row>
    <row r="25" spans="1:11" ht="13.5" thickBot="1" x14ac:dyDescent="0.25">
      <c r="A25" s="2268" t="s">
        <v>655</v>
      </c>
      <c r="B25" s="2269"/>
      <c r="C25" s="581"/>
      <c r="D25" s="581"/>
      <c r="E25" s="581"/>
      <c r="F25" s="1774">
        <f>SUM(C25+D25)-E25</f>
        <v>0</v>
      </c>
      <c r="G25" s="552"/>
    </row>
    <row r="26" spans="1:11" ht="15.75" customHeight="1" thickTop="1" x14ac:dyDescent="0.2">
      <c r="A26" s="2253" t="s">
        <v>678</v>
      </c>
      <c r="B26" s="2254"/>
      <c r="C26" s="728"/>
      <c r="D26" s="728"/>
      <c r="E26" s="728"/>
      <c r="F26" s="729"/>
    </row>
    <row r="27" spans="1:11" ht="13.5" thickBot="1" x14ac:dyDescent="0.25">
      <c r="A27" s="2255" t="s">
        <v>1130</v>
      </c>
      <c r="B27" s="2256"/>
      <c r="C27" s="585"/>
      <c r="D27" s="585"/>
      <c r="E27" s="585"/>
      <c r="F27" s="1774">
        <f>SUM(C27+D27)-E27</f>
        <v>0</v>
      </c>
      <c r="G27" s="552"/>
    </row>
    <row r="28" spans="1:11" ht="7.5" customHeight="1" thickTop="1" x14ac:dyDescent="0.2">
      <c r="A28" s="594"/>
    </row>
    <row r="29" spans="1:11" ht="23.25" customHeight="1" x14ac:dyDescent="0.2">
      <c r="A29" s="2281" t="s">
        <v>603</v>
      </c>
      <c r="B29" s="2258"/>
      <c r="C29" s="730"/>
      <c r="D29" s="730"/>
      <c r="E29" s="730"/>
      <c r="F29" s="730"/>
      <c r="G29" s="730"/>
      <c r="H29" s="730"/>
      <c r="I29" s="730"/>
      <c r="J29" s="730"/>
    </row>
    <row r="30" spans="1:11" ht="33.75" x14ac:dyDescent="0.2">
      <c r="A30" s="1548" t="s">
        <v>1131</v>
      </c>
      <c r="B30" s="731" t="s">
        <v>1186</v>
      </c>
      <c r="C30" s="1907" t="s">
        <v>604</v>
      </c>
      <c r="D30" s="1907" t="s">
        <v>1772</v>
      </c>
      <c r="E30" s="1907" t="s">
        <v>2038</v>
      </c>
      <c r="F30" s="1907" t="s">
        <v>2039</v>
      </c>
      <c r="G30" s="1907" t="s">
        <v>2042</v>
      </c>
      <c r="H30" s="1907" t="s">
        <v>2040</v>
      </c>
      <c r="I30" s="1907" t="s">
        <v>2041</v>
      </c>
      <c r="J30" s="1908" t="s">
        <v>2</v>
      </c>
      <c r="K30" s="732"/>
    </row>
    <row r="31" spans="1:11" ht="12" customHeight="1" x14ac:dyDescent="0.2">
      <c r="A31" s="733" t="s">
        <v>2191</v>
      </c>
      <c r="B31" s="734">
        <v>39753</v>
      </c>
      <c r="C31" s="735">
        <v>1650000</v>
      </c>
      <c r="D31" s="736" t="s">
        <v>2195</v>
      </c>
      <c r="E31" s="735">
        <v>1650000</v>
      </c>
      <c r="F31" s="735"/>
      <c r="G31" s="735"/>
      <c r="H31" s="735"/>
      <c r="I31" s="1775">
        <f>((E31+F31)-H31)+G31</f>
        <v>1650000</v>
      </c>
      <c r="J31" s="735">
        <f>1650000-8857</f>
        <v>1641143</v>
      </c>
      <c r="K31" s="737"/>
    </row>
    <row r="32" spans="1:11" ht="12" customHeight="1" x14ac:dyDescent="0.2">
      <c r="A32" s="733" t="s">
        <v>2192</v>
      </c>
      <c r="B32" s="734">
        <v>41548</v>
      </c>
      <c r="C32" s="735">
        <v>465000</v>
      </c>
      <c r="D32" s="736">
        <v>6</v>
      </c>
      <c r="E32" s="735">
        <v>110000</v>
      </c>
      <c r="F32" s="735"/>
      <c r="G32" s="735"/>
      <c r="H32" s="735">
        <v>110000</v>
      </c>
      <c r="I32" s="1775">
        <f>((E32+F32)-H32)+G32</f>
        <v>0</v>
      </c>
      <c r="J32" s="735"/>
      <c r="K32" s="737"/>
    </row>
    <row r="33" spans="1:11" ht="12" customHeight="1" x14ac:dyDescent="0.2">
      <c r="A33" s="733" t="s">
        <v>2194</v>
      </c>
      <c r="B33" s="734">
        <v>42429</v>
      </c>
      <c r="C33" s="735">
        <v>200000</v>
      </c>
      <c r="D33" s="736">
        <v>4</v>
      </c>
      <c r="E33" s="735">
        <v>200000</v>
      </c>
      <c r="F33" s="735"/>
      <c r="G33" s="735"/>
      <c r="H33" s="735">
        <v>85000</v>
      </c>
      <c r="I33" s="1775">
        <f t="shared" ref="I33:I48" si="1">((E33+F33)-H33)+G33</f>
        <v>115000</v>
      </c>
      <c r="J33" s="735">
        <v>115000</v>
      </c>
      <c r="K33" s="737"/>
    </row>
    <row r="34" spans="1:11" ht="12" customHeight="1" x14ac:dyDescent="0.2">
      <c r="A34" s="733" t="s">
        <v>2193</v>
      </c>
      <c r="B34" s="734">
        <v>42579</v>
      </c>
      <c r="C34" s="735">
        <v>85200</v>
      </c>
      <c r="D34" s="736">
        <v>7</v>
      </c>
      <c r="E34" s="735">
        <v>66848</v>
      </c>
      <c r="F34" s="735"/>
      <c r="G34" s="735"/>
      <c r="H34" s="735">
        <v>15777</v>
      </c>
      <c r="I34" s="1775">
        <f t="shared" si="1"/>
        <v>51071</v>
      </c>
      <c r="J34" s="735">
        <v>51071</v>
      </c>
      <c r="K34" s="738"/>
    </row>
    <row r="35" spans="1:11" ht="12" customHeight="1" x14ac:dyDescent="0.2">
      <c r="A35" s="733"/>
      <c r="B35" s="734"/>
      <c r="C35" s="739"/>
      <c r="D35" s="736"/>
      <c r="E35" s="739"/>
      <c r="F35" s="739"/>
      <c r="G35" s="739"/>
      <c r="H35" s="739"/>
      <c r="I35" s="1775">
        <f t="shared" si="1"/>
        <v>0</v>
      </c>
      <c r="J35" s="739"/>
      <c r="K35" s="738"/>
    </row>
    <row r="36" spans="1:11" ht="12" customHeight="1" x14ac:dyDescent="0.2">
      <c r="A36" s="733"/>
      <c r="B36" s="734"/>
      <c r="C36" s="735"/>
      <c r="D36" s="736"/>
      <c r="E36" s="735"/>
      <c r="F36" s="735"/>
      <c r="G36" s="735"/>
      <c r="H36" s="735"/>
      <c r="I36" s="1775">
        <f t="shared" si="1"/>
        <v>0</v>
      </c>
      <c r="J36" s="735"/>
      <c r="K36" s="740"/>
    </row>
    <row r="37" spans="1:11" ht="12" customHeight="1" x14ac:dyDescent="0.2">
      <c r="A37" s="733"/>
      <c r="B37" s="734"/>
      <c r="C37" s="467"/>
      <c r="D37" s="741"/>
      <c r="E37" s="467"/>
      <c r="F37" s="467"/>
      <c r="G37" s="467"/>
      <c r="H37" s="467"/>
      <c r="I37" s="1775">
        <f t="shared" si="1"/>
        <v>0</v>
      </c>
      <c r="J37" s="467"/>
      <c r="K37" s="738"/>
    </row>
    <row r="38" spans="1:11" ht="12" customHeight="1" x14ac:dyDescent="0.2">
      <c r="A38" s="733"/>
      <c r="B38" s="734"/>
      <c r="C38" s="735"/>
      <c r="D38" s="742"/>
      <c r="E38" s="743"/>
      <c r="F38" s="743"/>
      <c r="G38" s="743"/>
      <c r="H38" s="743"/>
      <c r="I38" s="1775">
        <f t="shared" si="1"/>
        <v>0</v>
      </c>
      <c r="J38" s="744" t="s">
        <v>282</v>
      </c>
      <c r="K38" s="745"/>
    </row>
    <row r="39" spans="1:11" ht="12" customHeight="1" x14ac:dyDescent="0.2">
      <c r="A39" s="733"/>
      <c r="B39" s="734"/>
      <c r="C39" s="735"/>
      <c r="D39" s="742"/>
      <c r="E39" s="743"/>
      <c r="F39" s="743"/>
      <c r="G39" s="743"/>
      <c r="H39" s="743"/>
      <c r="I39" s="1775">
        <f t="shared" si="1"/>
        <v>0</v>
      </c>
      <c r="J39" s="744"/>
      <c r="K39" s="745"/>
    </row>
    <row r="40" spans="1:11" ht="12" customHeight="1" x14ac:dyDescent="0.2">
      <c r="A40" s="733"/>
      <c r="B40" s="734"/>
      <c r="C40" s="735"/>
      <c r="D40" s="742"/>
      <c r="E40" s="743"/>
      <c r="F40" s="743"/>
      <c r="G40" s="743"/>
      <c r="H40" s="743"/>
      <c r="I40" s="1775">
        <f t="shared" si="1"/>
        <v>0</v>
      </c>
      <c r="J40" s="744"/>
      <c r="K40" s="745"/>
    </row>
    <row r="41" spans="1:11" ht="12" customHeight="1" x14ac:dyDescent="0.2">
      <c r="A41" s="733"/>
      <c r="B41" s="734"/>
      <c r="C41" s="735"/>
      <c r="D41" s="742"/>
      <c r="E41" s="743"/>
      <c r="F41" s="743"/>
      <c r="G41" s="743"/>
      <c r="H41" s="743"/>
      <c r="I41" s="1775">
        <f t="shared" si="1"/>
        <v>0</v>
      </c>
      <c r="J41" s="744"/>
      <c r="K41" s="745"/>
    </row>
    <row r="42" spans="1:11" ht="12" customHeight="1" x14ac:dyDescent="0.2">
      <c r="A42" s="733"/>
      <c r="B42" s="734"/>
      <c r="C42" s="735"/>
      <c r="D42" s="742"/>
      <c r="E42" s="743"/>
      <c r="F42" s="743"/>
      <c r="G42" s="743"/>
      <c r="H42" s="743"/>
      <c r="I42" s="1775">
        <f t="shared" si="1"/>
        <v>0</v>
      </c>
      <c r="J42" s="744"/>
      <c r="K42" s="745"/>
    </row>
    <row r="43" spans="1:11" ht="12" customHeight="1" x14ac:dyDescent="0.2">
      <c r="A43" s="733"/>
      <c r="B43" s="734"/>
      <c r="C43" s="735"/>
      <c r="D43" s="742"/>
      <c r="E43" s="743"/>
      <c r="F43" s="743"/>
      <c r="G43" s="743"/>
      <c r="H43" s="743"/>
      <c r="I43" s="1775">
        <f t="shared" si="1"/>
        <v>0</v>
      </c>
      <c r="J43" s="744"/>
      <c r="K43" s="745"/>
    </row>
    <row r="44" spans="1:11" ht="12" customHeight="1" x14ac:dyDescent="0.2">
      <c r="A44" s="733"/>
      <c r="B44" s="734"/>
      <c r="C44" s="735"/>
      <c r="D44" s="736"/>
      <c r="E44" s="735"/>
      <c r="F44" s="735"/>
      <c r="G44" s="735"/>
      <c r="H44" s="735"/>
      <c r="I44" s="1775">
        <f t="shared" si="1"/>
        <v>0</v>
      </c>
      <c r="J44" s="735"/>
      <c r="K44" s="738"/>
    </row>
    <row r="45" spans="1:11" ht="12" customHeight="1" x14ac:dyDescent="0.2">
      <c r="A45" s="733"/>
      <c r="B45" s="734"/>
      <c r="C45" s="735"/>
      <c r="D45" s="736"/>
      <c r="E45" s="735"/>
      <c r="F45" s="735"/>
      <c r="G45" s="735"/>
      <c r="H45" s="735"/>
      <c r="I45" s="1775">
        <f t="shared" si="1"/>
        <v>0</v>
      </c>
      <c r="J45" s="735"/>
      <c r="K45" s="738"/>
    </row>
    <row r="46" spans="1:11" ht="12" customHeight="1" x14ac:dyDescent="0.2">
      <c r="A46" s="733"/>
      <c r="B46" s="734"/>
      <c r="C46" s="735"/>
      <c r="D46" s="736"/>
      <c r="E46" s="735"/>
      <c r="F46" s="735"/>
      <c r="G46" s="735"/>
      <c r="H46" s="735"/>
      <c r="I46" s="1775">
        <f t="shared" si="1"/>
        <v>0</v>
      </c>
      <c r="J46" s="735"/>
      <c r="K46" s="738"/>
    </row>
    <row r="47" spans="1:11" ht="12" customHeight="1" x14ac:dyDescent="0.2">
      <c r="A47" s="733"/>
      <c r="B47" s="734"/>
      <c r="C47" s="739"/>
      <c r="D47" s="736"/>
      <c r="E47" s="739"/>
      <c r="F47" s="739"/>
      <c r="G47" s="739"/>
      <c r="H47" s="739"/>
      <c r="I47" s="1775">
        <f t="shared" si="1"/>
        <v>0</v>
      </c>
      <c r="J47" s="739"/>
      <c r="K47" s="738"/>
    </row>
    <row r="48" spans="1:11" ht="12" customHeight="1" x14ac:dyDescent="0.2">
      <c r="A48" s="733"/>
      <c r="B48" s="734"/>
      <c r="C48" s="735"/>
      <c r="D48" s="736"/>
      <c r="E48" s="735"/>
      <c r="F48" s="735"/>
      <c r="G48" s="735"/>
      <c r="H48" s="735"/>
      <c r="I48" s="1775">
        <f t="shared" si="1"/>
        <v>0</v>
      </c>
      <c r="J48" s="735"/>
      <c r="K48" s="738"/>
    </row>
    <row r="49" spans="1:11" ht="12" customHeight="1" x14ac:dyDescent="0.2">
      <c r="A49" s="733"/>
      <c r="B49" s="734"/>
      <c r="C49" s="1775">
        <f>SUM(C31:C48)</f>
        <v>2400200</v>
      </c>
      <c r="D49" s="746"/>
      <c r="E49" s="1775">
        <f t="shared" ref="E49:J49" si="2">SUM(E31:E48)</f>
        <v>2026848</v>
      </c>
      <c r="F49" s="1775">
        <f t="shared" si="2"/>
        <v>0</v>
      </c>
      <c r="G49" s="1775">
        <f t="shared" si="2"/>
        <v>0</v>
      </c>
      <c r="H49" s="1775">
        <f t="shared" si="2"/>
        <v>210777</v>
      </c>
      <c r="I49" s="1775">
        <f t="shared" si="2"/>
        <v>1816071</v>
      </c>
      <c r="J49" s="1775">
        <f t="shared" si="2"/>
        <v>1807214</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72" t="s">
        <v>605</v>
      </c>
      <c r="C52" s="2273"/>
      <c r="D52" s="2273"/>
      <c r="E52" s="750" t="s">
        <v>900</v>
      </c>
      <c r="F52" s="2274" t="s">
        <v>2196</v>
      </c>
      <c r="G52" s="2275"/>
      <c r="H52" s="737"/>
      <c r="I52" s="737"/>
      <c r="J52" s="747"/>
    </row>
    <row r="53" spans="1:11" ht="11.25" customHeight="1" x14ac:dyDescent="0.2">
      <c r="A53" s="751" t="s">
        <v>969</v>
      </c>
      <c r="B53" s="752" t="s">
        <v>1008</v>
      </c>
      <c r="C53" s="747"/>
      <c r="D53" s="738"/>
      <c r="E53" s="750" t="s">
        <v>518</v>
      </c>
      <c r="F53" s="2276"/>
      <c r="G53" s="2277"/>
      <c r="H53" s="737"/>
      <c r="I53" s="737"/>
      <c r="J53" s="747"/>
    </row>
    <row r="54" spans="1:11" ht="11.25" customHeight="1" x14ac:dyDescent="0.2">
      <c r="A54" s="753" t="s">
        <v>970</v>
      </c>
      <c r="B54" s="748" t="s">
        <v>1009</v>
      </c>
      <c r="C54" s="747"/>
      <c r="D54" s="738"/>
      <c r="E54" s="750" t="s">
        <v>519</v>
      </c>
      <c r="F54" s="2276"/>
      <c r="G54" s="227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orizontalCentered="1" headings="1" gridLinesSet="0"/>
  <pageMargins left="0.5" right="0.5" top="1.25" bottom="0.75" header="1" footer="0.5"/>
  <pageSetup scale="65" firstPageNumber="24" orientation="landscape" useFirstPageNumber="1" r:id="rId1"/>
  <headerFooter alignWithMargins="0">
    <oddHeader>&amp;L&amp;8Page &amp;P&amp;R&amp;8Page &amp;P</oddHeader>
    <oddFooter>&amp;L&amp;8Print Date: &amp;D 
&amp;F&amp;CReference should be made to accountant's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K48"/>
  <sheetViews>
    <sheetView showGridLines="0" defaultGridColor="0" colorId="8" zoomScaleNormal="10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06" t="s">
        <v>911</v>
      </c>
      <c r="B1" s="2307"/>
      <c r="C1" s="2307"/>
      <c r="D1" s="2307"/>
      <c r="E1" s="2307"/>
      <c r="F1" s="2307"/>
      <c r="G1" s="2308"/>
      <c r="H1" s="1549"/>
      <c r="I1" s="761"/>
      <c r="J1" s="433"/>
    </row>
    <row r="2" spans="1:11" ht="26.25" x14ac:dyDescent="0.2">
      <c r="A2" s="2285" t="s">
        <v>1776</v>
      </c>
      <c r="B2" s="2286"/>
      <c r="C2" s="2286"/>
      <c r="D2" s="2286"/>
      <c r="E2" s="2287"/>
      <c r="F2" s="762" t="s">
        <v>960</v>
      </c>
      <c r="G2" s="763" t="s">
        <v>1773</v>
      </c>
      <c r="H2" s="763" t="s">
        <v>430</v>
      </c>
      <c r="I2" s="763" t="s">
        <v>1220</v>
      </c>
      <c r="J2" s="763" t="s">
        <v>1919</v>
      </c>
      <c r="K2" s="763" t="s">
        <v>140</v>
      </c>
    </row>
    <row r="3" spans="1:11" x14ac:dyDescent="0.2">
      <c r="A3" s="2288" t="s">
        <v>1698</v>
      </c>
      <c r="B3" s="2289"/>
      <c r="C3" s="2289"/>
      <c r="D3" s="2289"/>
      <c r="E3" s="2290"/>
      <c r="F3" s="764"/>
      <c r="G3" s="765"/>
      <c r="H3" s="765"/>
      <c r="I3" s="765"/>
      <c r="J3" s="766">
        <v>164988</v>
      </c>
      <c r="K3" s="766"/>
    </row>
    <row r="4" spans="1:11" x14ac:dyDescent="0.2">
      <c r="A4" s="2291" t="s">
        <v>387</v>
      </c>
      <c r="B4" s="2292"/>
      <c r="C4" s="2292"/>
      <c r="D4" s="2292"/>
      <c r="E4" s="2273"/>
      <c r="F4" s="767"/>
      <c r="G4" s="768"/>
      <c r="H4" s="769"/>
      <c r="I4" s="768"/>
      <c r="J4" s="770"/>
      <c r="K4" s="770"/>
    </row>
    <row r="5" spans="1:11" x14ac:dyDescent="0.2">
      <c r="A5" s="2309" t="s">
        <v>1129</v>
      </c>
      <c r="B5" s="2282"/>
      <c r="C5" s="2282"/>
      <c r="D5" s="2282"/>
      <c r="E5" s="2310"/>
      <c r="F5" s="771" t="s">
        <v>903</v>
      </c>
      <c r="G5" s="772"/>
      <c r="H5" s="765">
        <v>17120</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1116</v>
      </c>
    </row>
    <row r="8" spans="1:11" x14ac:dyDescent="0.2">
      <c r="A8" s="779" t="s">
        <v>363</v>
      </c>
      <c r="B8" s="780"/>
      <c r="C8" s="780"/>
      <c r="D8" s="780"/>
      <c r="E8" s="781"/>
      <c r="F8" s="771" t="s">
        <v>906</v>
      </c>
      <c r="G8" s="783"/>
      <c r="H8" s="783"/>
      <c r="I8" s="783"/>
      <c r="J8" s="766">
        <v>129889</v>
      </c>
      <c r="K8" s="770"/>
    </row>
    <row r="9" spans="1:11" x14ac:dyDescent="0.2">
      <c r="A9" s="779" t="s">
        <v>140</v>
      </c>
      <c r="B9" s="780"/>
      <c r="C9" s="780"/>
      <c r="D9" s="780"/>
      <c r="E9" s="781"/>
      <c r="F9" s="778" t="s">
        <v>908</v>
      </c>
      <c r="G9" s="783"/>
      <c r="H9" s="772"/>
      <c r="I9" s="772"/>
      <c r="J9" s="782"/>
      <c r="K9" s="766">
        <v>4611</v>
      </c>
    </row>
    <row r="10" spans="1:11" x14ac:dyDescent="0.2">
      <c r="A10" s="2309" t="s">
        <v>1920</v>
      </c>
      <c r="B10" s="2282"/>
      <c r="C10" s="2282"/>
      <c r="D10" s="2282"/>
      <c r="E10" s="2311"/>
      <c r="F10" s="784" t="s">
        <v>917</v>
      </c>
      <c r="G10" s="783"/>
      <c r="H10" s="785"/>
      <c r="I10" s="765"/>
      <c r="J10" s="766"/>
      <c r="K10" s="766"/>
    </row>
    <row r="11" spans="1:11" x14ac:dyDescent="0.2">
      <c r="A11" s="2309" t="s">
        <v>162</v>
      </c>
      <c r="B11" s="2282"/>
      <c r="C11" s="2282"/>
      <c r="D11" s="2282"/>
      <c r="E11" s="2310"/>
      <c r="F11" s="771" t="s">
        <v>907</v>
      </c>
      <c r="G11" s="772"/>
      <c r="H11" s="765"/>
      <c r="I11" s="765"/>
      <c r="J11" s="766"/>
      <c r="K11" s="774"/>
    </row>
    <row r="12" spans="1:11" ht="13.5" thickBot="1" x14ac:dyDescent="0.25">
      <c r="A12" s="2299" t="s">
        <v>961</v>
      </c>
      <c r="B12" s="2300"/>
      <c r="C12" s="2300"/>
      <c r="D12" s="2300"/>
      <c r="E12" s="2301"/>
      <c r="F12" s="1776"/>
      <c r="G12" s="1777">
        <f>SUM(G5:G11)</f>
        <v>0</v>
      </c>
      <c r="H12" s="1777">
        <f>SUM(H5:H11)</f>
        <v>17120</v>
      </c>
      <c r="I12" s="1777">
        <f>SUM(I5:I11)</f>
        <v>0</v>
      </c>
      <c r="J12" s="1777">
        <f>SUM(J5:J11)</f>
        <v>129889</v>
      </c>
      <c r="K12" s="1777">
        <f>SUM(K5:K11)</f>
        <v>5727</v>
      </c>
    </row>
    <row r="13" spans="1:11" ht="13.5" thickTop="1" x14ac:dyDescent="0.2">
      <c r="A13" s="2293" t="s">
        <v>388</v>
      </c>
      <c r="B13" s="2294"/>
      <c r="C13" s="2294"/>
      <c r="D13" s="2294"/>
      <c r="E13" s="2295"/>
      <c r="F13" s="786"/>
      <c r="G13" s="787"/>
      <c r="H13" s="788"/>
      <c r="I13" s="789"/>
      <c r="J13" s="789"/>
      <c r="K13" s="789"/>
    </row>
    <row r="14" spans="1:11" x14ac:dyDescent="0.2">
      <c r="A14" s="2315" t="s">
        <v>476</v>
      </c>
      <c r="B14" s="2315"/>
      <c r="C14" s="2315"/>
      <c r="D14" s="2315"/>
      <c r="E14" s="2316"/>
      <c r="F14" s="790" t="s">
        <v>909</v>
      </c>
      <c r="G14" s="783"/>
      <c r="H14" s="765">
        <v>17120</v>
      </c>
      <c r="I14" s="772"/>
      <c r="J14" s="774"/>
      <c r="K14" s="766">
        <v>5727</v>
      </c>
    </row>
    <row r="15" spans="1:11" x14ac:dyDescent="0.2">
      <c r="A15" s="2282" t="s">
        <v>4</v>
      </c>
      <c r="B15" s="2282"/>
      <c r="C15" s="2282"/>
      <c r="D15" s="2282"/>
      <c r="E15" s="2310"/>
      <c r="F15" s="790" t="s">
        <v>910</v>
      </c>
      <c r="G15" s="772"/>
      <c r="H15" s="765"/>
      <c r="I15" s="765"/>
      <c r="J15" s="766">
        <v>36127</v>
      </c>
      <c r="K15" s="766"/>
    </row>
    <row r="16" spans="1:11" x14ac:dyDescent="0.2">
      <c r="A16" s="2282" t="s">
        <v>316</v>
      </c>
      <c r="B16" s="2282"/>
      <c r="C16" s="2282"/>
      <c r="D16" s="2282"/>
      <c r="E16" s="2310"/>
      <c r="F16" s="790" t="s">
        <v>980</v>
      </c>
      <c r="G16" s="773"/>
      <c r="H16" s="768"/>
      <c r="I16" s="768"/>
      <c r="J16" s="770"/>
      <c r="K16" s="770"/>
    </row>
    <row r="17" spans="1:11" x14ac:dyDescent="0.2">
      <c r="A17" s="2304" t="s">
        <v>992</v>
      </c>
      <c r="B17" s="2304"/>
      <c r="C17" s="2304"/>
      <c r="D17" s="2304"/>
      <c r="E17" s="2305"/>
      <c r="F17" s="791"/>
      <c r="G17" s="792"/>
      <c r="H17" s="793"/>
      <c r="I17" s="793"/>
      <c r="J17" s="794"/>
      <c r="K17" s="795"/>
    </row>
    <row r="18" spans="1:11" x14ac:dyDescent="0.2">
      <c r="A18" s="2296" t="s">
        <v>386</v>
      </c>
      <c r="B18" s="2297"/>
      <c r="C18" s="2297"/>
      <c r="D18" s="2297"/>
      <c r="E18" s="2298"/>
      <c r="F18" s="790" t="s">
        <v>989</v>
      </c>
      <c r="G18" s="783"/>
      <c r="H18" s="783"/>
      <c r="I18" s="783"/>
      <c r="J18" s="766"/>
      <c r="K18" s="796"/>
    </row>
    <row r="19" spans="1:11" ht="21.75" customHeight="1" x14ac:dyDescent="0.2">
      <c r="A19" s="2317" t="s">
        <v>1916</v>
      </c>
      <c r="B19" s="2317"/>
      <c r="C19" s="2317"/>
      <c r="D19" s="2317"/>
      <c r="E19" s="2318"/>
      <c r="F19" s="790" t="s">
        <v>990</v>
      </c>
      <c r="G19" s="783"/>
      <c r="H19" s="783"/>
      <c r="I19" s="783"/>
      <c r="J19" s="766">
        <f>10111+129889</f>
        <v>140000</v>
      </c>
      <c r="K19" s="796"/>
    </row>
    <row r="20" spans="1:11" x14ac:dyDescent="0.2">
      <c r="A20" s="2296" t="s">
        <v>1921</v>
      </c>
      <c r="B20" s="2297"/>
      <c r="C20" s="2297"/>
      <c r="D20" s="2297"/>
      <c r="E20" s="2298"/>
      <c r="F20" s="790" t="s">
        <v>991</v>
      </c>
      <c r="G20" s="783"/>
      <c r="H20" s="783"/>
      <c r="I20" s="783"/>
      <c r="J20" s="766"/>
      <c r="K20" s="796"/>
    </row>
    <row r="21" spans="1:11" ht="13.5" thickBot="1" x14ac:dyDescent="0.25">
      <c r="A21" s="2302" t="s">
        <v>659</v>
      </c>
      <c r="B21" s="2302"/>
      <c r="C21" s="2302"/>
      <c r="D21" s="2302"/>
      <c r="E21" s="2302"/>
      <c r="F21" s="1778"/>
      <c r="G21" s="793"/>
      <c r="H21" s="797"/>
      <c r="I21" s="797"/>
      <c r="J21" s="1779">
        <f>SUM(J18:J20)</f>
        <v>140000</v>
      </c>
      <c r="K21" s="794"/>
    </row>
    <row r="22" spans="1:11" ht="13.5" thickTop="1" x14ac:dyDescent="0.2">
      <c r="A22" s="2282" t="s">
        <v>1922</v>
      </c>
      <c r="B22" s="2282"/>
      <c r="C22" s="2282"/>
      <c r="D22" s="2282"/>
      <c r="E22" s="2310"/>
      <c r="F22" s="790" t="s">
        <v>917</v>
      </c>
      <c r="G22" s="783"/>
      <c r="H22" s="765"/>
      <c r="I22" s="765"/>
      <c r="J22" s="798"/>
      <c r="K22" s="766"/>
    </row>
    <row r="23" spans="1:11" ht="13.5" thickBot="1" x14ac:dyDescent="0.25">
      <c r="A23" s="2303" t="s">
        <v>962</v>
      </c>
      <c r="B23" s="2302"/>
      <c r="C23" s="2302"/>
      <c r="D23" s="2302"/>
      <c r="E23" s="2302"/>
      <c r="F23" s="1780"/>
      <c r="G23" s="1777">
        <f>SUM(G14:G16,G21,G22)</f>
        <v>0</v>
      </c>
      <c r="H23" s="1777">
        <f>SUM(H14:H16,H21,H22)</f>
        <v>17120</v>
      </c>
      <c r="I23" s="1777">
        <f>SUM(I14:I16,I21,I22)</f>
        <v>0</v>
      </c>
      <c r="J23" s="1777">
        <f>SUM(J14:J16,J21,J22)</f>
        <v>176127</v>
      </c>
      <c r="K23" s="1777">
        <f>SUM(K14:K16,K21,K22)</f>
        <v>5727</v>
      </c>
    </row>
    <row r="24" spans="1:11" ht="14.25" thickTop="1" thickBot="1" x14ac:dyDescent="0.25">
      <c r="A24" s="2303" t="s">
        <v>2024</v>
      </c>
      <c r="B24" s="2302"/>
      <c r="C24" s="2302"/>
      <c r="D24" s="2302"/>
      <c r="E24" s="2302"/>
      <c r="F24" s="1781"/>
      <c r="G24" s="1782">
        <f>SUM(G3,G12)-G23</f>
        <v>0</v>
      </c>
      <c r="H24" s="1782">
        <f>SUM(H3,H12)-H23</f>
        <v>0</v>
      </c>
      <c r="I24" s="1782">
        <f>SUM(I3,I12)-I23</f>
        <v>0</v>
      </c>
      <c r="J24" s="1782">
        <f>SUM(J3,J12)-J23</f>
        <v>118750</v>
      </c>
      <c r="K24" s="1782">
        <f>SUM(K3,K12)-K23</f>
        <v>0</v>
      </c>
    </row>
    <row r="25" spans="1:11" ht="13.5" thickTop="1" x14ac:dyDescent="0.2">
      <c r="A25" s="799" t="s">
        <v>440</v>
      </c>
      <c r="B25" s="800"/>
      <c r="C25" s="800"/>
      <c r="D25" s="800"/>
      <c r="E25" s="801"/>
      <c r="F25" s="802">
        <v>714</v>
      </c>
      <c r="G25" s="803"/>
      <c r="H25" s="803"/>
      <c r="I25" s="803"/>
      <c r="J25" s="798">
        <v>118750</v>
      </c>
      <c r="K25" s="798"/>
    </row>
    <row r="26" spans="1:11" ht="13.5" thickBot="1" x14ac:dyDescent="0.25">
      <c r="A26" s="799" t="s">
        <v>360</v>
      </c>
      <c r="B26" s="800"/>
      <c r="C26" s="800"/>
      <c r="D26" s="800"/>
      <c r="E26" s="801"/>
      <c r="F26" s="802">
        <v>730</v>
      </c>
      <c r="G26" s="1777">
        <f>G24-G25</f>
        <v>0</v>
      </c>
      <c r="H26" s="1777">
        <f>H24-H25</f>
        <v>0</v>
      </c>
      <c r="I26" s="1777">
        <f>I24-I25</f>
        <v>0</v>
      </c>
      <c r="J26" s="1777">
        <f>J24-J25</f>
        <v>0</v>
      </c>
      <c r="K26" s="1777">
        <f>K24-K25</f>
        <v>0</v>
      </c>
    </row>
    <row r="27" spans="1:11" ht="5.25" customHeight="1" thickTop="1" x14ac:dyDescent="0.2">
      <c r="I27" s="202"/>
      <c r="J27" s="202"/>
    </row>
    <row r="28" spans="1:11" ht="29.25" customHeight="1" x14ac:dyDescent="0.2">
      <c r="A28" s="1902" t="s">
        <v>2034</v>
      </c>
      <c r="B28" s="1903"/>
      <c r="C28" s="1903"/>
      <c r="D28" s="1903"/>
      <c r="E28" s="1904"/>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312"/>
      <c r="I31" s="2313"/>
      <c r="J31" s="2313"/>
      <c r="K31" s="2313"/>
    </row>
    <row r="32" spans="1:11" x14ac:dyDescent="0.2">
      <c r="A32" s="810"/>
      <c r="B32" s="237"/>
      <c r="C32" s="237"/>
      <c r="D32" s="237"/>
      <c r="E32" s="806"/>
      <c r="F32" s="812" t="s">
        <v>561</v>
      </c>
      <c r="G32" s="765"/>
      <c r="H32" s="2314"/>
      <c r="I32" s="2313"/>
      <c r="J32" s="2313"/>
      <c r="K32" s="2313"/>
    </row>
    <row r="33" spans="1:11" ht="1.5" customHeight="1" x14ac:dyDescent="0.2">
      <c r="A33" s="813" t="s">
        <v>1231</v>
      </c>
      <c r="B33" s="364"/>
      <c r="C33" s="364"/>
      <c r="D33" s="364"/>
      <c r="E33" s="364"/>
      <c r="F33" s="364"/>
      <c r="G33" s="814"/>
      <c r="H33" s="2314"/>
      <c r="I33" s="2313"/>
      <c r="J33" s="2313"/>
      <c r="K33" s="2313"/>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82" t="s">
        <v>562</v>
      </c>
      <c r="B41" s="2283"/>
      <c r="C41" s="2283"/>
      <c r="D41" s="2283"/>
      <c r="E41" s="2283"/>
      <c r="F41" s="228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0" t="s">
        <v>1917</v>
      </c>
      <c r="B46" s="408" t="s">
        <v>1774</v>
      </c>
    </row>
    <row r="47" spans="1:11" s="824" customFormat="1" ht="12.75" customHeight="1" x14ac:dyDescent="0.2">
      <c r="A47" s="822"/>
      <c r="B47" s="823" t="s">
        <v>1775</v>
      </c>
      <c r="E47" s="823"/>
      <c r="K47" s="825"/>
    </row>
    <row r="48" spans="1:11" ht="12.75" customHeight="1" x14ac:dyDescent="0.2">
      <c r="A48" s="1551"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orizontalCentered="1" headings="1"/>
  <pageMargins left="0.5" right="0.5" top="1.4" bottom="0.75" header="1" footer="0.5"/>
  <pageSetup scale="69"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accountant's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N27"/>
  <sheetViews>
    <sheetView showGridLines="0" defaultGridColor="0" topLeftCell="A7" colorId="8" zoomScale="110" zoomScaleNormal="110" workbookViewId="0">
      <selection activeCell="C20" sqref="C20"/>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21" t="s">
        <v>2033</v>
      </c>
      <c r="B1" s="2322"/>
      <c r="C1" s="2323"/>
      <c r="D1" s="827"/>
      <c r="E1" s="828"/>
      <c r="F1" s="828"/>
      <c r="G1" s="829"/>
      <c r="H1" s="830"/>
      <c r="I1" s="831"/>
      <c r="J1" s="2319"/>
      <c r="K1" s="2320"/>
      <c r="L1" s="2320"/>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48" t="s">
        <v>948</v>
      </c>
      <c r="B3" s="1649">
        <v>210</v>
      </c>
      <c r="C3" s="836"/>
      <c r="D3" s="836"/>
      <c r="E3" s="836"/>
      <c r="F3" s="1779">
        <f>(C3+D3)-E3</f>
        <v>0</v>
      </c>
      <c r="G3" s="837"/>
      <c r="H3" s="836"/>
      <c r="I3" s="836"/>
      <c r="J3" s="836"/>
      <c r="K3" s="1788">
        <f>(H3+I3)-J3</f>
        <v>0</v>
      </c>
      <c r="L3" s="1788">
        <f>F3-K3</f>
        <v>0</v>
      </c>
      <c r="M3" s="835"/>
      <c r="N3" s="835"/>
    </row>
    <row r="4" spans="1:14" ht="15" customHeight="1" thickTop="1" x14ac:dyDescent="0.2">
      <c r="A4" s="1650" t="s">
        <v>160</v>
      </c>
      <c r="B4" s="1649">
        <v>220</v>
      </c>
      <c r="C4" s="782"/>
      <c r="D4" s="782"/>
      <c r="E4" s="782"/>
      <c r="F4" s="774"/>
      <c r="G4" s="838"/>
      <c r="H4" s="839"/>
      <c r="I4" s="839"/>
      <c r="J4" s="839"/>
      <c r="K4" s="840"/>
      <c r="L4" s="774"/>
    </row>
    <row r="5" spans="1:14" ht="13.5" thickBot="1" x14ac:dyDescent="0.25">
      <c r="A5" s="779" t="s">
        <v>949</v>
      </c>
      <c r="B5" s="841">
        <v>221</v>
      </c>
      <c r="C5" s="842">
        <v>78982</v>
      </c>
      <c r="D5" s="842"/>
      <c r="E5" s="842"/>
      <c r="F5" s="1779">
        <f>(C5+D5)-E5</f>
        <v>78982</v>
      </c>
      <c r="G5" s="838"/>
      <c r="H5" s="843"/>
      <c r="I5" s="843"/>
      <c r="J5" s="843"/>
      <c r="K5" s="794"/>
      <c r="L5" s="1788">
        <f>F5-K5</f>
        <v>78982</v>
      </c>
    </row>
    <row r="6" spans="1:14" ht="14.25" thickTop="1" thickBot="1" x14ac:dyDescent="0.25">
      <c r="A6" s="779" t="s">
        <v>1179</v>
      </c>
      <c r="B6" s="841">
        <v>222</v>
      </c>
      <c r="C6" s="766"/>
      <c r="D6" s="766"/>
      <c r="E6" s="766"/>
      <c r="F6" s="1779">
        <f>(C6+D6)-E6</f>
        <v>0</v>
      </c>
      <c r="G6" s="838">
        <v>50</v>
      </c>
      <c r="H6" s="766"/>
      <c r="I6" s="766"/>
      <c r="J6" s="766"/>
      <c r="K6" s="1788">
        <f>(H6+I6)-J6</f>
        <v>0</v>
      </c>
      <c r="L6" s="1788">
        <f>F6-K6</f>
        <v>0</v>
      </c>
    </row>
    <row r="7" spans="1:14" ht="15" customHeight="1" thickTop="1" x14ac:dyDescent="0.2">
      <c r="A7" s="1650" t="s">
        <v>161</v>
      </c>
      <c r="B7" s="1649">
        <v>230</v>
      </c>
      <c r="C7" s="782"/>
      <c r="D7" s="782"/>
      <c r="E7" s="782"/>
      <c r="F7" s="774"/>
      <c r="G7" s="844"/>
      <c r="H7" s="782"/>
      <c r="I7" s="782"/>
      <c r="J7" s="782"/>
      <c r="K7" s="774"/>
      <c r="L7" s="774"/>
    </row>
    <row r="8" spans="1:14" ht="13.5" thickBot="1" x14ac:dyDescent="0.25">
      <c r="A8" s="779" t="s">
        <v>1180</v>
      </c>
      <c r="B8" s="841">
        <v>231</v>
      </c>
      <c r="C8" s="845">
        <v>5389527</v>
      </c>
      <c r="D8" s="845"/>
      <c r="E8" s="845"/>
      <c r="F8" s="1779">
        <f>(C8+D8)-E8</f>
        <v>5389527</v>
      </c>
      <c r="G8" s="844">
        <v>50</v>
      </c>
      <c r="H8" s="766">
        <v>2192986</v>
      </c>
      <c r="I8" s="766">
        <v>108030</v>
      </c>
      <c r="J8" s="766"/>
      <c r="K8" s="1788">
        <f>(H8+I8)-J8</f>
        <v>2301016</v>
      </c>
      <c r="L8" s="1788">
        <f>F8-K8</f>
        <v>3088511</v>
      </c>
    </row>
    <row r="9" spans="1:14" ht="14.25" thickTop="1" thickBot="1" x14ac:dyDescent="0.25">
      <c r="A9" s="779" t="s">
        <v>1181</v>
      </c>
      <c r="B9" s="841">
        <v>232</v>
      </c>
      <c r="C9" s="766"/>
      <c r="D9" s="766"/>
      <c r="E9" s="766"/>
      <c r="F9" s="1779">
        <f>(C9+D9)-E9</f>
        <v>0</v>
      </c>
      <c r="G9" s="844">
        <v>20</v>
      </c>
      <c r="H9" s="766"/>
      <c r="I9" s="766"/>
      <c r="J9" s="766"/>
      <c r="K9" s="1788">
        <f>(H9+I9)-J9</f>
        <v>0</v>
      </c>
      <c r="L9" s="1788">
        <f>F9-K9</f>
        <v>0</v>
      </c>
    </row>
    <row r="10" spans="1:14" ht="24" thickTop="1" thickBot="1" x14ac:dyDescent="0.25">
      <c r="A10" s="846" t="s">
        <v>1182</v>
      </c>
      <c r="B10" s="841">
        <v>240</v>
      </c>
      <c r="C10" s="847">
        <v>141381</v>
      </c>
      <c r="D10" s="847">
        <v>14656</v>
      </c>
      <c r="E10" s="847"/>
      <c r="F10" s="1783">
        <f>(C10+D10)-E10</f>
        <v>156037</v>
      </c>
      <c r="G10" s="844">
        <v>20</v>
      </c>
      <c r="H10" s="848">
        <v>19706</v>
      </c>
      <c r="I10" s="848">
        <v>6856</v>
      </c>
      <c r="J10" s="848"/>
      <c r="K10" s="1788">
        <f>(H10+I10)-J10</f>
        <v>26562</v>
      </c>
      <c r="L10" s="1788">
        <f>F10-K10</f>
        <v>129475</v>
      </c>
    </row>
    <row r="11" spans="1:14" ht="13.5" thickTop="1" x14ac:dyDescent="0.2">
      <c r="A11" s="1651" t="s">
        <v>1198</v>
      </c>
      <c r="B11" s="1649">
        <v>250</v>
      </c>
      <c r="C11" s="782"/>
      <c r="D11" s="782"/>
      <c r="E11" s="782"/>
      <c r="F11" s="774"/>
      <c r="G11" s="844"/>
      <c r="H11" s="782"/>
      <c r="I11" s="782"/>
      <c r="J11" s="782"/>
      <c r="K11" s="774"/>
      <c r="L11" s="774"/>
    </row>
    <row r="12" spans="1:14" ht="13.5" thickBot="1" x14ac:dyDescent="0.25">
      <c r="A12" s="849" t="s">
        <v>1183</v>
      </c>
      <c r="B12" s="841">
        <v>251</v>
      </c>
      <c r="C12" s="845">
        <v>444073</v>
      </c>
      <c r="D12" s="845">
        <v>4070</v>
      </c>
      <c r="E12" s="845"/>
      <c r="F12" s="1779">
        <f>(C12+D12)-E12</f>
        <v>448143</v>
      </c>
      <c r="G12" s="844">
        <v>10</v>
      </c>
      <c r="H12" s="766">
        <v>297338</v>
      </c>
      <c r="I12" s="766">
        <f>4036+1199+15763</f>
        <v>20998</v>
      </c>
      <c r="J12" s="766"/>
      <c r="K12" s="1788">
        <f>(H12+I12)-J12</f>
        <v>318336</v>
      </c>
      <c r="L12" s="1788">
        <f>F12-K12</f>
        <v>129807</v>
      </c>
    </row>
    <row r="13" spans="1:14" ht="14.25" thickTop="1" thickBot="1" x14ac:dyDescent="0.25">
      <c r="A13" s="849" t="s">
        <v>1184</v>
      </c>
      <c r="B13" s="841">
        <v>252</v>
      </c>
      <c r="C13" s="845">
        <v>133914</v>
      </c>
      <c r="D13" s="845">
        <v>5934</v>
      </c>
      <c r="E13" s="845"/>
      <c r="F13" s="1779">
        <f>(C13+D13)-E13</f>
        <v>139848</v>
      </c>
      <c r="G13" s="844">
        <v>5</v>
      </c>
      <c r="H13" s="766">
        <v>121440</v>
      </c>
      <c r="I13" s="766">
        <f>5164+300</f>
        <v>5464</v>
      </c>
      <c r="J13" s="766"/>
      <c r="K13" s="1788">
        <f>(H13+I13)-J13</f>
        <v>126904</v>
      </c>
      <c r="L13" s="1788">
        <f>F13-K13</f>
        <v>12944</v>
      </c>
    </row>
    <row r="14" spans="1:14" ht="14.25" thickTop="1" thickBot="1" x14ac:dyDescent="0.25">
      <c r="A14" s="849" t="s">
        <v>1185</v>
      </c>
      <c r="B14" s="841">
        <v>253</v>
      </c>
      <c r="C14" s="766"/>
      <c r="D14" s="766"/>
      <c r="E14" s="766"/>
      <c r="F14" s="1779">
        <f>(C14+D14)-E14</f>
        <v>0</v>
      </c>
      <c r="G14" s="844">
        <v>3</v>
      </c>
      <c r="H14" s="766"/>
      <c r="I14" s="766"/>
      <c r="J14" s="766"/>
      <c r="K14" s="1788">
        <f>(H14+I14)-J14</f>
        <v>0</v>
      </c>
      <c r="L14" s="1788">
        <f>F14-K14</f>
        <v>0</v>
      </c>
    </row>
    <row r="15" spans="1:14" ht="15" customHeight="1" thickTop="1" thickBot="1" x14ac:dyDescent="0.25">
      <c r="A15" s="1650" t="s">
        <v>549</v>
      </c>
      <c r="B15" s="1649">
        <v>260</v>
      </c>
      <c r="C15" s="845"/>
      <c r="D15" s="845">
        <v>2200</v>
      </c>
      <c r="E15" s="845"/>
      <c r="F15" s="1779">
        <f>(C15+D15)-E15</f>
        <v>2200</v>
      </c>
      <c r="G15" s="850" t="s">
        <v>917</v>
      </c>
      <c r="H15" s="782"/>
      <c r="I15" s="782"/>
      <c r="J15" s="782"/>
      <c r="K15" s="782"/>
      <c r="L15" s="1788">
        <f>F15-K15</f>
        <v>2200</v>
      </c>
    </row>
    <row r="16" spans="1:14" ht="15" customHeight="1" thickTop="1" thickBot="1" x14ac:dyDescent="0.25">
      <c r="A16" s="1784" t="s">
        <v>664</v>
      </c>
      <c r="B16" s="1785">
        <v>200</v>
      </c>
      <c r="C16" s="1779">
        <f>SUM(C3,C5:C6,C8:C10,C12:C15)</f>
        <v>6187877</v>
      </c>
      <c r="D16" s="1779">
        <f>SUM(D3,D5:D6,D8:D10,D12:D15)</f>
        <v>26860</v>
      </c>
      <c r="E16" s="1779">
        <f>SUM(E3,E5:E6,E8:E10,E12:E15)</f>
        <v>0</v>
      </c>
      <c r="F16" s="1779">
        <f>SUM(F3,F5:F6,F8:F10,F12:F15)</f>
        <v>6214737</v>
      </c>
      <c r="G16" s="844"/>
      <c r="H16" s="1779">
        <f>SUM(H3,H6,H8:H10,H12:H14,)</f>
        <v>2631470</v>
      </c>
      <c r="I16" s="1779">
        <f>SUM(I3,I6,I8:I10,I12:I14,)</f>
        <v>141348</v>
      </c>
      <c r="J16" s="1779">
        <f>SUM(J3,J6,J8:J10,J12:J14,)</f>
        <v>0</v>
      </c>
      <c r="K16" s="1779">
        <f>(H16+I16)-J16</f>
        <v>2772818</v>
      </c>
      <c r="L16" s="1779">
        <f>F16-K16</f>
        <v>3441919</v>
      </c>
    </row>
    <row r="17" spans="1:12" ht="15" customHeight="1" thickTop="1" thickBot="1" x14ac:dyDescent="0.25">
      <c r="A17" s="1652" t="s">
        <v>309</v>
      </c>
      <c r="B17" s="1649">
        <v>700</v>
      </c>
      <c r="C17" s="770"/>
      <c r="D17" s="770"/>
      <c r="E17" s="770"/>
      <c r="F17" s="1779">
        <f>SUM('Expenditures 15-22'!I114,'Expenditures 15-22'!I151,'Expenditures 15-22'!I210,'Expenditures 15-22'!I312,'Expenditures 15-22'!I342,'Expenditures 15-22'!I367)</f>
        <v>0</v>
      </c>
      <c r="G17" s="838">
        <v>10</v>
      </c>
      <c r="H17" s="770"/>
      <c r="I17" s="1788">
        <f>F17/G17</f>
        <v>0</v>
      </c>
      <c r="J17" s="770"/>
      <c r="K17" s="796"/>
      <c r="L17" s="796"/>
    </row>
    <row r="18" spans="1:12" ht="14.25" thickTop="1" thickBot="1" x14ac:dyDescent="0.25">
      <c r="A18" s="1786" t="s">
        <v>706</v>
      </c>
      <c r="B18" s="1787"/>
      <c r="C18" s="772"/>
      <c r="D18" s="772"/>
      <c r="E18" s="772"/>
      <c r="F18" s="851"/>
      <c r="G18" s="852"/>
      <c r="H18" s="774"/>
      <c r="I18" s="1779">
        <f>SUM(I16,I17)</f>
        <v>141348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orizontalCentered="1" headings="1"/>
  <pageMargins left="0.5" right="0.5" top="1.4" bottom="0.75" header="1" footer="0.5"/>
  <pageSetup scale="76" firstPageNumber="26" orientation="landscape" useFirstPageNumber="1" r:id="rId1"/>
  <headerFooter alignWithMargins="0">
    <oddHeader>&amp;L&amp;8Page &amp;P&amp;C &amp;R&amp;8Page &amp;P</oddHeader>
    <oddFooter>&amp;L&amp;8Print Date: &amp;D
&amp;F&amp;CReference should be made to accountant's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topLeftCell="B1" colorId="8" zoomScale="110" zoomScaleNormal="110" workbookViewId="0">
      <pane ySplit="5" topLeftCell="A167" activePane="bottomLeft" state="frozen"/>
      <selection activeCell="A47" sqref="A47"/>
      <selection pane="bottomLeft" activeCell="D179" sqref="D1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327" t="s">
        <v>1699</v>
      </c>
      <c r="B1" s="2328"/>
      <c r="C1" s="2328"/>
      <c r="D1" s="2328"/>
      <c r="E1" s="2328"/>
      <c r="F1" s="2329"/>
      <c r="G1" s="856"/>
    </row>
    <row r="2" spans="1:7" ht="15" customHeight="1" thickBot="1" x14ac:dyDescent="0.25">
      <c r="A2" s="2330" t="s">
        <v>498</v>
      </c>
      <c r="B2" s="2331"/>
      <c r="C2" s="2331"/>
      <c r="D2" s="2331"/>
      <c r="E2" s="2331"/>
      <c r="F2" s="233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333"/>
      <c r="B5" s="2334"/>
      <c r="C5" s="2334"/>
      <c r="D5" s="2334"/>
      <c r="E5" s="2334"/>
      <c r="F5" s="2334"/>
    </row>
    <row r="6" spans="1:7" ht="13.5" customHeight="1" thickBot="1" x14ac:dyDescent="0.25">
      <c r="A6" s="2324" t="s">
        <v>1166</v>
      </c>
      <c r="B6" s="2325"/>
      <c r="C6" s="2325"/>
      <c r="D6" s="2325"/>
      <c r="E6" s="2325"/>
      <c r="F6" s="232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1">
        <f>'Expenditures 15-22'!K114</f>
        <v>2517467</v>
      </c>
      <c r="G8" s="866"/>
    </row>
    <row r="9" spans="1:7" x14ac:dyDescent="0.2">
      <c r="A9" s="870" t="s">
        <v>480</v>
      </c>
      <c r="B9" s="871" t="s">
        <v>1988</v>
      </c>
      <c r="C9" s="872"/>
      <c r="D9" s="870" t="s">
        <v>522</v>
      </c>
      <c r="E9" s="869"/>
      <c r="F9" s="1932">
        <f>'Expenditures 15-22'!K151</f>
        <v>249129</v>
      </c>
      <c r="G9" s="873"/>
    </row>
    <row r="10" spans="1:7" x14ac:dyDescent="0.2">
      <c r="A10" s="870" t="s">
        <v>520</v>
      </c>
      <c r="B10" s="871" t="s">
        <v>1989</v>
      </c>
      <c r="C10" s="872"/>
      <c r="D10" s="870" t="s">
        <v>522</v>
      </c>
      <c r="E10" s="869"/>
      <c r="F10" s="1932">
        <f>'Expenditures 15-22'!K174</f>
        <v>298614</v>
      </c>
      <c r="G10" s="873"/>
    </row>
    <row r="11" spans="1:7" x14ac:dyDescent="0.2">
      <c r="A11" s="870" t="s">
        <v>481</v>
      </c>
      <c r="B11" s="871" t="s">
        <v>1990</v>
      </c>
      <c r="C11" s="872"/>
      <c r="D11" s="870" t="s">
        <v>522</v>
      </c>
      <c r="E11" s="869"/>
      <c r="F11" s="1932">
        <f>'Expenditures 15-22'!K210</f>
        <v>189977</v>
      </c>
      <c r="G11" s="873"/>
    </row>
    <row r="12" spans="1:7" x14ac:dyDescent="0.2">
      <c r="A12" s="870" t="s">
        <v>482</v>
      </c>
      <c r="B12" s="871" t="s">
        <v>1991</v>
      </c>
      <c r="C12" s="872"/>
      <c r="D12" s="870" t="s">
        <v>522</v>
      </c>
      <c r="E12" s="869"/>
      <c r="F12" s="1932">
        <f>'Expenditures 15-22'!K295</f>
        <v>96891</v>
      </c>
      <c r="G12" s="873"/>
    </row>
    <row r="13" spans="1:7" x14ac:dyDescent="0.2">
      <c r="A13" s="870" t="s">
        <v>108</v>
      </c>
      <c r="B13" s="871" t="s">
        <v>1992</v>
      </c>
      <c r="C13" s="872"/>
      <c r="D13" s="870" t="s">
        <v>522</v>
      </c>
      <c r="E13" s="869"/>
      <c r="F13" s="1932">
        <f>'Expenditures 15-22'!K342</f>
        <v>167453</v>
      </c>
      <c r="G13" s="874"/>
    </row>
    <row r="14" spans="1:7" ht="12" customHeight="1" thickBot="1" x14ac:dyDescent="0.25">
      <c r="A14" s="1789"/>
      <c r="B14" s="1790"/>
      <c r="C14" s="1791"/>
      <c r="D14" s="1792" t="s">
        <v>522</v>
      </c>
      <c r="E14" s="1793" t="s">
        <v>1015</v>
      </c>
      <c r="F14" s="1794">
        <f>SUM(F8:F13)</f>
        <v>3519531</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3">
        <f>'Revenues 9-14'!F43</f>
        <v>0</v>
      </c>
      <c r="G18" s="866"/>
    </row>
    <row r="19" spans="1:7" x14ac:dyDescent="0.2">
      <c r="A19" s="870" t="s">
        <v>481</v>
      </c>
      <c r="B19" s="871" t="s">
        <v>1069</v>
      </c>
      <c r="C19" s="878">
        <f>'Revenues 9-14'!B47</f>
        <v>1421</v>
      </c>
      <c r="D19" s="879" t="str">
        <f>'Revenues 9-14'!A47</f>
        <v>Summer Sch - Transp. Fees from Pupils or Parents (In State)</v>
      </c>
      <c r="E19" s="880"/>
      <c r="F19" s="1934">
        <f>'Revenues 9-14'!F47</f>
        <v>0</v>
      </c>
      <c r="G19" s="866"/>
    </row>
    <row r="20" spans="1:7" x14ac:dyDescent="0.2">
      <c r="A20" s="870" t="s">
        <v>481</v>
      </c>
      <c r="B20" s="871" t="s">
        <v>1070</v>
      </c>
      <c r="C20" s="876">
        <f>'Revenues 9-14'!B48</f>
        <v>1422</v>
      </c>
      <c r="D20" s="877" t="str">
        <f>'Revenues 9-14'!A48</f>
        <v>Summer Sch - Transp. Fees from Other Districts (In State)</v>
      </c>
      <c r="E20" s="869"/>
      <c r="F20" s="1935">
        <f>'Revenues 9-14'!F48</f>
        <v>0</v>
      </c>
      <c r="G20" s="866"/>
    </row>
    <row r="21" spans="1:7" x14ac:dyDescent="0.2">
      <c r="A21" s="870" t="s">
        <v>481</v>
      </c>
      <c r="B21" s="871" t="s">
        <v>1071</v>
      </c>
      <c r="C21" s="878">
        <f>'Revenues 9-14'!B49</f>
        <v>1423</v>
      </c>
      <c r="D21" s="877" t="str">
        <f>'Revenues 9-14'!A49</f>
        <v>Summer Sch - Transp. Fees from Other Sources (In State)</v>
      </c>
      <c r="E21" s="869"/>
      <c r="F21" s="1936">
        <f>'Revenues 9-14'!F49</f>
        <v>0</v>
      </c>
      <c r="G21" s="866"/>
    </row>
    <row r="22" spans="1:7" x14ac:dyDescent="0.2">
      <c r="A22" s="870" t="s">
        <v>481</v>
      </c>
      <c r="B22" s="871" t="s">
        <v>1072</v>
      </c>
      <c r="C22" s="878">
        <f>'Revenues 9-14'!B50</f>
        <v>1424</v>
      </c>
      <c r="D22" s="877" t="str">
        <f>'Revenues 9-14'!A50</f>
        <v>Summer Sch - Transp. Fees from Other Sources (Out of State)</v>
      </c>
      <c r="E22" s="869"/>
      <c r="F22" s="1936">
        <f>'Revenues 9-14'!F50</f>
        <v>0</v>
      </c>
      <c r="G22" s="866"/>
    </row>
    <row r="23" spans="1:7" x14ac:dyDescent="0.2">
      <c r="A23" s="870" t="s">
        <v>481</v>
      </c>
      <c r="B23" s="871" t="s">
        <v>1073</v>
      </c>
      <c r="C23" s="876">
        <f>'Revenues 9-14'!B52</f>
        <v>1432</v>
      </c>
      <c r="D23" s="877" t="str">
        <f>'Revenues 9-14'!A52</f>
        <v>CTE - Transp Fees from Other Districts (In State)</v>
      </c>
      <c r="E23" s="869"/>
      <c r="F23" s="1936">
        <f>'Revenues 9-14'!F52</f>
        <v>0</v>
      </c>
      <c r="G23" s="866"/>
    </row>
    <row r="24" spans="1:7" x14ac:dyDescent="0.2">
      <c r="A24" s="870" t="s">
        <v>481</v>
      </c>
      <c r="B24" s="871" t="s">
        <v>1074</v>
      </c>
      <c r="C24" s="876">
        <f>'Revenues 9-14'!B56</f>
        <v>1442</v>
      </c>
      <c r="D24" s="877" t="str">
        <f>'Revenues 9-14'!A56</f>
        <v>Special Ed - Transp Fees from Other Districts (In State)</v>
      </c>
      <c r="E24" s="869"/>
      <c r="F24" s="1936">
        <f>'Revenues 9-14'!F56</f>
        <v>0</v>
      </c>
      <c r="G24" s="866"/>
    </row>
    <row r="25" spans="1:7" x14ac:dyDescent="0.2">
      <c r="A25" s="870" t="s">
        <v>481</v>
      </c>
      <c r="B25" s="871" t="s">
        <v>1075</v>
      </c>
      <c r="C25" s="876">
        <f>'Revenues 9-14'!B59</f>
        <v>1451</v>
      </c>
      <c r="D25" s="877" t="str">
        <f>'Revenues 9-14'!A59</f>
        <v>Adult - Transp Fees from Pupils or Parents (In State)</v>
      </c>
      <c r="E25" s="869"/>
      <c r="F25" s="1936">
        <f>'Revenues 9-14'!F59</f>
        <v>0</v>
      </c>
      <c r="G25" s="866"/>
    </row>
    <row r="26" spans="1:7" x14ac:dyDescent="0.2">
      <c r="A26" s="870" t="s">
        <v>481</v>
      </c>
      <c r="B26" s="871" t="s">
        <v>1076</v>
      </c>
      <c r="C26" s="876">
        <f>'Revenues 9-14'!B60</f>
        <v>1452</v>
      </c>
      <c r="D26" s="877" t="str">
        <f>'Revenues 9-14'!A60</f>
        <v>Adult - Transp Fees from Other Districts (In State)</v>
      </c>
      <c r="E26" s="869"/>
      <c r="F26" s="1936">
        <f>'Revenues 9-14'!F60</f>
        <v>0</v>
      </c>
      <c r="G26" s="866"/>
    </row>
    <row r="27" spans="1:7" x14ac:dyDescent="0.2">
      <c r="A27" s="870" t="s">
        <v>481</v>
      </c>
      <c r="B27" s="871" t="s">
        <v>1077</v>
      </c>
      <c r="C27" s="876">
        <f>'Revenues 9-14'!B61</f>
        <v>1453</v>
      </c>
      <c r="D27" s="877" t="str">
        <f>'Revenues 9-14'!A61</f>
        <v>Adult - Transp Fees from Other Sources (In State)</v>
      </c>
      <c r="E27" s="869"/>
      <c r="F27" s="1936">
        <f>'Revenues 9-14'!F61</f>
        <v>0</v>
      </c>
      <c r="G27" s="866"/>
    </row>
    <row r="28" spans="1:7" x14ac:dyDescent="0.2">
      <c r="A28" s="870" t="s">
        <v>481</v>
      </c>
      <c r="B28" s="871" t="s">
        <v>1078</v>
      </c>
      <c r="C28" s="876">
        <f>'Revenues 9-14'!B62</f>
        <v>1454</v>
      </c>
      <c r="D28" s="877" t="str">
        <f>'Revenues 9-14'!A62</f>
        <v>Adult - Transp Fees from Other Sources (Out of State)</v>
      </c>
      <c r="E28" s="869"/>
      <c r="F28" s="1936">
        <f>'Revenues 9-14'!F62</f>
        <v>0</v>
      </c>
      <c r="G28" s="866"/>
    </row>
    <row r="29" spans="1:7" x14ac:dyDescent="0.2">
      <c r="A29" s="870" t="s">
        <v>1159</v>
      </c>
      <c r="B29" s="871" t="s">
        <v>1683</v>
      </c>
      <c r="C29" s="881">
        <f>'Revenues 9-14'!B148</f>
        <v>3410</v>
      </c>
      <c r="D29" s="882" t="str">
        <f>'Revenues 9-14'!A148</f>
        <v>Adult Ed (from ICCB)</v>
      </c>
      <c r="E29" s="869"/>
      <c r="F29" s="1936">
        <f>SUM('Revenues 9-14'!D148,F149)</f>
        <v>0</v>
      </c>
      <c r="G29" s="866"/>
    </row>
    <row r="30" spans="1:7" x14ac:dyDescent="0.2">
      <c r="A30" s="870" t="s">
        <v>1159</v>
      </c>
      <c r="B30" s="871" t="s">
        <v>861</v>
      </c>
      <c r="C30" s="881">
        <f>'Revenues 9-14'!B149</f>
        <v>3499</v>
      </c>
      <c r="D30" s="882" t="str">
        <f>'Revenues 9-14'!A149</f>
        <v>Adult Ed - Other (Describe &amp; Itemize)</v>
      </c>
      <c r="E30" s="869"/>
      <c r="F30" s="1937">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6">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6">
        <f>SUM('Revenues 9-14'!D219,'Revenues 9-14'!F219)</f>
        <v>0</v>
      </c>
      <c r="G32" s="866"/>
    </row>
    <row r="33" spans="1:7" x14ac:dyDescent="0.2">
      <c r="A33" s="870" t="s">
        <v>480</v>
      </c>
      <c r="B33" s="871" t="s">
        <v>801</v>
      </c>
      <c r="C33" s="876">
        <f>'Revenues 9-14'!B229</f>
        <v>4810</v>
      </c>
      <c r="D33" s="884" t="str">
        <f>'Revenues 9-14'!A229</f>
        <v>Federal - Adult Education</v>
      </c>
      <c r="E33" s="869"/>
      <c r="F33" s="1936">
        <f>'Revenues 9-14'!D229</f>
        <v>0</v>
      </c>
      <c r="G33" s="866"/>
    </row>
    <row r="34" spans="1:7" x14ac:dyDescent="0.2">
      <c r="A34" s="870" t="s">
        <v>479</v>
      </c>
      <c r="B34" s="870" t="s">
        <v>1545</v>
      </c>
      <c r="C34" s="887" t="str">
        <f>'Expenditures 15-22'!B7</f>
        <v>1125</v>
      </c>
      <c r="D34" s="888" t="str">
        <f>'Expenditures 15-22'!A7</f>
        <v>Pre-K Programs</v>
      </c>
      <c r="E34" s="869"/>
      <c r="F34" s="1936">
        <f>'Expenditures 15-22'!K7-SUM('Expenditures 15-22'!G7,'Expenditures 15-22'!I7)</f>
        <v>96773</v>
      </c>
      <c r="G34" s="866"/>
    </row>
    <row r="35" spans="1:7" x14ac:dyDescent="0.2">
      <c r="A35" s="870" t="s">
        <v>479</v>
      </c>
      <c r="B35" s="870" t="s">
        <v>1546</v>
      </c>
      <c r="C35" s="887" t="str">
        <f>'Expenditures 15-22'!B9</f>
        <v>1225</v>
      </c>
      <c r="D35" s="888" t="str">
        <f>'Expenditures 15-22'!A9</f>
        <v>Special Education Programs Pre-K</v>
      </c>
      <c r="E35" s="869"/>
      <c r="F35" s="1936">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6">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6">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6">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6">
        <f>'Expenditures 15-22'!K20</f>
        <v>0</v>
      </c>
      <c r="G39" s="866"/>
    </row>
    <row r="40" spans="1:7" x14ac:dyDescent="0.2">
      <c r="A40" s="870" t="s">
        <v>479</v>
      </c>
      <c r="B40" s="870" t="s">
        <v>120</v>
      </c>
      <c r="C40" s="887" t="str">
        <f>'Expenditures 15-22'!B21</f>
        <v>1911</v>
      </c>
      <c r="D40" s="889" t="str">
        <f>'Expenditures 15-22'!A21</f>
        <v>Regular K-12 Programs - Private Tuition</v>
      </c>
      <c r="E40" s="869"/>
      <c r="F40" s="1936">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6">
        <f>'Expenditures 15-22'!K22</f>
        <v>64120</v>
      </c>
      <c r="G41" s="866"/>
    </row>
    <row r="42" spans="1:7" x14ac:dyDescent="0.2">
      <c r="A42" s="870" t="s">
        <v>479</v>
      </c>
      <c r="B42" s="870" t="s">
        <v>122</v>
      </c>
      <c r="C42" s="890" t="str">
        <f>'Expenditures 15-22'!B23</f>
        <v>1913</v>
      </c>
      <c r="D42" s="889" t="str">
        <f>'Expenditures 15-22'!A23</f>
        <v>Special Education Programs Pre-K - Tuition</v>
      </c>
      <c r="E42" s="869"/>
      <c r="F42" s="1936">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6">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6">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6">
        <f>'Expenditures 15-22'!K26</f>
        <v>0</v>
      </c>
      <c r="G45" s="866"/>
    </row>
    <row r="46" spans="1:7" x14ac:dyDescent="0.2">
      <c r="A46" s="870" t="s">
        <v>479</v>
      </c>
      <c r="B46" s="870" t="s">
        <v>126</v>
      </c>
      <c r="C46" s="887" t="str">
        <f>'Expenditures 15-22'!B27</f>
        <v>1917</v>
      </c>
      <c r="D46" s="889" t="str">
        <f>'Expenditures 15-22'!A27</f>
        <v>CTE Programs - Private Tuition</v>
      </c>
      <c r="E46" s="869"/>
      <c r="F46" s="1936">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6">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6">
        <f>'Expenditures 15-22'!K29</f>
        <v>0</v>
      </c>
      <c r="G48" s="866"/>
    </row>
    <row r="49" spans="1:7" x14ac:dyDescent="0.2">
      <c r="A49" s="870" t="s">
        <v>479</v>
      </c>
      <c r="B49" s="870" t="s">
        <v>129</v>
      </c>
      <c r="C49" s="887" t="str">
        <f>'Expenditures 15-22'!B30</f>
        <v>1920</v>
      </c>
      <c r="D49" s="889" t="str">
        <f>'Expenditures 15-22'!A30</f>
        <v>Gifted Programs - Private Tuition</v>
      </c>
      <c r="E49" s="869"/>
      <c r="F49" s="1936">
        <f>'Expenditures 15-22'!K30</f>
        <v>0</v>
      </c>
      <c r="G49" s="866"/>
    </row>
    <row r="50" spans="1:7" x14ac:dyDescent="0.2">
      <c r="A50" s="870" t="s">
        <v>479</v>
      </c>
      <c r="B50" s="870" t="s">
        <v>130</v>
      </c>
      <c r="C50" s="887" t="str">
        <f>'Expenditures 15-22'!B31</f>
        <v>1921</v>
      </c>
      <c r="D50" s="889" t="str">
        <f>'Expenditures 15-22'!A31</f>
        <v>Bilingual Programs - Private Tuition</v>
      </c>
      <c r="E50" s="869"/>
      <c r="F50" s="1936">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6">
        <f>'Expenditures 15-22'!K32</f>
        <v>0</v>
      </c>
      <c r="G51" s="866"/>
    </row>
    <row r="52" spans="1:7" x14ac:dyDescent="0.2">
      <c r="A52" s="870" t="s">
        <v>479</v>
      </c>
      <c r="B52" s="870" t="s">
        <v>1550</v>
      </c>
      <c r="C52" s="890" t="str">
        <f>'Expenditures 15-22'!B75</f>
        <v>3000</v>
      </c>
      <c r="D52" s="889" t="s">
        <v>469</v>
      </c>
      <c r="E52" s="869"/>
      <c r="F52" s="1936">
        <f>'Expenditures 15-22'!K75-SUM('Expenditures 15-22'!G75,'Expenditures 15-22'!I75)</f>
        <v>27593</v>
      </c>
      <c r="G52" s="866"/>
    </row>
    <row r="53" spans="1:7" x14ac:dyDescent="0.2">
      <c r="A53" s="870" t="s">
        <v>479</v>
      </c>
      <c r="B53" s="870" t="s">
        <v>1551</v>
      </c>
      <c r="C53" s="890">
        <f>'Expenditures 15-22'!B102</f>
        <v>4000</v>
      </c>
      <c r="D53" s="889" t="str">
        <f>'Expenditures 15-22'!A102</f>
        <v>Total Payments to Other Govt Units</v>
      </c>
      <c r="E53" s="869"/>
      <c r="F53" s="1936">
        <f>'Expenditures 15-22'!K102</f>
        <v>335290</v>
      </c>
      <c r="G53" s="866"/>
    </row>
    <row r="54" spans="1:7" x14ac:dyDescent="0.2">
      <c r="A54" s="870" t="s">
        <v>479</v>
      </c>
      <c r="B54" s="870" t="s">
        <v>1552</v>
      </c>
      <c r="C54" s="890" t="s">
        <v>1039</v>
      </c>
      <c r="D54" s="886" t="s">
        <v>1157</v>
      </c>
      <c r="E54" s="869"/>
      <c r="F54" s="1936">
        <f>'Expenditures 15-22'!G114</f>
        <v>20248</v>
      </c>
      <c r="G54" s="866"/>
    </row>
    <row r="55" spans="1:7" x14ac:dyDescent="0.2">
      <c r="A55" s="870" t="s">
        <v>479</v>
      </c>
      <c r="B55" s="870" t="s">
        <v>1553</v>
      </c>
      <c r="C55" s="890" t="s">
        <v>1039</v>
      </c>
      <c r="D55" s="886" t="s">
        <v>309</v>
      </c>
      <c r="E55" s="869"/>
      <c r="F55" s="1936">
        <f>'Expenditures 15-22'!I114</f>
        <v>0</v>
      </c>
      <c r="G55" s="866"/>
    </row>
    <row r="56" spans="1:7" x14ac:dyDescent="0.2">
      <c r="A56" s="870" t="s">
        <v>480</v>
      </c>
      <c r="B56" s="870" t="s">
        <v>1554</v>
      </c>
      <c r="C56" s="887" t="str">
        <f>'Expenditures 15-22'!B130</f>
        <v>3000</v>
      </c>
      <c r="D56" s="893" t="s">
        <v>469</v>
      </c>
      <c r="E56" s="869"/>
      <c r="F56" s="1936">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6">
        <f>'Expenditures 15-22'!K139</f>
        <v>0</v>
      </c>
      <c r="G57" s="866"/>
    </row>
    <row r="58" spans="1:7" x14ac:dyDescent="0.2">
      <c r="A58" s="870" t="s">
        <v>480</v>
      </c>
      <c r="B58" s="870" t="s">
        <v>1994</v>
      </c>
      <c r="C58" s="887" t="s">
        <v>1039</v>
      </c>
      <c r="D58" s="886" t="s">
        <v>1157</v>
      </c>
      <c r="E58" s="869"/>
      <c r="F58" s="1938">
        <f>'Expenditures 15-22'!G151</f>
        <v>5468</v>
      </c>
      <c r="G58" s="866"/>
    </row>
    <row r="59" spans="1:7" x14ac:dyDescent="0.2">
      <c r="A59" s="894" t="s">
        <v>480</v>
      </c>
      <c r="B59" s="857" t="s">
        <v>1995</v>
      </c>
      <c r="C59" s="895" t="s">
        <v>1039</v>
      </c>
      <c r="D59" s="857" t="s">
        <v>309</v>
      </c>
      <c r="F59" s="1939">
        <f>'Expenditures 15-22'!I151</f>
        <v>0</v>
      </c>
      <c r="G59" s="866"/>
    </row>
    <row r="60" spans="1:7" x14ac:dyDescent="0.2">
      <c r="A60" s="894" t="s">
        <v>520</v>
      </c>
      <c r="B60" s="857" t="s">
        <v>1996</v>
      </c>
      <c r="C60" s="895">
        <v>4000</v>
      </c>
      <c r="D60" s="857" t="s">
        <v>330</v>
      </c>
      <c r="F60" s="1937">
        <f>'Expenditures 15-22'!K160</f>
        <v>0</v>
      </c>
      <c r="G60" s="866"/>
    </row>
    <row r="61" spans="1:7" x14ac:dyDescent="0.2">
      <c r="A61" s="896" t="s">
        <v>520</v>
      </c>
      <c r="B61" s="896" t="s">
        <v>1997</v>
      </c>
      <c r="C61" s="897" t="str">
        <f>'Expenditures 15-22'!B170</f>
        <v>5300</v>
      </c>
      <c r="D61" s="898" t="s">
        <v>329</v>
      </c>
      <c r="E61" s="880"/>
      <c r="F61" s="1936">
        <f>'Expenditures 15-22'!K170</f>
        <v>195000</v>
      </c>
      <c r="G61" s="866"/>
    </row>
    <row r="62" spans="1:7" x14ac:dyDescent="0.2">
      <c r="A62" s="870" t="s">
        <v>481</v>
      </c>
      <c r="B62" s="870" t="s">
        <v>1998</v>
      </c>
      <c r="C62" s="887">
        <f>'Expenditures 15-22'!B185</f>
        <v>3000</v>
      </c>
      <c r="D62" s="877" t="s">
        <v>469</v>
      </c>
      <c r="E62" s="869"/>
      <c r="F62" s="1936">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6">
        <f>'Expenditures 15-22'!K196</f>
        <v>0</v>
      </c>
      <c r="G63" s="866"/>
    </row>
    <row r="64" spans="1:7" x14ac:dyDescent="0.2">
      <c r="A64" s="896" t="s">
        <v>481</v>
      </c>
      <c r="B64" s="896" t="s">
        <v>2000</v>
      </c>
      <c r="C64" s="897" t="str">
        <f>'Expenditures 15-22'!B206</f>
        <v>5300</v>
      </c>
      <c r="D64" s="893" t="s">
        <v>329</v>
      </c>
      <c r="E64" s="869"/>
      <c r="F64" s="1936">
        <f>'Expenditures 15-22'!K206</f>
        <v>15777</v>
      </c>
      <c r="G64" s="866"/>
    </row>
    <row r="65" spans="1:8" x14ac:dyDescent="0.2">
      <c r="A65" s="870" t="s">
        <v>481</v>
      </c>
      <c r="B65" s="870" t="s">
        <v>2001</v>
      </c>
      <c r="C65" s="887" t="s">
        <v>1039</v>
      </c>
      <c r="D65" s="886" t="s">
        <v>1157</v>
      </c>
      <c r="E65" s="869"/>
      <c r="F65" s="1936">
        <f>'Expenditures 15-22'!G210</f>
        <v>0</v>
      </c>
      <c r="G65" s="866"/>
    </row>
    <row r="66" spans="1:8" x14ac:dyDescent="0.2">
      <c r="A66" s="870" t="s">
        <v>481</v>
      </c>
      <c r="B66" s="870" t="s">
        <v>2002</v>
      </c>
      <c r="C66" s="887" t="s">
        <v>1039</v>
      </c>
      <c r="D66" s="886" t="s">
        <v>309</v>
      </c>
      <c r="E66" s="869"/>
      <c r="F66" s="1936">
        <f>'Expenditures 15-22'!I210</f>
        <v>0</v>
      </c>
      <c r="G66" s="866"/>
    </row>
    <row r="67" spans="1:8" x14ac:dyDescent="0.2">
      <c r="A67" s="870" t="s">
        <v>482</v>
      </c>
      <c r="B67" s="870" t="s">
        <v>2003</v>
      </c>
      <c r="C67" s="887" t="str">
        <f>'Expenditures 15-22'!B216</f>
        <v>1125</v>
      </c>
      <c r="D67" s="893" t="str">
        <f>'Expenditures 15-22'!A216</f>
        <v>Pre-K Programs</v>
      </c>
      <c r="E67" s="869"/>
      <c r="F67" s="1936">
        <f>'Expenditures 15-22'!K216</f>
        <v>3663</v>
      </c>
      <c r="G67" s="866"/>
    </row>
    <row r="68" spans="1:8" x14ac:dyDescent="0.2">
      <c r="A68" s="870" t="s">
        <v>482</v>
      </c>
      <c r="B68" s="870" t="s">
        <v>1555</v>
      </c>
      <c r="C68" s="887" t="str">
        <f>'Expenditures 15-22'!B218</f>
        <v>1225</v>
      </c>
      <c r="D68" s="893" t="str">
        <f>'Expenditures 15-22'!A218</f>
        <v>Special Education Programs - Pre-K</v>
      </c>
      <c r="E68" s="869"/>
      <c r="F68" s="1936">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6">
        <f>'Expenditures 15-22'!K220</f>
        <v>0</v>
      </c>
      <c r="G69" s="866"/>
    </row>
    <row r="70" spans="1:8" x14ac:dyDescent="0.2">
      <c r="A70" s="870" t="s">
        <v>482</v>
      </c>
      <c r="B70" s="870" t="s">
        <v>2005</v>
      </c>
      <c r="C70" s="887">
        <f>'Expenditures 15-22'!B221</f>
        <v>1300</v>
      </c>
      <c r="D70" s="888" t="str">
        <f>'Expenditures 15-22'!A221</f>
        <v>Adult/Continuing Education Programs</v>
      </c>
      <c r="E70" s="869"/>
      <c r="F70" s="1936">
        <f>'Expenditures 15-22'!K221</f>
        <v>0</v>
      </c>
      <c r="G70" s="866"/>
    </row>
    <row r="71" spans="1:8" x14ac:dyDescent="0.2">
      <c r="A71" s="870" t="s">
        <v>482</v>
      </c>
      <c r="B71" s="870" t="s">
        <v>2006</v>
      </c>
      <c r="C71" s="887">
        <f>'Expenditures 15-22'!B224</f>
        <v>1600</v>
      </c>
      <c r="D71" s="888" t="str">
        <f>'Expenditures 15-22'!A224</f>
        <v>Summer School Programs</v>
      </c>
      <c r="E71" s="869"/>
      <c r="F71" s="1936">
        <f>'Expenditures 15-22'!K224</f>
        <v>0</v>
      </c>
      <c r="G71" s="866"/>
    </row>
    <row r="72" spans="1:8" x14ac:dyDescent="0.2">
      <c r="A72" s="870" t="s">
        <v>482</v>
      </c>
      <c r="B72" s="870" t="s">
        <v>2007</v>
      </c>
      <c r="C72" s="887">
        <f>'Expenditures 15-22'!B280</f>
        <v>3000</v>
      </c>
      <c r="D72" s="877" t="s">
        <v>469</v>
      </c>
      <c r="E72" s="869"/>
      <c r="F72" s="1936">
        <f>'Expenditures 15-22'!K280</f>
        <v>1429</v>
      </c>
      <c r="G72" s="866"/>
    </row>
    <row r="73" spans="1:8" x14ac:dyDescent="0.2">
      <c r="A73" s="870" t="s">
        <v>482</v>
      </c>
      <c r="B73" s="870" t="s">
        <v>2008</v>
      </c>
      <c r="C73" s="887" t="str">
        <f>'Expenditures 15-22'!B285</f>
        <v>4000</v>
      </c>
      <c r="D73" s="888" t="str">
        <f>'Expenditures 15-22'!A285</f>
        <v>Total Payments to Other Govt Units</v>
      </c>
      <c r="E73" s="869"/>
      <c r="F73" s="1936">
        <f>'Expenditures 15-22'!K285</f>
        <v>0</v>
      </c>
      <c r="G73" s="866"/>
    </row>
    <row r="74" spans="1:8" x14ac:dyDescent="0.2">
      <c r="A74" s="870" t="s">
        <v>456</v>
      </c>
      <c r="B74" s="870" t="s">
        <v>2009</v>
      </c>
      <c r="C74" s="887" t="s">
        <v>915</v>
      </c>
      <c r="D74" s="888" t="s">
        <v>1567</v>
      </c>
      <c r="E74" s="869"/>
      <c r="F74" s="1940">
        <f>'Expenditures 15-22'!K334</f>
        <v>0</v>
      </c>
      <c r="G74" s="866"/>
    </row>
    <row r="75" spans="1:8" ht="5.25" customHeight="1" x14ac:dyDescent="0.2">
      <c r="A75" s="866"/>
      <c r="B75" s="876"/>
      <c r="C75" s="876"/>
      <c r="D75" s="866"/>
      <c r="E75" s="869"/>
      <c r="F75" s="883"/>
      <c r="G75" s="868"/>
    </row>
    <row r="76" spans="1:8" ht="12" thickBot="1" x14ac:dyDescent="0.25">
      <c r="A76" s="1789"/>
      <c r="B76" s="1795"/>
      <c r="C76" s="1791"/>
      <c r="D76" s="1796" t="s">
        <v>2010</v>
      </c>
      <c r="E76" s="1793" t="s">
        <v>1015</v>
      </c>
      <c r="F76" s="1797">
        <f>SUM(F18:F74)</f>
        <v>765361</v>
      </c>
      <c r="G76" s="866"/>
    </row>
    <row r="77" spans="1:8" s="894" customFormat="1" ht="12" customHeight="1" thickTop="1" thickBot="1" x14ac:dyDescent="0.25">
      <c r="A77" s="1798"/>
      <c r="B77" s="1795"/>
      <c r="C77" s="1791"/>
      <c r="D77" s="1796" t="s">
        <v>2011</v>
      </c>
      <c r="E77" s="1793"/>
      <c r="F77" s="1799">
        <f>(F14-F76)</f>
        <v>2754170</v>
      </c>
      <c r="G77" s="870"/>
    </row>
    <row r="78" spans="1:8" s="894" customFormat="1" ht="12" customHeight="1" thickTop="1" x14ac:dyDescent="0.2">
      <c r="A78" s="1800"/>
      <c r="B78" s="1795"/>
      <c r="C78" s="1791"/>
      <c r="D78" s="1796" t="s">
        <v>2057</v>
      </c>
      <c r="E78" s="1793"/>
      <c r="F78" s="899">
        <v>303</v>
      </c>
      <c r="G78" s="900"/>
      <c r="H78" s="870"/>
    </row>
    <row r="79" spans="1:8" s="894" customFormat="1" ht="12" customHeight="1" thickBot="1" x14ac:dyDescent="0.25">
      <c r="A79" s="1801"/>
      <c r="B79" s="1795"/>
      <c r="C79" s="1791"/>
      <c r="D79" s="1796" t="s">
        <v>2012</v>
      </c>
      <c r="E79" s="1793" t="s">
        <v>1015</v>
      </c>
      <c r="F79" s="1802">
        <f>IF(F78&gt;0,F77/F78," Complete Line 78")</f>
        <v>9089.6699669967002</v>
      </c>
      <c r="G79" s="870"/>
    </row>
    <row r="80" spans="1:8" s="894" customFormat="1" ht="8.25" customHeight="1" thickTop="1" x14ac:dyDescent="0.2">
      <c r="A80" s="901"/>
      <c r="B80" s="870"/>
      <c r="C80" s="872"/>
      <c r="D80" s="902"/>
      <c r="E80" s="869"/>
      <c r="F80" s="903"/>
      <c r="G80" s="870"/>
    </row>
    <row r="81" spans="1:7" s="894" customFormat="1" ht="12" thickBot="1" x14ac:dyDescent="0.25">
      <c r="A81" s="2324" t="s">
        <v>1167</v>
      </c>
      <c r="B81" s="2325"/>
      <c r="C81" s="2325"/>
      <c r="D81" s="2325"/>
      <c r="E81" s="2325"/>
      <c r="F81" s="232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0">
        <f>'Revenues 9-14'!F42</f>
        <v>0</v>
      </c>
      <c r="G84" s="913"/>
    </row>
    <row r="85" spans="1:7" x14ac:dyDescent="0.2">
      <c r="A85" s="909" t="s">
        <v>481</v>
      </c>
      <c r="B85" s="909" t="s">
        <v>192</v>
      </c>
      <c r="C85" s="914">
        <f>'Revenues 9-14'!B44</f>
        <v>1413</v>
      </c>
      <c r="D85" s="912" t="str">
        <f>'Revenues 9-14'!A44</f>
        <v>Regular - Transp Fees from Other Sources (In State)</v>
      </c>
      <c r="E85" s="907"/>
      <c r="F85" s="1808">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8">
        <f>'Revenues 9-14'!F45</f>
        <v>0</v>
      </c>
      <c r="G86" s="915"/>
    </row>
    <row r="87" spans="1:7" x14ac:dyDescent="0.2">
      <c r="A87" s="909" t="s">
        <v>481</v>
      </c>
      <c r="B87" s="909" t="s">
        <v>169</v>
      </c>
      <c r="C87" s="911">
        <v>1416</v>
      </c>
      <c r="D87" s="912" t="str">
        <f>'Revenues 9-14'!A46</f>
        <v>Regular Transp Fees from Other Sources (Out of State)</v>
      </c>
      <c r="E87" s="907"/>
      <c r="F87" s="1808">
        <f>'Revenues 9-14'!F46</f>
        <v>0</v>
      </c>
      <c r="G87" s="915"/>
    </row>
    <row r="88" spans="1:7" x14ac:dyDescent="0.2">
      <c r="A88" s="909" t="s">
        <v>481</v>
      </c>
      <c r="B88" s="909" t="s">
        <v>170</v>
      </c>
      <c r="C88" s="911">
        <f>'Revenues 9-14'!B51</f>
        <v>1431</v>
      </c>
      <c r="D88" s="912" t="str">
        <f>'Revenues 9-14'!A51</f>
        <v>CTE - Transp Fees from Pupils or Parents (In State)</v>
      </c>
      <c r="E88" s="907"/>
      <c r="F88" s="1808">
        <f>'Revenues 9-14'!F51</f>
        <v>0</v>
      </c>
      <c r="G88" s="915"/>
    </row>
    <row r="89" spans="1:7" x14ac:dyDescent="0.2">
      <c r="A89" s="909" t="s">
        <v>481</v>
      </c>
      <c r="B89" s="909" t="s">
        <v>171</v>
      </c>
      <c r="C89" s="911">
        <f>'Revenues 9-14'!B53</f>
        <v>1433</v>
      </c>
      <c r="D89" s="912" t="str">
        <f>'Revenues 9-14'!A53</f>
        <v>CTE - Transp Fees from Other Sources (In State)</v>
      </c>
      <c r="E89" s="907"/>
      <c r="F89" s="1808">
        <f>'Revenues 9-14'!F53</f>
        <v>0</v>
      </c>
      <c r="G89" s="915"/>
    </row>
    <row r="90" spans="1:7" x14ac:dyDescent="0.2">
      <c r="A90" s="909" t="s">
        <v>481</v>
      </c>
      <c r="B90" s="909" t="s">
        <v>172</v>
      </c>
      <c r="C90" s="911">
        <f>'Revenues 9-14'!B54</f>
        <v>1434</v>
      </c>
      <c r="D90" s="912" t="str">
        <f>'Revenues 9-14'!A54</f>
        <v>CTE - Transp Fees from Other Sources (Out of State)</v>
      </c>
      <c r="E90" s="907"/>
      <c r="F90" s="1808">
        <f>'Revenues 9-14'!F54</f>
        <v>0</v>
      </c>
      <c r="G90" s="915"/>
    </row>
    <row r="91" spans="1:7" x14ac:dyDescent="0.2">
      <c r="A91" s="909" t="s">
        <v>481</v>
      </c>
      <c r="B91" s="909" t="s">
        <v>173</v>
      </c>
      <c r="C91" s="916">
        <f>'Revenues 9-14'!B55</f>
        <v>1441</v>
      </c>
      <c r="D91" s="912" t="str">
        <f>'Revenues 9-14'!A55</f>
        <v>Special Ed - Transp Fees from Pupils or Parents (In State)</v>
      </c>
      <c r="E91" s="907"/>
      <c r="F91" s="1808">
        <f>'Revenues 9-14'!F55</f>
        <v>0</v>
      </c>
      <c r="G91" s="915"/>
    </row>
    <row r="92" spans="1:7" x14ac:dyDescent="0.2">
      <c r="A92" s="909" t="s">
        <v>481</v>
      </c>
      <c r="B92" s="909" t="s">
        <v>174</v>
      </c>
      <c r="C92" s="911">
        <f>'Revenues 9-14'!B57</f>
        <v>1443</v>
      </c>
      <c r="D92" s="912" t="str">
        <f>'Revenues 9-14'!A57</f>
        <v>Special Ed - Transp Fees from Other Sources (In State)</v>
      </c>
      <c r="E92" s="907"/>
      <c r="F92" s="1808">
        <f>'Revenues 9-14'!F57</f>
        <v>0</v>
      </c>
      <c r="G92" s="917"/>
    </row>
    <row r="93" spans="1:7" x14ac:dyDescent="0.2">
      <c r="A93" s="909" t="s">
        <v>481</v>
      </c>
      <c r="B93" s="909" t="s">
        <v>175</v>
      </c>
      <c r="C93" s="911">
        <f>'Revenues 9-14'!B58</f>
        <v>1444</v>
      </c>
      <c r="D93" s="912" t="str">
        <f>'Revenues 9-14'!A58</f>
        <v>Special Ed - Transp Fees from Other Sources (Out of State)</v>
      </c>
      <c r="E93" s="907"/>
      <c r="F93" s="1808">
        <f>'Revenues 9-14'!F58</f>
        <v>0</v>
      </c>
      <c r="G93" s="917"/>
    </row>
    <row r="94" spans="1:7" x14ac:dyDescent="0.2">
      <c r="A94" s="909" t="s">
        <v>479</v>
      </c>
      <c r="B94" s="909" t="s">
        <v>176</v>
      </c>
      <c r="C94" s="911">
        <v>1600</v>
      </c>
      <c r="D94" s="918" t="str">
        <f>'Revenues 9-14'!A75</f>
        <v>Total Food Service</v>
      </c>
      <c r="E94" s="907"/>
      <c r="F94" s="1808">
        <f>'Revenues 9-14'!C75</f>
        <v>39760</v>
      </c>
      <c r="G94" s="913"/>
    </row>
    <row r="95" spans="1:7" x14ac:dyDescent="0.2">
      <c r="A95" s="909" t="s">
        <v>142</v>
      </c>
      <c r="B95" s="909" t="s">
        <v>177</v>
      </c>
      <c r="C95" s="911">
        <v>1700</v>
      </c>
      <c r="D95" s="919" t="str">
        <f>'Revenues 9-14'!A82</f>
        <v>Total District/School Activity Income</v>
      </c>
      <c r="E95" s="907"/>
      <c r="F95" s="1808">
        <f>SUM('Revenues 9-14'!C82,'Revenues 9-14'!D82)</f>
        <v>23335</v>
      </c>
      <c r="G95" s="913"/>
    </row>
    <row r="96" spans="1:7" x14ac:dyDescent="0.2">
      <c r="A96" s="909" t="s">
        <v>479</v>
      </c>
      <c r="B96" s="909" t="s">
        <v>178</v>
      </c>
      <c r="C96" s="911">
        <f>'Revenues 9-14'!B84</f>
        <v>1811</v>
      </c>
      <c r="D96" s="912" t="str">
        <f>'Revenues 9-14'!A84</f>
        <v>Rentals - Regular Textbooks</v>
      </c>
      <c r="E96" s="907"/>
      <c r="F96" s="1808">
        <f>'Revenues 9-14'!C84</f>
        <v>14377</v>
      </c>
      <c r="G96" s="913"/>
    </row>
    <row r="97" spans="1:7" x14ac:dyDescent="0.2">
      <c r="A97" s="909" t="s">
        <v>479</v>
      </c>
      <c r="B97" s="909" t="s">
        <v>179</v>
      </c>
      <c r="C97" s="911">
        <f>'Revenues 9-14'!B87</f>
        <v>1819</v>
      </c>
      <c r="D97" s="912" t="str">
        <f>'Revenues 9-14'!A87</f>
        <v>Rentals - Other (Describe &amp; Itemize)</v>
      </c>
      <c r="E97" s="907"/>
      <c r="F97" s="1808">
        <f>'Revenues 9-14'!C87</f>
        <v>0</v>
      </c>
      <c r="G97" s="913"/>
    </row>
    <row r="98" spans="1:7" x14ac:dyDescent="0.2">
      <c r="A98" s="909" t="s">
        <v>479</v>
      </c>
      <c r="B98" s="909" t="s">
        <v>180</v>
      </c>
      <c r="C98" s="911">
        <f>'Revenues 9-14'!B88</f>
        <v>1821</v>
      </c>
      <c r="D98" s="912" t="str">
        <f>'Revenues 9-14'!A88</f>
        <v>Sales - Regular Textbooks</v>
      </c>
      <c r="E98" s="907"/>
      <c r="F98" s="1808">
        <f>'Revenues 9-14'!C88</f>
        <v>0</v>
      </c>
      <c r="G98" s="913"/>
    </row>
    <row r="99" spans="1:7" x14ac:dyDescent="0.2">
      <c r="A99" s="909" t="s">
        <v>479</v>
      </c>
      <c r="B99" s="909" t="s">
        <v>181</v>
      </c>
      <c r="C99" s="911">
        <f>'Revenues 9-14'!B91</f>
        <v>1829</v>
      </c>
      <c r="D99" s="912" t="str">
        <f>'Revenues 9-14'!A91</f>
        <v>Sales - Other (Describe &amp; Itemize)</v>
      </c>
      <c r="E99" s="907"/>
      <c r="F99" s="1808">
        <f>'Revenues 9-14'!C91</f>
        <v>0</v>
      </c>
      <c r="G99" s="913"/>
    </row>
    <row r="100" spans="1:7" x14ac:dyDescent="0.2">
      <c r="A100" s="909" t="s">
        <v>479</v>
      </c>
      <c r="B100" s="909" t="s">
        <v>182</v>
      </c>
      <c r="C100" s="911">
        <f>'Revenues 9-14'!B92</f>
        <v>1890</v>
      </c>
      <c r="D100" s="912" t="str">
        <f>'Revenues 9-14'!A92</f>
        <v>Other (Describe &amp; Itemize)</v>
      </c>
      <c r="E100" s="907"/>
      <c r="F100" s="1808">
        <f>'Revenues 9-14'!C92</f>
        <v>0</v>
      </c>
      <c r="G100" s="913"/>
    </row>
    <row r="101" spans="1:7" x14ac:dyDescent="0.2">
      <c r="A101" s="909" t="s">
        <v>142</v>
      </c>
      <c r="B101" s="909" t="s">
        <v>183</v>
      </c>
      <c r="C101" s="911">
        <f>'Revenues 9-14'!B95</f>
        <v>1910</v>
      </c>
      <c r="D101" s="912" t="str">
        <f>'Revenues 9-14'!A95</f>
        <v>Rentals</v>
      </c>
      <c r="E101" s="907"/>
      <c r="F101" s="1808">
        <f>SUM('Revenues 9-14'!C95:D95)</f>
        <v>0</v>
      </c>
      <c r="G101" s="913"/>
    </row>
    <row r="102" spans="1:7" x14ac:dyDescent="0.2">
      <c r="A102" s="909" t="s">
        <v>524</v>
      </c>
      <c r="B102" s="909" t="s">
        <v>184</v>
      </c>
      <c r="C102" s="911">
        <f>'Revenues 9-14'!B98</f>
        <v>1940</v>
      </c>
      <c r="D102" s="912" t="str">
        <f>'Revenues 9-14'!A98</f>
        <v>Services Provided Other Districts</v>
      </c>
      <c r="E102" s="907"/>
      <c r="F102" s="1808">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8">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8">
        <f>('Revenues 9-14'!C106)</f>
        <v>0</v>
      </c>
      <c r="G104" s="913"/>
    </row>
    <row r="105" spans="1:7" x14ac:dyDescent="0.2">
      <c r="A105" s="909" t="s">
        <v>524</v>
      </c>
      <c r="B105" s="909" t="s">
        <v>842</v>
      </c>
      <c r="C105" s="914">
        <v>3100</v>
      </c>
      <c r="D105" s="920" t="str">
        <f>'Revenues 9-14'!A131</f>
        <v>Total Special Education</v>
      </c>
      <c r="E105" s="907"/>
      <c r="F105" s="1808">
        <f>SUM('Revenues 9-14'!C131:D131,'Revenues 9-14'!F131)</f>
        <v>111650</v>
      </c>
      <c r="G105" s="913"/>
    </row>
    <row r="106" spans="1:7" x14ac:dyDescent="0.2">
      <c r="A106" s="909" t="s">
        <v>694</v>
      </c>
      <c r="B106" s="909" t="s">
        <v>1483</v>
      </c>
      <c r="C106" s="921">
        <v>3200</v>
      </c>
      <c r="D106" s="912" t="str">
        <f>'Revenues 9-14'!A140</f>
        <v>Total Career and Technical Education</v>
      </c>
      <c r="E106" s="907"/>
      <c r="F106" s="1808">
        <f>SUM('Revenues 9-14'!C140,'Revenues 9-14'!D140,'Revenues 9-14'!G140)</f>
        <v>6127</v>
      </c>
      <c r="G106" s="913"/>
    </row>
    <row r="107" spans="1:7" x14ac:dyDescent="0.2">
      <c r="A107" s="922" t="s">
        <v>685</v>
      </c>
      <c r="B107" s="909" t="s">
        <v>843</v>
      </c>
      <c r="C107" s="921">
        <v>3300</v>
      </c>
      <c r="D107" s="912" t="str">
        <f>'Revenues 9-14'!A144</f>
        <v>Total Bilingual Ed</v>
      </c>
      <c r="E107" s="907"/>
      <c r="F107" s="1808">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8">
        <f>'Revenues 9-14'!C145</f>
        <v>984</v>
      </c>
      <c r="G108" s="913"/>
    </row>
    <row r="109" spans="1:7" x14ac:dyDescent="0.2">
      <c r="A109" s="909" t="s">
        <v>694</v>
      </c>
      <c r="B109" s="909" t="s">
        <v>845</v>
      </c>
      <c r="C109" s="921">
        <f>'Revenues 9-14'!B146</f>
        <v>3365</v>
      </c>
      <c r="D109" s="912" t="str">
        <f>'Revenues 9-14'!A146</f>
        <v>School Breakfast Initiative</v>
      </c>
      <c r="E109" s="907"/>
      <c r="F109" s="1808">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8">
        <f>SUM('Revenues 9-14'!C147,'Revenues 9-14'!D147)</f>
        <v>4611</v>
      </c>
      <c r="G110" s="913"/>
    </row>
    <row r="111" spans="1:7" x14ac:dyDescent="0.2">
      <c r="A111" s="909" t="s">
        <v>689</v>
      </c>
      <c r="B111" s="909" t="s">
        <v>802</v>
      </c>
      <c r="C111" s="923">
        <v>3500</v>
      </c>
      <c r="D111" s="912" t="str">
        <f>'Revenues 9-14'!A154</f>
        <v>Total Transportation</v>
      </c>
      <c r="E111" s="907"/>
      <c r="F111" s="1808">
        <f>SUM('Revenues 9-14'!C154,'Revenues 9-14'!D154,'Revenues 9-14'!F154,'Revenues 9-14'!G154)</f>
        <v>82776</v>
      </c>
      <c r="G111" s="913"/>
    </row>
    <row r="112" spans="1:7" x14ac:dyDescent="0.2">
      <c r="A112" s="909" t="s">
        <v>479</v>
      </c>
      <c r="B112" s="909" t="s">
        <v>847</v>
      </c>
      <c r="C112" s="921">
        <f>'Revenues 9-14'!B155</f>
        <v>3610</v>
      </c>
      <c r="D112" s="912" t="str">
        <f>'Revenues 9-14'!A155</f>
        <v>Learning Improvement - Change Grants</v>
      </c>
      <c r="E112" s="907"/>
      <c r="F112" s="1808">
        <f>'Revenues 9-14'!C155</f>
        <v>0</v>
      </c>
      <c r="G112" s="913"/>
    </row>
    <row r="113" spans="1:7" x14ac:dyDescent="0.2">
      <c r="A113" s="909" t="s">
        <v>689</v>
      </c>
      <c r="B113" s="909" t="s">
        <v>848</v>
      </c>
      <c r="C113" s="921">
        <f>'Revenues 9-14'!B156</f>
        <v>3660</v>
      </c>
      <c r="D113" s="912" t="str">
        <f>'Revenues 9-14'!A156</f>
        <v>Scientific Literacy</v>
      </c>
      <c r="E113" s="907"/>
      <c r="F113" s="1808">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8">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8">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8">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8">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9">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8">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8">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0">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0">
        <f>SUM('Revenues 9-14'!C166:G166)</f>
        <v>0</v>
      </c>
      <c r="G122" s="913"/>
    </row>
    <row r="123" spans="1:7" x14ac:dyDescent="0.2">
      <c r="A123" s="924" t="s">
        <v>525</v>
      </c>
      <c r="B123" s="924" t="s">
        <v>853</v>
      </c>
      <c r="C123" s="925">
        <f>'Revenues 9-14'!B167</f>
        <v>3815</v>
      </c>
      <c r="D123" s="926" t="str">
        <f>'Revenues 9-14'!A167</f>
        <v>State Charter Schools</v>
      </c>
      <c r="E123" s="907"/>
      <c r="F123" s="1930">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8">
        <f>'Revenues 9-14'!D170</f>
        <v>0</v>
      </c>
      <c r="G124" s="931"/>
    </row>
    <row r="125" spans="1:7" x14ac:dyDescent="0.2">
      <c r="A125" s="928" t="s">
        <v>521</v>
      </c>
      <c r="B125" s="928" t="s">
        <v>855</v>
      </c>
      <c r="C125" s="929">
        <f>'Revenues 9-14'!B171</f>
        <v>3999</v>
      </c>
      <c r="D125" s="930" t="s">
        <v>564</v>
      </c>
      <c r="E125" s="932"/>
      <c r="F125" s="1808">
        <f>SUM('Revenues 9-14'!C171:G171,'Revenues 9-14'!J171)</f>
        <v>750</v>
      </c>
      <c r="G125" s="931"/>
    </row>
    <row r="126" spans="1:7" x14ac:dyDescent="0.2">
      <c r="A126" s="928" t="s">
        <v>479</v>
      </c>
      <c r="B126" s="928" t="s">
        <v>856</v>
      </c>
      <c r="C126" s="933">
        <f>'Revenues 9-14'!B180</f>
        <v>4045</v>
      </c>
      <c r="D126" s="930" t="str">
        <f>'Revenues 9-14'!A180 &amp; " (Subtract)"</f>
        <v>Head Start (Subtract)</v>
      </c>
      <c r="E126" s="907"/>
      <c r="F126" s="1808">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8">
        <f>SUM('Revenues 9-14'!C184,'Revenues 9-14'!D184,'Revenues 9-14'!F184,'Revenues 9-14'!G184)</f>
        <v>0</v>
      </c>
      <c r="G127" s="931"/>
    </row>
    <row r="128" spans="1:7" x14ac:dyDescent="0.2">
      <c r="A128" s="928" t="s">
        <v>689</v>
      </c>
      <c r="B128" s="928" t="s">
        <v>858</v>
      </c>
      <c r="C128" s="933">
        <v>4100</v>
      </c>
      <c r="D128" s="934" t="str">
        <f>'Revenues 9-14'!A191</f>
        <v>Total Title V</v>
      </c>
      <c r="E128" s="907"/>
      <c r="F128" s="1808">
        <f>SUM('Revenues 9-14'!C191,'Revenues 9-14'!D191,'Revenues 9-14'!F191,'Revenues 9-14'!G191)</f>
        <v>18259</v>
      </c>
      <c r="G128" s="931"/>
    </row>
    <row r="129" spans="1:7" x14ac:dyDescent="0.2">
      <c r="A129" s="928" t="s">
        <v>685</v>
      </c>
      <c r="B129" s="928" t="s">
        <v>803</v>
      </c>
      <c r="C129" s="933">
        <v>4200</v>
      </c>
      <c r="D129" s="930" t="str">
        <f>'Revenues 9-14'!A201</f>
        <v>Total Food Service</v>
      </c>
      <c r="E129" s="907"/>
      <c r="F129" s="1808">
        <f>SUM('Revenues 9-14'!C201,'Revenues 9-14'!G201)</f>
        <v>64903</v>
      </c>
      <c r="G129" s="931"/>
    </row>
    <row r="130" spans="1:7" x14ac:dyDescent="0.2">
      <c r="A130" s="928" t="s">
        <v>689</v>
      </c>
      <c r="B130" s="928" t="s">
        <v>804</v>
      </c>
      <c r="C130" s="933">
        <v>4300</v>
      </c>
      <c r="D130" s="934" t="str">
        <f>'Revenues 9-14'!A211</f>
        <v>Total Title I</v>
      </c>
      <c r="E130" s="907"/>
      <c r="F130" s="1808">
        <f>SUM('Revenues 9-14'!C211,'Revenues 9-14'!D211,'Revenues 9-14'!F211,'Revenues 9-14'!G211)</f>
        <v>34477</v>
      </c>
      <c r="G130" s="931"/>
    </row>
    <row r="131" spans="1:7" x14ac:dyDescent="0.2">
      <c r="A131" s="928" t="s">
        <v>689</v>
      </c>
      <c r="B131" s="928" t="s">
        <v>805</v>
      </c>
      <c r="C131" s="933">
        <v>4400</v>
      </c>
      <c r="D131" s="934" t="str">
        <f>'Revenues 9-14'!A216</f>
        <v>Total Title IV</v>
      </c>
      <c r="E131" s="907"/>
      <c r="F131" s="1808">
        <f>SUM('Revenues 9-14'!C216,'Revenues 9-14'!D216,'Revenues 9-14'!F216,'Revenues 9-14'!G216)</f>
        <v>2509</v>
      </c>
      <c r="G131" s="931"/>
    </row>
    <row r="132" spans="1:7" x14ac:dyDescent="0.2">
      <c r="A132" s="928" t="s">
        <v>689</v>
      </c>
      <c r="B132" s="928" t="s">
        <v>190</v>
      </c>
      <c r="C132" s="933">
        <f>'Revenues 9-14'!B220</f>
        <v>4620</v>
      </c>
      <c r="D132" s="934" t="str">
        <f>'Revenues 9-14'!A220</f>
        <v>Fed - Spec Education - IDEA - Flow Through</v>
      </c>
      <c r="E132" s="907"/>
      <c r="F132" s="1808">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08">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08">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8">
        <f>SUM('Revenues 9-14'!C223:D223,'Revenues 9-14'!F223:G223)</f>
        <v>0</v>
      </c>
      <c r="G135" s="931"/>
    </row>
    <row r="136" spans="1:7" x14ac:dyDescent="0.2">
      <c r="A136" s="928" t="s">
        <v>694</v>
      </c>
      <c r="B136" s="928" t="s">
        <v>807</v>
      </c>
      <c r="C136" s="933">
        <v>4700</v>
      </c>
      <c r="D136" s="930" t="str">
        <f>'Revenues 9-14'!A228</f>
        <v>Total CTE - Perkins</v>
      </c>
      <c r="E136" s="907"/>
      <c r="F136" s="1808">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0">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8">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8">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8">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8">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8">
        <v>0</v>
      </c>
      <c r="G142" s="906"/>
    </row>
    <row r="143" spans="1:7" s="868" customFormat="1" hidden="1" x14ac:dyDescent="0.2">
      <c r="A143" s="935" t="s">
        <v>215</v>
      </c>
      <c r="B143" s="935" t="s">
        <v>228</v>
      </c>
      <c r="C143" s="936" t="s">
        <v>225</v>
      </c>
      <c r="D143" s="937" t="str">
        <f>'Revenues 9-14'!A237</f>
        <v>ARRA - IDEA - Part B - Flow-Through</v>
      </c>
      <c r="E143" s="938"/>
      <c r="F143" s="1808">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8">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8">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8">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8">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8">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8">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8">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8">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8">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8">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8">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8">
        <v>0</v>
      </c>
      <c r="G155" s="906"/>
    </row>
    <row r="156" spans="1:7" s="868" customFormat="1" hidden="1" x14ac:dyDescent="0.2">
      <c r="A156" s="935" t="s">
        <v>215</v>
      </c>
      <c r="B156" s="935" t="s">
        <v>250</v>
      </c>
      <c r="C156" s="936" t="s">
        <v>247</v>
      </c>
      <c r="D156" s="937" t="str">
        <f>'Revenues 9-14'!A254</f>
        <v>Other ARRA Funds VII</v>
      </c>
      <c r="E156" s="938"/>
      <c r="F156" s="1808">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8">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8">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8">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8">
        <f>SUM('Revenues 9-14'!C258:G258,'Revenues 9-14'!J258)</f>
        <v>0</v>
      </c>
      <c r="G160" s="906"/>
    </row>
    <row r="161" spans="1:7" s="868" customFormat="1" x14ac:dyDescent="0.2">
      <c r="A161" s="939" t="s">
        <v>521</v>
      </c>
      <c r="B161" s="940" t="s">
        <v>1564</v>
      </c>
      <c r="C161" s="941" t="s">
        <v>896</v>
      </c>
      <c r="D161" s="942" t="s">
        <v>808</v>
      </c>
      <c r="E161" s="943"/>
      <c r="F161" s="1808">
        <f>SUM(F137:F160)</f>
        <v>0</v>
      </c>
      <c r="G161" s="906"/>
    </row>
    <row r="162" spans="1:7" s="868" customFormat="1" x14ac:dyDescent="0.2">
      <c r="A162" s="939" t="s">
        <v>479</v>
      </c>
      <c r="B162" s="940" t="s">
        <v>1501</v>
      </c>
      <c r="C162" s="941" t="s">
        <v>1499</v>
      </c>
      <c r="D162" s="942" t="s">
        <v>1500</v>
      </c>
      <c r="E162" s="943"/>
      <c r="F162" s="1808">
        <f>SUM('Revenues 9-14'!C260)</f>
        <v>0</v>
      </c>
      <c r="G162" s="906"/>
    </row>
    <row r="163" spans="1:7" s="868" customFormat="1" x14ac:dyDescent="0.2">
      <c r="A163" s="939" t="s">
        <v>521</v>
      </c>
      <c r="B163" s="940" t="s">
        <v>1541</v>
      </c>
      <c r="C163" s="941" t="s">
        <v>1542</v>
      </c>
      <c r="D163" s="942" t="s">
        <v>1543</v>
      </c>
      <c r="E163" s="943"/>
      <c r="F163" s="1808">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8">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8">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8">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8">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8">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0">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0">
        <f>SUM('Revenues 9-14'!C268,'Revenues 9-14'!D268,'Revenues 9-14'!F268,'Revenues 9-14'!G268)</f>
        <v>1845</v>
      </c>
      <c r="G170" s="931"/>
    </row>
    <row r="171" spans="1:7" x14ac:dyDescent="0.2">
      <c r="A171" s="928" t="s">
        <v>689</v>
      </c>
      <c r="B171" s="928" t="s">
        <v>864</v>
      </c>
      <c r="C171" s="933">
        <f>'Revenues 9-14'!B269</f>
        <v>4960</v>
      </c>
      <c r="D171" s="930" t="str">
        <f>'Revenues 9-14'!A269</f>
        <v>Federal Charter Schools</v>
      </c>
      <c r="E171" s="907"/>
      <c r="F171" s="1808">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8">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08">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08">
        <f>SUM('Revenues 9-14'!C272:D272,'Revenues 9-14'!F272:G272)</f>
        <v>0</v>
      </c>
      <c r="G174" s="928"/>
    </row>
    <row r="175" spans="1:7" x14ac:dyDescent="0.2">
      <c r="A175" s="1941" t="s">
        <v>5</v>
      </c>
      <c r="B175" s="1942" t="s">
        <v>2056</v>
      </c>
      <c r="C175" s="1943">
        <v>3100</v>
      </c>
      <c r="D175" s="1944" t="s">
        <v>2059</v>
      </c>
      <c r="E175" s="907"/>
      <c r="F175" s="1928"/>
      <c r="G175" s="928"/>
    </row>
    <row r="176" spans="1:7" x14ac:dyDescent="0.2">
      <c r="A176" s="1941" t="s">
        <v>685</v>
      </c>
      <c r="B176" s="1942" t="s">
        <v>2056</v>
      </c>
      <c r="C176" s="1943">
        <v>3300</v>
      </c>
      <c r="D176" s="1944" t="s">
        <v>2060</v>
      </c>
      <c r="E176" s="907"/>
      <c r="F176" s="1928"/>
      <c r="G176" s="928"/>
    </row>
    <row r="177" spans="1:7" ht="6" customHeight="1" x14ac:dyDescent="0.2">
      <c r="A177" s="928"/>
      <c r="B177" s="928"/>
      <c r="C177" s="950"/>
      <c r="D177" s="928"/>
      <c r="E177" s="907"/>
      <c r="F177" s="951"/>
      <c r="G177" s="948"/>
    </row>
    <row r="178" spans="1:7" x14ac:dyDescent="0.2">
      <c r="A178" s="1789"/>
      <c r="B178" s="1803"/>
      <c r="C178" s="1804"/>
      <c r="D178" s="1805" t="s">
        <v>2013</v>
      </c>
      <c r="E178" s="1806" t="s">
        <v>1015</v>
      </c>
      <c r="F178" s="1807">
        <f>SUM(F84:F136,F161:F176)</f>
        <v>406363</v>
      </c>
    </row>
    <row r="179" spans="1:7" ht="12" customHeight="1" x14ac:dyDescent="0.2">
      <c r="A179" s="1789"/>
      <c r="B179" s="1803"/>
      <c r="C179" s="1804"/>
      <c r="D179" s="1805" t="s">
        <v>2014</v>
      </c>
      <c r="E179" s="1806"/>
      <c r="F179" s="1808">
        <f>'PCTC-OEPP 27-28'!F77-F178</f>
        <v>2347807</v>
      </c>
    </row>
    <row r="180" spans="1:7" ht="12" customHeight="1" x14ac:dyDescent="0.2">
      <c r="A180" s="1789"/>
      <c r="B180" s="1803"/>
      <c r="C180" s="1804"/>
      <c r="D180" s="1805" t="s">
        <v>1924</v>
      </c>
      <c r="E180" s="1806"/>
      <c r="F180" s="1808">
        <f>'Cap Outlay Deprec 26'!I18</f>
        <v>141348</v>
      </c>
    </row>
    <row r="181" spans="1:7" ht="12" customHeight="1" x14ac:dyDescent="0.2">
      <c r="A181" s="1789"/>
      <c r="B181" s="1803"/>
      <c r="C181" s="1804"/>
      <c r="D181" s="1805" t="s">
        <v>2015</v>
      </c>
      <c r="E181" s="1806"/>
      <c r="F181" s="1808">
        <f>F179+F180</f>
        <v>2489155</v>
      </c>
    </row>
    <row r="182" spans="1:7" ht="12" customHeight="1" x14ac:dyDescent="0.2">
      <c r="A182" s="1789"/>
      <c r="B182" s="1809"/>
      <c r="C182" s="1804"/>
      <c r="D182" s="1805" t="str">
        <f>D78</f>
        <v>9 Month ADA from District Average Daily Attendance/Prior General State Aid Inquiry 2017-2018</v>
      </c>
      <c r="E182" s="1806"/>
      <c r="F182" s="1810">
        <f>'PCTC-OEPP 27-28'!F78</f>
        <v>303</v>
      </c>
      <c r="G182" s="931"/>
    </row>
    <row r="183" spans="1:7" ht="12" customHeight="1" thickBot="1" x14ac:dyDescent="0.25">
      <c r="A183" s="1789"/>
      <c r="B183" s="1809"/>
      <c r="C183" s="1804"/>
      <c r="D183" s="1805" t="s">
        <v>2016</v>
      </c>
      <c r="E183" s="1806" t="s">
        <v>1626</v>
      </c>
      <c r="F183" s="1811">
        <f>F181/F182</f>
        <v>8215.0330033003302</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5" customFormat="1" ht="12.2" customHeight="1" x14ac:dyDescent="0.2">
      <c r="A186" s="1945" t="s">
        <v>2063</v>
      </c>
      <c r="B186" s="1946"/>
      <c r="C186" s="1947"/>
      <c r="D186" s="1946"/>
      <c r="E186" s="1947"/>
      <c r="F186" s="1946"/>
      <c r="G186" s="1946"/>
    </row>
    <row r="187" spans="1:7" s="1945" customFormat="1" ht="12.2" customHeight="1" x14ac:dyDescent="0.2">
      <c r="A187" s="1948" t="s">
        <v>2064</v>
      </c>
      <c r="C187" s="1947"/>
      <c r="D187" s="1946"/>
      <c r="E187" s="1947"/>
      <c r="F187" s="1946"/>
      <c r="G187" s="1946"/>
    </row>
    <row r="188" spans="1:7" ht="12" customHeight="1" x14ac:dyDescent="0.2">
      <c r="C188" s="950"/>
      <c r="D188" s="931"/>
      <c r="E188" s="950"/>
      <c r="F188" s="931"/>
      <c r="G188" s="931"/>
    </row>
    <row r="189" spans="1:7" x14ac:dyDescent="0.2">
      <c r="A189" s="1949" t="s">
        <v>2062</v>
      </c>
      <c r="B189" s="1950"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orizontalCentered="1" headings="1"/>
  <pageMargins left="1" right="0.75" top="1.25" bottom="0.75" header="1" footer="0.25"/>
  <pageSetup scale="62" firstPageNumber="27" fitToHeight="2" orientation="portrait" useFirstPageNumber="1" r:id="rId2"/>
  <headerFooter differentOddEven="1" alignWithMargins="0">
    <oddHeader>&amp;L&amp;8Page &amp;P&amp;C &amp;R&amp;8Page &amp;P</oddHeader>
    <oddFooter>&amp;L&amp;8Print Date: &amp;D
&amp;F&amp;CReference should be made to accountant's report regarding this information.
49</oddFooter>
    <evenFooter>&amp;CReference should be made to accountant's report regarding this information.
50</even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8" sqref="A18"/>
    </sheetView>
  </sheetViews>
  <sheetFormatPr defaultColWidth="9.140625" defaultRowHeight="15" x14ac:dyDescent="0.25"/>
  <cols>
    <col min="1" max="1" width="52" style="1561" customWidth="1"/>
    <col min="2" max="2" width="16.42578125" style="1562" bestFit="1" customWidth="1"/>
    <col min="3" max="3" width="33.7109375" style="1562" customWidth="1"/>
    <col min="4" max="4" width="16.28515625" style="1563" customWidth="1"/>
    <col min="5" max="5" width="0.140625" style="1563" hidden="1" customWidth="1"/>
    <col min="6" max="6" width="23.5703125" style="1563" customWidth="1"/>
    <col min="7" max="7" width="23.28515625" style="1562" customWidth="1"/>
    <col min="8" max="16384" width="9.140625" style="1552"/>
  </cols>
  <sheetData>
    <row r="1" spans="1:7" ht="15" customHeight="1" x14ac:dyDescent="0.25">
      <c r="A1" s="1678" t="s">
        <v>1940</v>
      </c>
      <c r="B1" s="1679"/>
      <c r="C1" s="1679"/>
      <c r="D1" s="1679"/>
      <c r="E1" s="1679"/>
      <c r="F1" s="1679"/>
      <c r="G1" s="1679"/>
    </row>
    <row r="2" spans="1:7" x14ac:dyDescent="0.25">
      <c r="A2" s="1676"/>
      <c r="B2" s="1676"/>
      <c r="C2" s="1677" t="s">
        <v>1036</v>
      </c>
      <c r="D2" s="1676"/>
      <c r="E2" s="1676"/>
      <c r="F2" s="1676"/>
      <c r="G2" s="1676"/>
    </row>
    <row r="3" spans="1:7" ht="5.25" customHeight="1" x14ac:dyDescent="0.25">
      <c r="A3" s="1564"/>
      <c r="B3" s="1564"/>
      <c r="C3" s="1564"/>
      <c r="D3" s="1564"/>
      <c r="E3" s="1564"/>
      <c r="F3" s="1564"/>
      <c r="G3" s="1564"/>
    </row>
    <row r="4" spans="1:7" ht="18.75" customHeight="1" x14ac:dyDescent="0.25">
      <c r="A4" s="2338" t="s">
        <v>1925</v>
      </c>
      <c r="B4" s="2339"/>
      <c r="C4" s="2339"/>
      <c r="D4" s="2339"/>
      <c r="E4" s="2339"/>
      <c r="F4" s="2339"/>
      <c r="G4" s="2340"/>
    </row>
    <row r="5" spans="1:7" x14ac:dyDescent="0.25">
      <c r="A5" s="2341"/>
      <c r="B5" s="2342"/>
      <c r="C5" s="2342"/>
      <c r="D5" s="2342"/>
      <c r="E5" s="2342"/>
      <c r="F5" s="2342"/>
      <c r="G5" s="2343"/>
    </row>
    <row r="6" spans="1:7" ht="18.75" x14ac:dyDescent="0.25">
      <c r="A6" s="1553" t="s">
        <v>1926</v>
      </c>
      <c r="B6" s="1554"/>
      <c r="C6" s="1554"/>
      <c r="D6" s="1554"/>
      <c r="E6" s="1554"/>
      <c r="F6" s="1554"/>
      <c r="G6" s="1555"/>
    </row>
    <row r="7" spans="1:7" ht="30.75" customHeight="1" x14ac:dyDescent="0.25">
      <c r="A7" s="2344" t="s">
        <v>2073</v>
      </c>
      <c r="B7" s="2345"/>
      <c r="C7" s="2345"/>
      <c r="D7" s="2345"/>
      <c r="E7" s="2345"/>
      <c r="F7" s="2345"/>
      <c r="G7" s="2346"/>
    </row>
    <row r="8" spans="1:7" ht="15.75" customHeight="1" x14ac:dyDescent="0.25">
      <c r="A8" s="2347" t="s">
        <v>2022</v>
      </c>
      <c r="B8" s="2348"/>
      <c r="C8" s="2348"/>
      <c r="D8" s="2348"/>
      <c r="E8" s="2348"/>
      <c r="F8" s="2348"/>
      <c r="G8" s="2349"/>
    </row>
    <row r="9" spans="1:7" ht="35.25" customHeight="1" x14ac:dyDescent="0.25">
      <c r="A9" s="2344" t="s">
        <v>2076</v>
      </c>
      <c r="B9" s="2345"/>
      <c r="C9" s="2345"/>
      <c r="D9" s="2345"/>
      <c r="E9" s="2345"/>
      <c r="F9" s="2345"/>
      <c r="G9" s="2346"/>
    </row>
    <row r="10" spans="1:7" ht="15" customHeight="1" x14ac:dyDescent="0.25">
      <c r="A10" s="1556" t="s">
        <v>1927</v>
      </c>
      <c r="B10" s="1557"/>
      <c r="C10" s="1557"/>
      <c r="D10" s="1557"/>
      <c r="E10" s="1557"/>
      <c r="F10" s="1557"/>
      <c r="G10" s="1558"/>
    </row>
    <row r="11" spans="1:7" ht="17.25" customHeight="1" x14ac:dyDescent="0.25">
      <c r="A11" s="2344" t="s">
        <v>2075</v>
      </c>
      <c r="B11" s="2345"/>
      <c r="C11" s="2345"/>
      <c r="D11" s="2345"/>
      <c r="E11" s="2345"/>
      <c r="F11" s="2345"/>
      <c r="G11" s="2346"/>
    </row>
    <row r="12" spans="1:7" ht="15" customHeight="1" x14ac:dyDescent="0.25">
      <c r="A12" s="1556" t="s">
        <v>1932</v>
      </c>
      <c r="B12" s="1557"/>
      <c r="C12" s="1557"/>
      <c r="D12" s="1557"/>
      <c r="E12" s="1557"/>
      <c r="F12" s="1557"/>
      <c r="G12" s="1558"/>
    </row>
    <row r="13" spans="1:7" ht="32.25" customHeight="1" x14ac:dyDescent="0.25">
      <c r="A13" s="2335" t="s">
        <v>1933</v>
      </c>
      <c r="B13" s="2336"/>
      <c r="C13" s="2336"/>
      <c r="D13" s="2336"/>
      <c r="E13" s="2336"/>
      <c r="F13" s="2336"/>
      <c r="G13" s="2337"/>
    </row>
    <row r="14" spans="1:7" x14ac:dyDescent="0.25">
      <c r="A14" s="1680" t="s">
        <v>1941</v>
      </c>
      <c r="B14" s="1681"/>
      <c r="C14" s="1681"/>
      <c r="D14" s="1681"/>
      <c r="E14" s="1681"/>
      <c r="F14" s="1681"/>
      <c r="G14" s="1682"/>
    </row>
    <row r="15" spans="1:7" ht="61.5" customHeight="1" x14ac:dyDescent="0.25">
      <c r="A15" s="1565" t="s">
        <v>1934</v>
      </c>
      <c r="B15" s="1565" t="s">
        <v>1935</v>
      </c>
      <c r="C15" s="1565" t="s">
        <v>1936</v>
      </c>
      <c r="D15" s="1566" t="s">
        <v>1937</v>
      </c>
      <c r="E15" s="1566" t="s">
        <v>1928</v>
      </c>
      <c r="F15" s="1566" t="s">
        <v>1938</v>
      </c>
      <c r="G15" s="1566" t="s">
        <v>1939</v>
      </c>
    </row>
    <row r="16" spans="1:7" x14ac:dyDescent="0.25">
      <c r="A16" s="1667" t="s">
        <v>1942</v>
      </c>
      <c r="B16" s="1668" t="s">
        <v>1931</v>
      </c>
      <c r="C16" s="1669" t="s">
        <v>1929</v>
      </c>
      <c r="D16" s="1670">
        <v>500000</v>
      </c>
      <c r="E16" s="1670">
        <f>IF(D16&lt;=25000,D16,IF(D16&gt;25000,25000,0))</f>
        <v>25000</v>
      </c>
      <c r="F16" s="1670">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1">
        <f>IF(F16=0,"0",D16-F16)</f>
        <v>475000</v>
      </c>
    </row>
    <row r="17" spans="1:8" x14ac:dyDescent="0.25">
      <c r="A17" s="2008" t="s">
        <v>2197</v>
      </c>
      <c r="B17" s="1865"/>
      <c r="C17" s="1675"/>
      <c r="D17" s="1864"/>
      <c r="E17" s="1559">
        <f t="shared" ref="E17:E141" si="1">IF(D17&lt;=25000,D17,IF(D17&gt;25000,25000,0))</f>
        <v>0</v>
      </c>
      <c r="F17" s="1812">
        <f t="shared" si="0"/>
        <v>0</v>
      </c>
      <c r="G17" s="1813">
        <f>IF(F17=0,0,D17-F17)</f>
        <v>0</v>
      </c>
      <c r="H17" s="1666"/>
    </row>
    <row r="18" spans="1:8" x14ac:dyDescent="0.25">
      <c r="A18" s="1672"/>
      <c r="B18" s="1865"/>
      <c r="C18" s="1675"/>
      <c r="D18" s="1864"/>
      <c r="E18" s="1559">
        <f t="shared" ref="E18:E140" si="2">IF(D18&lt;=25000,D18,IF(D18&gt;25000,25000,0))</f>
        <v>0</v>
      </c>
      <c r="F18" s="1812">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3">
        <f t="shared" ref="G18:G140" si="4">IF(F18=0,0,D18-F18)</f>
        <v>0</v>
      </c>
    </row>
    <row r="19" spans="1:8" x14ac:dyDescent="0.25">
      <c r="A19" s="1672"/>
      <c r="B19" s="1866"/>
      <c r="C19" s="1675"/>
      <c r="D19" s="1864"/>
      <c r="E19" s="1559">
        <f t="shared" si="2"/>
        <v>0</v>
      </c>
      <c r="F19" s="1812">
        <f t="shared" si="3"/>
        <v>0</v>
      </c>
      <c r="G19" s="1813">
        <f t="shared" si="4"/>
        <v>0</v>
      </c>
    </row>
    <row r="20" spans="1:8" x14ac:dyDescent="0.25">
      <c r="A20" s="1672"/>
      <c r="B20" s="1865"/>
      <c r="C20" s="1675"/>
      <c r="D20" s="1864"/>
      <c r="E20" s="1559">
        <f t="shared" si="2"/>
        <v>0</v>
      </c>
      <c r="F20" s="1812">
        <f t="shared" si="3"/>
        <v>0</v>
      </c>
      <c r="G20" s="1813">
        <f t="shared" si="4"/>
        <v>0</v>
      </c>
    </row>
    <row r="21" spans="1:8" x14ac:dyDescent="0.25">
      <c r="A21" s="1672"/>
      <c r="B21" s="1865"/>
      <c r="C21" s="1675"/>
      <c r="D21" s="1864"/>
      <c r="E21" s="1559">
        <f t="shared" si="2"/>
        <v>0</v>
      </c>
      <c r="F21" s="1812">
        <f t="shared" si="3"/>
        <v>0</v>
      </c>
      <c r="G21" s="1813">
        <f t="shared" si="4"/>
        <v>0</v>
      </c>
    </row>
    <row r="22" spans="1:8" x14ac:dyDescent="0.25">
      <c r="A22" s="1672"/>
      <c r="B22" s="1865"/>
      <c r="C22" s="1675"/>
      <c r="D22" s="1864"/>
      <c r="E22" s="1559">
        <f t="shared" si="2"/>
        <v>0</v>
      </c>
      <c r="F22" s="1812">
        <f t="shared" si="3"/>
        <v>0</v>
      </c>
      <c r="G22" s="1813">
        <f t="shared" si="4"/>
        <v>0</v>
      </c>
    </row>
    <row r="23" spans="1:8" x14ac:dyDescent="0.25">
      <c r="A23" s="1672"/>
      <c r="B23" s="1865"/>
      <c r="C23" s="1675"/>
      <c r="D23" s="1864"/>
      <c r="E23" s="1559">
        <f t="shared" si="2"/>
        <v>0</v>
      </c>
      <c r="F23" s="1812">
        <f t="shared" si="3"/>
        <v>0</v>
      </c>
      <c r="G23" s="1813">
        <f t="shared" si="4"/>
        <v>0</v>
      </c>
    </row>
    <row r="24" spans="1:8" x14ac:dyDescent="0.25">
      <c r="A24" s="1672"/>
      <c r="B24" s="1866"/>
      <c r="C24" s="1675"/>
      <c r="D24" s="1864"/>
      <c r="E24" s="1559">
        <f t="shared" si="2"/>
        <v>0</v>
      </c>
      <c r="F24" s="1812">
        <f t="shared" si="3"/>
        <v>0</v>
      </c>
      <c r="G24" s="1813">
        <f t="shared" si="4"/>
        <v>0</v>
      </c>
    </row>
    <row r="25" spans="1:8" x14ac:dyDescent="0.25">
      <c r="A25" s="1672"/>
      <c r="B25" s="1865"/>
      <c r="C25" s="1675"/>
      <c r="D25" s="1864"/>
      <c r="E25" s="1559">
        <f t="shared" si="2"/>
        <v>0</v>
      </c>
      <c r="F25" s="1812">
        <f t="shared" si="3"/>
        <v>0</v>
      </c>
      <c r="G25" s="1813">
        <f t="shared" si="4"/>
        <v>0</v>
      </c>
    </row>
    <row r="26" spans="1:8" x14ac:dyDescent="0.25">
      <c r="A26" s="1672"/>
      <c r="B26" s="1866"/>
      <c r="C26" s="1673"/>
      <c r="D26" s="1864"/>
      <c r="E26" s="1559">
        <f t="shared" si="2"/>
        <v>0</v>
      </c>
      <c r="F26" s="1812">
        <f t="shared" si="3"/>
        <v>0</v>
      </c>
      <c r="G26" s="1813">
        <f t="shared" si="4"/>
        <v>0</v>
      </c>
    </row>
    <row r="27" spans="1:8" x14ac:dyDescent="0.25">
      <c r="A27" s="1672"/>
      <c r="B27" s="1866"/>
      <c r="C27" s="1673"/>
      <c r="D27" s="1864"/>
      <c r="E27" s="1559">
        <f t="shared" si="2"/>
        <v>0</v>
      </c>
      <c r="F27" s="1812">
        <f t="shared" si="3"/>
        <v>0</v>
      </c>
      <c r="G27" s="1813">
        <f t="shared" si="4"/>
        <v>0</v>
      </c>
    </row>
    <row r="28" spans="1:8" x14ac:dyDescent="0.25">
      <c r="A28" s="1672"/>
      <c r="B28" s="1866"/>
      <c r="C28" s="1673"/>
      <c r="D28" s="1864"/>
      <c r="E28" s="1559">
        <f t="shared" si="2"/>
        <v>0</v>
      </c>
      <c r="F28" s="1812">
        <f t="shared" si="3"/>
        <v>0</v>
      </c>
      <c r="G28" s="1813">
        <f t="shared" si="4"/>
        <v>0</v>
      </c>
    </row>
    <row r="29" spans="1:8" x14ac:dyDescent="0.25">
      <c r="A29" s="1672"/>
      <c r="B29" s="1866"/>
      <c r="C29" s="1673"/>
      <c r="D29" s="1864"/>
      <c r="E29" s="1559">
        <f t="shared" si="2"/>
        <v>0</v>
      </c>
      <c r="F29" s="1812">
        <f t="shared" si="3"/>
        <v>0</v>
      </c>
      <c r="G29" s="1813">
        <f t="shared" si="4"/>
        <v>0</v>
      </c>
    </row>
    <row r="30" spans="1:8" x14ac:dyDescent="0.25">
      <c r="A30" s="1672"/>
      <c r="B30" s="1866"/>
      <c r="C30" s="1673"/>
      <c r="D30" s="1864"/>
      <c r="E30" s="1559">
        <f t="shared" si="2"/>
        <v>0</v>
      </c>
      <c r="F30" s="1812">
        <f t="shared" si="3"/>
        <v>0</v>
      </c>
      <c r="G30" s="1813">
        <f t="shared" si="4"/>
        <v>0</v>
      </c>
    </row>
    <row r="31" spans="1:8" x14ac:dyDescent="0.25">
      <c r="A31" s="1672"/>
      <c r="B31" s="1866"/>
      <c r="C31" s="1673"/>
      <c r="D31" s="1864"/>
      <c r="E31" s="1559">
        <f t="shared" si="2"/>
        <v>0</v>
      </c>
      <c r="F31" s="1812">
        <f t="shared" si="3"/>
        <v>0</v>
      </c>
      <c r="G31" s="1813">
        <f t="shared" si="4"/>
        <v>0</v>
      </c>
    </row>
    <row r="32" spans="1:8" x14ac:dyDescent="0.25">
      <c r="A32" s="1672"/>
      <c r="B32" s="1866"/>
      <c r="C32" s="1673"/>
      <c r="D32" s="1864"/>
      <c r="E32" s="1559">
        <f t="shared" si="2"/>
        <v>0</v>
      </c>
      <c r="F32" s="1812">
        <f t="shared" si="3"/>
        <v>0</v>
      </c>
      <c r="G32" s="1813">
        <f t="shared" si="4"/>
        <v>0</v>
      </c>
    </row>
    <row r="33" spans="1:7" x14ac:dyDescent="0.25">
      <c r="A33" s="1672"/>
      <c r="B33" s="1866"/>
      <c r="C33" s="1673"/>
      <c r="D33" s="1864"/>
      <c r="E33" s="1559">
        <f t="shared" si="2"/>
        <v>0</v>
      </c>
      <c r="F33" s="1812">
        <f t="shared" si="3"/>
        <v>0</v>
      </c>
      <c r="G33" s="1813">
        <f t="shared" si="4"/>
        <v>0</v>
      </c>
    </row>
    <row r="34" spans="1:7" x14ac:dyDescent="0.25">
      <c r="A34" s="1672"/>
      <c r="B34" s="1866"/>
      <c r="C34" s="1673"/>
      <c r="D34" s="1864"/>
      <c r="E34" s="1559">
        <f t="shared" si="2"/>
        <v>0</v>
      </c>
      <c r="F34" s="1812">
        <f t="shared" si="3"/>
        <v>0</v>
      </c>
      <c r="G34" s="1813">
        <f t="shared" si="4"/>
        <v>0</v>
      </c>
    </row>
    <row r="35" spans="1:7" x14ac:dyDescent="0.25">
      <c r="A35" s="1672"/>
      <c r="B35" s="1866"/>
      <c r="C35" s="1673"/>
      <c r="D35" s="1864"/>
      <c r="E35" s="1559">
        <f t="shared" si="2"/>
        <v>0</v>
      </c>
      <c r="F35" s="1812">
        <f t="shared" si="3"/>
        <v>0</v>
      </c>
      <c r="G35" s="1813">
        <f t="shared" si="4"/>
        <v>0</v>
      </c>
    </row>
    <row r="36" spans="1:7" x14ac:dyDescent="0.25">
      <c r="A36" s="1672"/>
      <c r="B36" s="1866"/>
      <c r="C36" s="1673"/>
      <c r="D36" s="1864"/>
      <c r="E36" s="1559">
        <f t="shared" si="2"/>
        <v>0</v>
      </c>
      <c r="F36" s="1812">
        <f t="shared" si="3"/>
        <v>0</v>
      </c>
      <c r="G36" s="1813">
        <f t="shared" si="4"/>
        <v>0</v>
      </c>
    </row>
    <row r="37" spans="1:7" x14ac:dyDescent="0.25">
      <c r="A37" s="1672"/>
      <c r="B37" s="1866"/>
      <c r="C37" s="1673"/>
      <c r="D37" s="1864"/>
      <c r="E37" s="1559">
        <f t="shared" si="2"/>
        <v>0</v>
      </c>
      <c r="F37" s="1812">
        <f t="shared" si="3"/>
        <v>0</v>
      </c>
      <c r="G37" s="1813">
        <f t="shared" si="4"/>
        <v>0</v>
      </c>
    </row>
    <row r="38" spans="1:7" x14ac:dyDescent="0.25">
      <c r="A38" s="1672"/>
      <c r="B38" s="1686"/>
      <c r="C38" s="1673"/>
      <c r="D38" s="1864"/>
      <c r="E38" s="1559">
        <f t="shared" si="2"/>
        <v>0</v>
      </c>
      <c r="F38" s="1812">
        <f t="shared" si="3"/>
        <v>0</v>
      </c>
      <c r="G38" s="1813">
        <f t="shared" si="4"/>
        <v>0</v>
      </c>
    </row>
    <row r="39" spans="1:7" x14ac:dyDescent="0.25">
      <c r="A39" s="1672"/>
      <c r="B39" s="1686"/>
      <c r="C39" s="1673"/>
      <c r="D39" s="1864"/>
      <c r="E39" s="1559">
        <f t="shared" si="2"/>
        <v>0</v>
      </c>
      <c r="F39" s="1812">
        <f t="shared" si="3"/>
        <v>0</v>
      </c>
      <c r="G39" s="1813">
        <f t="shared" si="4"/>
        <v>0</v>
      </c>
    </row>
    <row r="40" spans="1:7" x14ac:dyDescent="0.25">
      <c r="A40" s="1672"/>
      <c r="B40" s="1686"/>
      <c r="C40" s="1673"/>
      <c r="D40" s="1864"/>
      <c r="E40" s="1559">
        <f t="shared" si="2"/>
        <v>0</v>
      </c>
      <c r="F40" s="1812">
        <f t="shared" si="3"/>
        <v>0</v>
      </c>
      <c r="G40" s="1813">
        <f t="shared" si="4"/>
        <v>0</v>
      </c>
    </row>
    <row r="41" spans="1:7" x14ac:dyDescent="0.25">
      <c r="A41" s="1672"/>
      <c r="B41" s="1686"/>
      <c r="C41" s="1673"/>
      <c r="D41" s="1864"/>
      <c r="E41" s="1559">
        <f t="shared" si="2"/>
        <v>0</v>
      </c>
      <c r="F41" s="1812">
        <f t="shared" si="3"/>
        <v>0</v>
      </c>
      <c r="G41" s="1813">
        <f t="shared" si="4"/>
        <v>0</v>
      </c>
    </row>
    <row r="42" spans="1:7" x14ac:dyDescent="0.25">
      <c r="A42" s="1672"/>
      <c r="B42" s="1686"/>
      <c r="C42" s="1673"/>
      <c r="D42" s="1864"/>
      <c r="E42" s="1559">
        <f t="shared" si="2"/>
        <v>0</v>
      </c>
      <c r="F42" s="1812">
        <f t="shared" si="3"/>
        <v>0</v>
      </c>
      <c r="G42" s="1813">
        <f t="shared" si="4"/>
        <v>0</v>
      </c>
    </row>
    <row r="43" spans="1:7" x14ac:dyDescent="0.25">
      <c r="A43" s="1672"/>
      <c r="B43" s="1686"/>
      <c r="C43" s="1673"/>
      <c r="D43" s="1864"/>
      <c r="E43" s="1559">
        <f t="shared" si="2"/>
        <v>0</v>
      </c>
      <c r="F43" s="1812">
        <f t="shared" si="3"/>
        <v>0</v>
      </c>
      <c r="G43" s="1813">
        <f t="shared" si="4"/>
        <v>0</v>
      </c>
    </row>
    <row r="44" spans="1:7" x14ac:dyDescent="0.25">
      <c r="A44" s="1672"/>
      <c r="B44" s="1686"/>
      <c r="C44" s="1673"/>
      <c r="D44" s="1864"/>
      <c r="E44" s="1559">
        <f t="shared" si="2"/>
        <v>0</v>
      </c>
      <c r="F44" s="1812">
        <f t="shared" si="3"/>
        <v>0</v>
      </c>
      <c r="G44" s="1813">
        <f t="shared" si="4"/>
        <v>0</v>
      </c>
    </row>
    <row r="45" spans="1:7" x14ac:dyDescent="0.25">
      <c r="A45" s="1672"/>
      <c r="B45" s="1686"/>
      <c r="C45" s="1673"/>
      <c r="D45" s="1864"/>
      <c r="E45" s="1559">
        <f t="shared" si="2"/>
        <v>0</v>
      </c>
      <c r="F45" s="1812">
        <f t="shared" si="3"/>
        <v>0</v>
      </c>
      <c r="G45" s="1813">
        <f t="shared" si="4"/>
        <v>0</v>
      </c>
    </row>
    <row r="46" spans="1:7" x14ac:dyDescent="0.25">
      <c r="A46" s="1672"/>
      <c r="B46" s="1686"/>
      <c r="C46" s="1673"/>
      <c r="D46" s="1864"/>
      <c r="E46" s="1559">
        <f t="shared" si="2"/>
        <v>0</v>
      </c>
      <c r="F46" s="1812">
        <f t="shared" si="3"/>
        <v>0</v>
      </c>
      <c r="G46" s="1813">
        <f t="shared" si="4"/>
        <v>0</v>
      </c>
    </row>
    <row r="47" spans="1:7" x14ac:dyDescent="0.25">
      <c r="A47" s="1672"/>
      <c r="B47" s="1686"/>
      <c r="C47" s="1673"/>
      <c r="D47" s="1864"/>
      <c r="E47" s="1559">
        <f t="shared" si="2"/>
        <v>0</v>
      </c>
      <c r="F47" s="1812">
        <f t="shared" si="3"/>
        <v>0</v>
      </c>
      <c r="G47" s="1813">
        <f t="shared" si="4"/>
        <v>0</v>
      </c>
    </row>
    <row r="48" spans="1:7" x14ac:dyDescent="0.25">
      <c r="A48" s="1672"/>
      <c r="B48" s="1686"/>
      <c r="C48" s="1673"/>
      <c r="D48" s="1864"/>
      <c r="E48" s="1559">
        <f t="shared" si="2"/>
        <v>0</v>
      </c>
      <c r="F48" s="1812">
        <f t="shared" si="3"/>
        <v>0</v>
      </c>
      <c r="G48" s="1813">
        <f t="shared" si="4"/>
        <v>0</v>
      </c>
    </row>
    <row r="49" spans="1:7" x14ac:dyDescent="0.25">
      <c r="A49" s="1672"/>
      <c r="B49" s="1686"/>
      <c r="C49" s="1673"/>
      <c r="D49" s="1864"/>
      <c r="E49" s="1559">
        <f t="shared" si="2"/>
        <v>0</v>
      </c>
      <c r="F49" s="1812">
        <f t="shared" si="3"/>
        <v>0</v>
      </c>
      <c r="G49" s="1813">
        <f t="shared" si="4"/>
        <v>0</v>
      </c>
    </row>
    <row r="50" spans="1:7" x14ac:dyDescent="0.25">
      <c r="A50" s="1672"/>
      <c r="B50" s="1686"/>
      <c r="C50" s="1673"/>
      <c r="D50" s="1864"/>
      <c r="E50" s="1559">
        <f t="shared" si="2"/>
        <v>0</v>
      </c>
      <c r="F50" s="1812">
        <f t="shared" si="3"/>
        <v>0</v>
      </c>
      <c r="G50" s="1813">
        <f t="shared" si="4"/>
        <v>0</v>
      </c>
    </row>
    <row r="51" spans="1:7" x14ac:dyDescent="0.25">
      <c r="A51" s="1672"/>
      <c r="B51" s="1686"/>
      <c r="C51" s="1673"/>
      <c r="D51" s="1864"/>
      <c r="E51" s="1559">
        <f t="shared" si="2"/>
        <v>0</v>
      </c>
      <c r="F51" s="1812">
        <f t="shared" si="3"/>
        <v>0</v>
      </c>
      <c r="G51" s="1813">
        <f t="shared" si="4"/>
        <v>0</v>
      </c>
    </row>
    <row r="52" spans="1:7" x14ac:dyDescent="0.25">
      <c r="A52" s="1672"/>
      <c r="B52" s="1686"/>
      <c r="C52" s="1673"/>
      <c r="D52" s="1864"/>
      <c r="E52" s="1559">
        <f t="shared" si="2"/>
        <v>0</v>
      </c>
      <c r="F52" s="1812">
        <f t="shared" si="3"/>
        <v>0</v>
      </c>
      <c r="G52" s="1813">
        <f t="shared" si="4"/>
        <v>0</v>
      </c>
    </row>
    <row r="53" spans="1:7" x14ac:dyDescent="0.25">
      <c r="A53" s="1672"/>
      <c r="B53" s="1686"/>
      <c r="C53" s="1673"/>
      <c r="D53" s="1864"/>
      <c r="E53" s="1559">
        <f t="shared" si="2"/>
        <v>0</v>
      </c>
      <c r="F53" s="1812">
        <f t="shared" si="3"/>
        <v>0</v>
      </c>
      <c r="G53" s="1813">
        <f t="shared" si="4"/>
        <v>0</v>
      </c>
    </row>
    <row r="54" spans="1:7" x14ac:dyDescent="0.25">
      <c r="A54" s="1672"/>
      <c r="B54" s="1686"/>
      <c r="C54" s="1673"/>
      <c r="D54" s="1864"/>
      <c r="E54" s="1559">
        <f t="shared" si="2"/>
        <v>0</v>
      </c>
      <c r="F54" s="1812">
        <f t="shared" si="3"/>
        <v>0</v>
      </c>
      <c r="G54" s="1813">
        <f t="shared" si="4"/>
        <v>0</v>
      </c>
    </row>
    <row r="55" spans="1:7" x14ac:dyDescent="0.25">
      <c r="A55" s="1672"/>
      <c r="B55" s="1686"/>
      <c r="C55" s="1673"/>
      <c r="D55" s="1864"/>
      <c r="E55" s="1559">
        <f t="shared" si="2"/>
        <v>0</v>
      </c>
      <c r="F55" s="1812">
        <f t="shared" si="3"/>
        <v>0</v>
      </c>
      <c r="G55" s="1813">
        <f t="shared" si="4"/>
        <v>0</v>
      </c>
    </row>
    <row r="56" spans="1:7" x14ac:dyDescent="0.25">
      <c r="A56" s="1672"/>
      <c r="B56" s="1686"/>
      <c r="C56" s="1673"/>
      <c r="D56" s="1864"/>
      <c r="E56" s="1559">
        <f t="shared" si="2"/>
        <v>0</v>
      </c>
      <c r="F56" s="1812">
        <f t="shared" si="3"/>
        <v>0</v>
      </c>
      <c r="G56" s="1813">
        <f t="shared" si="4"/>
        <v>0</v>
      </c>
    </row>
    <row r="57" spans="1:7" x14ac:dyDescent="0.25">
      <c r="A57" s="1672"/>
      <c r="B57" s="1686"/>
      <c r="C57" s="1673"/>
      <c r="D57" s="1864"/>
      <c r="E57" s="1559">
        <f t="shared" si="2"/>
        <v>0</v>
      </c>
      <c r="F57" s="1812">
        <f t="shared" si="3"/>
        <v>0</v>
      </c>
      <c r="G57" s="1813">
        <f t="shared" si="4"/>
        <v>0</v>
      </c>
    </row>
    <row r="58" spans="1:7" x14ac:dyDescent="0.25">
      <c r="A58" s="1672"/>
      <c r="B58" s="1686"/>
      <c r="C58" s="1673"/>
      <c r="D58" s="1864"/>
      <c r="E58" s="1559">
        <f t="shared" si="2"/>
        <v>0</v>
      </c>
      <c r="F58" s="1812">
        <f t="shared" si="3"/>
        <v>0</v>
      </c>
      <c r="G58" s="1813">
        <f t="shared" si="4"/>
        <v>0</v>
      </c>
    </row>
    <row r="59" spans="1:7" x14ac:dyDescent="0.25">
      <c r="A59" s="1672"/>
      <c r="B59" s="1686"/>
      <c r="C59" s="1673"/>
      <c r="D59" s="1864"/>
      <c r="E59" s="1559">
        <f t="shared" si="2"/>
        <v>0</v>
      </c>
      <c r="F59" s="1812">
        <f t="shared" si="3"/>
        <v>0</v>
      </c>
      <c r="G59" s="1813">
        <f t="shared" si="4"/>
        <v>0</v>
      </c>
    </row>
    <row r="60" spans="1:7" x14ac:dyDescent="0.25">
      <c r="A60" s="1672"/>
      <c r="B60" s="1686"/>
      <c r="C60" s="1673"/>
      <c r="D60" s="1864"/>
      <c r="E60" s="1559">
        <f t="shared" si="2"/>
        <v>0</v>
      </c>
      <c r="F60" s="1812">
        <f t="shared" si="3"/>
        <v>0</v>
      </c>
      <c r="G60" s="1813">
        <f t="shared" si="4"/>
        <v>0</v>
      </c>
    </row>
    <row r="61" spans="1:7" x14ac:dyDescent="0.25">
      <c r="A61" s="1672"/>
      <c r="B61" s="1686"/>
      <c r="C61" s="1673"/>
      <c r="D61" s="1864"/>
      <c r="E61" s="1559">
        <f t="shared" si="2"/>
        <v>0</v>
      </c>
      <c r="F61" s="1812">
        <f t="shared" si="3"/>
        <v>0</v>
      </c>
      <c r="G61" s="1813">
        <f t="shared" si="4"/>
        <v>0</v>
      </c>
    </row>
    <row r="62" spans="1:7" x14ac:dyDescent="0.25">
      <c r="A62" s="1672"/>
      <c r="B62" s="1686"/>
      <c r="C62" s="1673"/>
      <c r="D62" s="1864"/>
      <c r="E62" s="1559">
        <f t="shared" si="2"/>
        <v>0</v>
      </c>
      <c r="F62" s="1812">
        <f t="shared" si="3"/>
        <v>0</v>
      </c>
      <c r="G62" s="1813">
        <f t="shared" si="4"/>
        <v>0</v>
      </c>
    </row>
    <row r="63" spans="1:7" x14ac:dyDescent="0.25">
      <c r="A63" s="1672"/>
      <c r="B63" s="1686"/>
      <c r="C63" s="1673"/>
      <c r="D63" s="1864"/>
      <c r="E63" s="1559">
        <f t="shared" si="2"/>
        <v>0</v>
      </c>
      <c r="F63" s="1812">
        <f t="shared" si="3"/>
        <v>0</v>
      </c>
      <c r="G63" s="1813">
        <f t="shared" si="4"/>
        <v>0</v>
      </c>
    </row>
    <row r="64" spans="1:7" x14ac:dyDescent="0.25">
      <c r="A64" s="1674"/>
      <c r="B64" s="1686"/>
      <c r="C64" s="1675"/>
      <c r="D64" s="1864"/>
      <c r="E64" s="1559">
        <f t="shared" si="2"/>
        <v>0</v>
      </c>
      <c r="F64" s="1812">
        <f t="shared" si="3"/>
        <v>0</v>
      </c>
      <c r="G64" s="1813">
        <f t="shared" si="4"/>
        <v>0</v>
      </c>
    </row>
    <row r="65" spans="1:7" x14ac:dyDescent="0.25">
      <c r="A65" s="1672"/>
      <c r="B65" s="1686"/>
      <c r="C65" s="1673"/>
      <c r="D65" s="1864"/>
      <c r="E65" s="1559">
        <f t="shared" si="2"/>
        <v>0</v>
      </c>
      <c r="F65" s="1812">
        <f t="shared" si="3"/>
        <v>0</v>
      </c>
      <c r="G65" s="1813">
        <f t="shared" si="4"/>
        <v>0</v>
      </c>
    </row>
    <row r="66" spans="1:7" x14ac:dyDescent="0.25">
      <c r="A66" s="1672"/>
      <c r="B66" s="1686"/>
      <c r="C66" s="1673"/>
      <c r="D66" s="1864"/>
      <c r="E66" s="1559">
        <f t="shared" si="2"/>
        <v>0</v>
      </c>
      <c r="F66" s="1812">
        <f t="shared" si="3"/>
        <v>0</v>
      </c>
      <c r="G66" s="1813">
        <f t="shared" si="4"/>
        <v>0</v>
      </c>
    </row>
    <row r="67" spans="1:7" x14ac:dyDescent="0.25">
      <c r="A67" s="1672"/>
      <c r="B67" s="1686"/>
      <c r="C67" s="1673"/>
      <c r="D67" s="1864"/>
      <c r="E67" s="1559">
        <f t="shared" si="2"/>
        <v>0</v>
      </c>
      <c r="F67" s="1812">
        <f t="shared" si="3"/>
        <v>0</v>
      </c>
      <c r="G67" s="1813">
        <f t="shared" si="4"/>
        <v>0</v>
      </c>
    </row>
    <row r="68" spans="1:7" x14ac:dyDescent="0.25">
      <c r="A68" s="1672"/>
      <c r="B68" s="1686"/>
      <c r="C68" s="1673"/>
      <c r="D68" s="1864"/>
      <c r="E68" s="1559">
        <f t="shared" si="2"/>
        <v>0</v>
      </c>
      <c r="F68" s="1812">
        <f t="shared" si="3"/>
        <v>0</v>
      </c>
      <c r="G68" s="1813">
        <f t="shared" si="4"/>
        <v>0</v>
      </c>
    </row>
    <row r="69" spans="1:7" x14ac:dyDescent="0.25">
      <c r="A69" s="1672"/>
      <c r="B69" s="1686"/>
      <c r="C69" s="1673"/>
      <c r="D69" s="1864"/>
      <c r="E69" s="1559">
        <f t="shared" si="2"/>
        <v>0</v>
      </c>
      <c r="F69" s="1812">
        <f t="shared" si="3"/>
        <v>0</v>
      </c>
      <c r="G69" s="1813">
        <f t="shared" si="4"/>
        <v>0</v>
      </c>
    </row>
    <row r="70" spans="1:7" x14ac:dyDescent="0.25">
      <c r="A70" s="1672"/>
      <c r="B70" s="1686"/>
      <c r="C70" s="1673"/>
      <c r="D70" s="1864"/>
      <c r="E70" s="1559">
        <f t="shared" si="2"/>
        <v>0</v>
      </c>
      <c r="F70" s="1812">
        <f t="shared" si="3"/>
        <v>0</v>
      </c>
      <c r="G70" s="1813">
        <f t="shared" si="4"/>
        <v>0</v>
      </c>
    </row>
    <row r="71" spans="1:7" x14ac:dyDescent="0.25">
      <c r="A71" s="1672"/>
      <c r="B71" s="1686"/>
      <c r="C71" s="1673"/>
      <c r="D71" s="1864"/>
      <c r="E71" s="1559">
        <f t="shared" si="2"/>
        <v>0</v>
      </c>
      <c r="F71" s="1812">
        <f t="shared" si="3"/>
        <v>0</v>
      </c>
      <c r="G71" s="1813">
        <f t="shared" si="4"/>
        <v>0</v>
      </c>
    </row>
    <row r="72" spans="1:7" x14ac:dyDescent="0.25">
      <c r="A72" s="1672"/>
      <c r="B72" s="1686"/>
      <c r="C72" s="1673"/>
      <c r="D72" s="1864"/>
      <c r="E72" s="1559">
        <f t="shared" si="2"/>
        <v>0</v>
      </c>
      <c r="F72" s="1812">
        <f t="shared" si="3"/>
        <v>0</v>
      </c>
      <c r="G72" s="1813">
        <f t="shared" si="4"/>
        <v>0</v>
      </c>
    </row>
    <row r="73" spans="1:7" x14ac:dyDescent="0.25">
      <c r="A73" s="1672"/>
      <c r="B73" s="1686"/>
      <c r="C73" s="1673"/>
      <c r="D73" s="1864"/>
      <c r="E73" s="1559">
        <f t="shared" ref="E73:E84" si="5">IF(D73&lt;=25000,D73,IF(D73&gt;25000,25000,0))</f>
        <v>0</v>
      </c>
      <c r="F73" s="1812">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3">
        <f t="shared" ref="G73:G84" si="7">IF(F73=0,0,D73-F73)</f>
        <v>0</v>
      </c>
    </row>
    <row r="74" spans="1:7" x14ac:dyDescent="0.25">
      <c r="A74" s="1672"/>
      <c r="B74" s="1686"/>
      <c r="C74" s="1673"/>
      <c r="D74" s="1864"/>
      <c r="E74" s="1559">
        <f t="shared" si="5"/>
        <v>0</v>
      </c>
      <c r="F74" s="1812">
        <f t="shared" si="6"/>
        <v>0</v>
      </c>
      <c r="G74" s="1813">
        <f t="shared" si="7"/>
        <v>0</v>
      </c>
    </row>
    <row r="75" spans="1:7" x14ac:dyDescent="0.25">
      <c r="A75" s="1672"/>
      <c r="B75" s="1686"/>
      <c r="C75" s="1673"/>
      <c r="D75" s="1864"/>
      <c r="E75" s="1559">
        <f t="shared" si="5"/>
        <v>0</v>
      </c>
      <c r="F75" s="1812">
        <f t="shared" si="6"/>
        <v>0</v>
      </c>
      <c r="G75" s="1813">
        <f t="shared" si="7"/>
        <v>0</v>
      </c>
    </row>
    <row r="76" spans="1:7" x14ac:dyDescent="0.25">
      <c r="A76" s="1672"/>
      <c r="B76" s="1686"/>
      <c r="C76" s="1673"/>
      <c r="D76" s="1864"/>
      <c r="E76" s="1559">
        <f t="shared" si="5"/>
        <v>0</v>
      </c>
      <c r="F76" s="1812">
        <f t="shared" si="6"/>
        <v>0</v>
      </c>
      <c r="G76" s="1813">
        <f t="shared" si="7"/>
        <v>0</v>
      </c>
    </row>
    <row r="77" spans="1:7" x14ac:dyDescent="0.25">
      <c r="A77" s="1672"/>
      <c r="B77" s="1686"/>
      <c r="C77" s="1673"/>
      <c r="D77" s="1864"/>
      <c r="E77" s="1559">
        <f t="shared" si="5"/>
        <v>0</v>
      </c>
      <c r="F77" s="1812">
        <f t="shared" si="6"/>
        <v>0</v>
      </c>
      <c r="G77" s="1813">
        <f t="shared" si="7"/>
        <v>0</v>
      </c>
    </row>
    <row r="78" spans="1:7" x14ac:dyDescent="0.25">
      <c r="A78" s="1672"/>
      <c r="B78" s="1686"/>
      <c r="C78" s="1673"/>
      <c r="D78" s="1864"/>
      <c r="E78" s="1559">
        <f t="shared" si="5"/>
        <v>0</v>
      </c>
      <c r="F78" s="1812">
        <f t="shared" si="6"/>
        <v>0</v>
      </c>
      <c r="G78" s="1813">
        <f t="shared" si="7"/>
        <v>0</v>
      </c>
    </row>
    <row r="79" spans="1:7" x14ac:dyDescent="0.25">
      <c r="A79" s="1672"/>
      <c r="B79" s="1686"/>
      <c r="C79" s="1673"/>
      <c r="D79" s="1864"/>
      <c r="E79" s="1559">
        <f t="shared" si="5"/>
        <v>0</v>
      </c>
      <c r="F79" s="1812">
        <f t="shared" si="6"/>
        <v>0</v>
      </c>
      <c r="G79" s="1813">
        <f t="shared" si="7"/>
        <v>0</v>
      </c>
    </row>
    <row r="80" spans="1:7" x14ac:dyDescent="0.25">
      <c r="A80" s="1672"/>
      <c r="B80" s="1686"/>
      <c r="C80" s="1673"/>
      <c r="D80" s="1864"/>
      <c r="E80" s="1559">
        <f t="shared" si="5"/>
        <v>0</v>
      </c>
      <c r="F80" s="1812">
        <f t="shared" si="6"/>
        <v>0</v>
      </c>
      <c r="G80" s="1813">
        <f t="shared" si="7"/>
        <v>0</v>
      </c>
    </row>
    <row r="81" spans="1:7" x14ac:dyDescent="0.25">
      <c r="A81" s="1672"/>
      <c r="B81" s="1686"/>
      <c r="C81" s="1673"/>
      <c r="D81" s="1864"/>
      <c r="E81" s="1559">
        <f t="shared" si="5"/>
        <v>0</v>
      </c>
      <c r="F81" s="1812">
        <f t="shared" si="6"/>
        <v>0</v>
      </c>
      <c r="G81" s="1813">
        <f t="shared" si="7"/>
        <v>0</v>
      </c>
    </row>
    <row r="82" spans="1:7" x14ac:dyDescent="0.25">
      <c r="A82" s="1672"/>
      <c r="B82" s="1686"/>
      <c r="C82" s="1673"/>
      <c r="D82" s="1864"/>
      <c r="E82" s="1559">
        <f t="shared" si="5"/>
        <v>0</v>
      </c>
      <c r="F82" s="1812">
        <f t="shared" si="6"/>
        <v>0</v>
      </c>
      <c r="G82" s="1813">
        <f t="shared" si="7"/>
        <v>0</v>
      </c>
    </row>
    <row r="83" spans="1:7" x14ac:dyDescent="0.25">
      <c r="A83" s="1672"/>
      <c r="B83" s="1686"/>
      <c r="C83" s="1673"/>
      <c r="D83" s="1864"/>
      <c r="E83" s="1559">
        <f t="shared" si="5"/>
        <v>0</v>
      </c>
      <c r="F83" s="1812">
        <f t="shared" si="6"/>
        <v>0</v>
      </c>
      <c r="G83" s="1813">
        <f t="shared" si="7"/>
        <v>0</v>
      </c>
    </row>
    <row r="84" spans="1:7" x14ac:dyDescent="0.25">
      <c r="A84" s="1672"/>
      <c r="B84" s="1686"/>
      <c r="C84" s="1673"/>
      <c r="D84" s="1864"/>
      <c r="E84" s="1559">
        <f t="shared" si="5"/>
        <v>0</v>
      </c>
      <c r="F84" s="1812">
        <f t="shared" si="6"/>
        <v>0</v>
      </c>
      <c r="G84" s="1813">
        <f t="shared" si="7"/>
        <v>0</v>
      </c>
    </row>
    <row r="85" spans="1:7" x14ac:dyDescent="0.25">
      <c r="A85" s="1672"/>
      <c r="B85" s="1686"/>
      <c r="C85" s="1673"/>
      <c r="D85" s="1864"/>
      <c r="E85" s="1559">
        <f t="shared" si="2"/>
        <v>0</v>
      </c>
      <c r="F85" s="1812">
        <f t="shared" si="3"/>
        <v>0</v>
      </c>
      <c r="G85" s="1813">
        <f t="shared" si="4"/>
        <v>0</v>
      </c>
    </row>
    <row r="86" spans="1:7" x14ac:dyDescent="0.25">
      <c r="A86" s="1672"/>
      <c r="B86" s="1686"/>
      <c r="C86" s="1673"/>
      <c r="D86" s="1864"/>
      <c r="E86" s="1559">
        <f t="shared" si="2"/>
        <v>0</v>
      </c>
      <c r="F86" s="1812">
        <f t="shared" si="3"/>
        <v>0</v>
      </c>
      <c r="G86" s="1813">
        <f t="shared" si="4"/>
        <v>0</v>
      </c>
    </row>
    <row r="87" spans="1:7" x14ac:dyDescent="0.25">
      <c r="A87" s="1672"/>
      <c r="B87" s="1686"/>
      <c r="C87" s="1673"/>
      <c r="D87" s="1864"/>
      <c r="E87" s="1559">
        <f t="shared" si="2"/>
        <v>0</v>
      </c>
      <c r="F87" s="1812">
        <f t="shared" si="3"/>
        <v>0</v>
      </c>
      <c r="G87" s="1813">
        <f t="shared" si="4"/>
        <v>0</v>
      </c>
    </row>
    <row r="88" spans="1:7" x14ac:dyDescent="0.25">
      <c r="A88" s="1672"/>
      <c r="B88" s="1686"/>
      <c r="C88" s="1673"/>
      <c r="D88" s="1864"/>
      <c r="E88" s="1559">
        <f t="shared" si="2"/>
        <v>0</v>
      </c>
      <c r="F88" s="1812">
        <f t="shared" si="3"/>
        <v>0</v>
      </c>
      <c r="G88" s="1813">
        <f t="shared" si="4"/>
        <v>0</v>
      </c>
    </row>
    <row r="89" spans="1:7" x14ac:dyDescent="0.25">
      <c r="A89" s="1672"/>
      <c r="B89" s="1686"/>
      <c r="C89" s="1673"/>
      <c r="D89" s="1864"/>
      <c r="E89" s="1559">
        <f t="shared" si="2"/>
        <v>0</v>
      </c>
      <c r="F89" s="1812">
        <f t="shared" si="3"/>
        <v>0</v>
      </c>
      <c r="G89" s="1813">
        <f t="shared" si="4"/>
        <v>0</v>
      </c>
    </row>
    <row r="90" spans="1:7" x14ac:dyDescent="0.25">
      <c r="A90" s="1672"/>
      <c r="B90" s="1686"/>
      <c r="C90" s="1673"/>
      <c r="D90" s="1864"/>
      <c r="E90" s="1559">
        <f t="shared" si="2"/>
        <v>0</v>
      </c>
      <c r="F90" s="1812">
        <f t="shared" si="3"/>
        <v>0</v>
      </c>
      <c r="G90" s="1813">
        <f t="shared" si="4"/>
        <v>0</v>
      </c>
    </row>
    <row r="91" spans="1:7" x14ac:dyDescent="0.25">
      <c r="A91" s="1672"/>
      <c r="B91" s="1686"/>
      <c r="C91" s="1673"/>
      <c r="D91" s="1864"/>
      <c r="E91" s="1559">
        <f t="shared" si="2"/>
        <v>0</v>
      </c>
      <c r="F91" s="1812">
        <f t="shared" si="3"/>
        <v>0</v>
      </c>
      <c r="G91" s="1813">
        <f t="shared" si="4"/>
        <v>0</v>
      </c>
    </row>
    <row r="92" spans="1:7" x14ac:dyDescent="0.25">
      <c r="A92" s="1672"/>
      <c r="B92" s="1686"/>
      <c r="C92" s="1673"/>
      <c r="D92" s="1864"/>
      <c r="E92" s="1559">
        <f t="shared" si="2"/>
        <v>0</v>
      </c>
      <c r="F92" s="1812">
        <f t="shared" si="3"/>
        <v>0</v>
      </c>
      <c r="G92" s="1813">
        <f t="shared" si="4"/>
        <v>0</v>
      </c>
    </row>
    <row r="93" spans="1:7" x14ac:dyDescent="0.25">
      <c r="A93" s="1672"/>
      <c r="B93" s="1686"/>
      <c r="C93" s="1673"/>
      <c r="D93" s="1864"/>
      <c r="E93" s="1559">
        <f t="shared" ref="E93" si="8">IF(D93&lt;=25000,D93,IF(D93&gt;25000,25000,0))</f>
        <v>0</v>
      </c>
      <c r="F93" s="1812">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3">
        <f t="shared" ref="G93" si="10">IF(F93=0,0,D93-F93)</f>
        <v>0</v>
      </c>
    </row>
    <row r="94" spans="1:7" x14ac:dyDescent="0.25">
      <c r="A94" s="1672"/>
      <c r="B94" s="1686"/>
      <c r="C94" s="1673"/>
      <c r="D94" s="1864"/>
      <c r="E94" s="1559">
        <f t="shared" si="2"/>
        <v>0</v>
      </c>
      <c r="F94" s="1812">
        <f t="shared" si="3"/>
        <v>0</v>
      </c>
      <c r="G94" s="1813">
        <f t="shared" si="4"/>
        <v>0</v>
      </c>
    </row>
    <row r="95" spans="1:7" x14ac:dyDescent="0.25">
      <c r="A95" s="1672"/>
      <c r="B95" s="1686"/>
      <c r="C95" s="1673"/>
      <c r="D95" s="1864"/>
      <c r="E95" s="1559">
        <f t="shared" ref="E95:E98" si="11">IF(D95&lt;=25000,D95,IF(D95&gt;25000,25000,0))</f>
        <v>0</v>
      </c>
      <c r="F95" s="1812">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3">
        <f t="shared" ref="G95:G98" si="13">IF(F95=0,0,D95-F95)</f>
        <v>0</v>
      </c>
    </row>
    <row r="96" spans="1:7" x14ac:dyDescent="0.25">
      <c r="A96" s="1672"/>
      <c r="B96" s="1686"/>
      <c r="C96" s="1673"/>
      <c r="D96" s="1864"/>
      <c r="E96" s="1559">
        <f t="shared" si="11"/>
        <v>0</v>
      </c>
      <c r="F96" s="1812">
        <f t="shared" si="12"/>
        <v>0</v>
      </c>
      <c r="G96" s="1813">
        <f t="shared" si="13"/>
        <v>0</v>
      </c>
    </row>
    <row r="97" spans="1:7" x14ac:dyDescent="0.25">
      <c r="A97" s="1672"/>
      <c r="B97" s="1686"/>
      <c r="C97" s="1673"/>
      <c r="D97" s="1864"/>
      <c r="E97" s="1559">
        <f t="shared" si="11"/>
        <v>0</v>
      </c>
      <c r="F97" s="1812">
        <f t="shared" si="12"/>
        <v>0</v>
      </c>
      <c r="G97" s="1813">
        <f t="shared" si="13"/>
        <v>0</v>
      </c>
    </row>
    <row r="98" spans="1:7" x14ac:dyDescent="0.25">
      <c r="A98" s="1672"/>
      <c r="B98" s="1686"/>
      <c r="C98" s="1673"/>
      <c r="D98" s="1864"/>
      <c r="E98" s="1559">
        <f t="shared" si="11"/>
        <v>0</v>
      </c>
      <c r="F98" s="1812">
        <f t="shared" si="12"/>
        <v>0</v>
      </c>
      <c r="G98" s="1813">
        <f t="shared" si="13"/>
        <v>0</v>
      </c>
    </row>
    <row r="99" spans="1:7" x14ac:dyDescent="0.25">
      <c r="A99" s="1672"/>
      <c r="B99" s="1686"/>
      <c r="C99" s="1673"/>
      <c r="D99" s="1864"/>
      <c r="E99" s="1559">
        <f t="shared" ref="E99" si="14">IF(D99&lt;=25000,D99,IF(D99&gt;25000,25000,0))</f>
        <v>0</v>
      </c>
      <c r="F99" s="1812">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3">
        <f t="shared" ref="G99" si="16">IF(F99=0,0,D99-F99)</f>
        <v>0</v>
      </c>
    </row>
    <row r="100" spans="1:7" x14ac:dyDescent="0.25">
      <c r="A100" s="1672"/>
      <c r="B100" s="1686"/>
      <c r="C100" s="1673"/>
      <c r="D100" s="1864"/>
      <c r="E100" s="1559">
        <f t="shared" ref="E100:E112" si="17">IF(D100&lt;=25000,D100,IF(D100&gt;25000,25000,0))</f>
        <v>0</v>
      </c>
      <c r="F100" s="1812">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3">
        <f t="shared" ref="G100:G112" si="19">IF(F100=0,0,D100-F100)</f>
        <v>0</v>
      </c>
    </row>
    <row r="101" spans="1:7" x14ac:dyDescent="0.25">
      <c r="A101" s="1672"/>
      <c r="B101" s="1686"/>
      <c r="C101" s="1673"/>
      <c r="D101" s="1864"/>
      <c r="E101" s="1559">
        <f t="shared" si="17"/>
        <v>0</v>
      </c>
      <c r="F101" s="1812">
        <f t="shared" si="18"/>
        <v>0</v>
      </c>
      <c r="G101" s="1813">
        <f t="shared" si="19"/>
        <v>0</v>
      </c>
    </row>
    <row r="102" spans="1:7" x14ac:dyDescent="0.25">
      <c r="A102" s="1672"/>
      <c r="B102" s="1686"/>
      <c r="C102" s="1673"/>
      <c r="D102" s="1864"/>
      <c r="E102" s="1559">
        <f t="shared" si="17"/>
        <v>0</v>
      </c>
      <c r="F102" s="1812">
        <f t="shared" si="18"/>
        <v>0</v>
      </c>
      <c r="G102" s="1813">
        <f t="shared" si="19"/>
        <v>0</v>
      </c>
    </row>
    <row r="103" spans="1:7" x14ac:dyDescent="0.25">
      <c r="A103" s="1672"/>
      <c r="B103" s="1686"/>
      <c r="C103" s="1673"/>
      <c r="D103" s="1864"/>
      <c r="E103" s="1559">
        <f t="shared" si="17"/>
        <v>0</v>
      </c>
      <c r="F103" s="1812">
        <f t="shared" si="18"/>
        <v>0</v>
      </c>
      <c r="G103" s="1813">
        <f t="shared" si="19"/>
        <v>0</v>
      </c>
    </row>
    <row r="104" spans="1:7" x14ac:dyDescent="0.25">
      <c r="A104" s="1672"/>
      <c r="B104" s="1686"/>
      <c r="C104" s="1673"/>
      <c r="D104" s="1864"/>
      <c r="E104" s="1559">
        <f t="shared" si="17"/>
        <v>0</v>
      </c>
      <c r="F104" s="1812">
        <f t="shared" si="18"/>
        <v>0</v>
      </c>
      <c r="G104" s="1813">
        <f t="shared" si="19"/>
        <v>0</v>
      </c>
    </row>
    <row r="105" spans="1:7" x14ac:dyDescent="0.25">
      <c r="A105" s="1672"/>
      <c r="B105" s="1686"/>
      <c r="C105" s="1673"/>
      <c r="D105" s="1864"/>
      <c r="E105" s="1559">
        <f t="shared" si="17"/>
        <v>0</v>
      </c>
      <c r="F105" s="1812">
        <f t="shared" si="18"/>
        <v>0</v>
      </c>
      <c r="G105" s="1813">
        <f t="shared" si="19"/>
        <v>0</v>
      </c>
    </row>
    <row r="106" spans="1:7" x14ac:dyDescent="0.25">
      <c r="A106" s="1672"/>
      <c r="B106" s="1686"/>
      <c r="C106" s="1673"/>
      <c r="D106" s="1864"/>
      <c r="E106" s="1559">
        <f t="shared" si="17"/>
        <v>0</v>
      </c>
      <c r="F106" s="1812">
        <f t="shared" si="18"/>
        <v>0</v>
      </c>
      <c r="G106" s="1813">
        <f t="shared" si="19"/>
        <v>0</v>
      </c>
    </row>
    <row r="107" spans="1:7" x14ac:dyDescent="0.25">
      <c r="A107" s="1672"/>
      <c r="B107" s="1686"/>
      <c r="C107" s="1673"/>
      <c r="D107" s="1864"/>
      <c r="E107" s="1559">
        <f t="shared" si="17"/>
        <v>0</v>
      </c>
      <c r="F107" s="1812">
        <f t="shared" si="18"/>
        <v>0</v>
      </c>
      <c r="G107" s="1813">
        <f t="shared" si="19"/>
        <v>0</v>
      </c>
    </row>
    <row r="108" spans="1:7" x14ac:dyDescent="0.25">
      <c r="A108" s="1672"/>
      <c r="B108" s="1686"/>
      <c r="C108" s="1673"/>
      <c r="D108" s="1864"/>
      <c r="E108" s="1559">
        <f t="shared" si="17"/>
        <v>0</v>
      </c>
      <c r="F108" s="1812">
        <f t="shared" si="18"/>
        <v>0</v>
      </c>
      <c r="G108" s="1813">
        <f t="shared" si="19"/>
        <v>0</v>
      </c>
    </row>
    <row r="109" spans="1:7" x14ac:dyDescent="0.25">
      <c r="A109" s="1672"/>
      <c r="B109" s="1686"/>
      <c r="C109" s="1673"/>
      <c r="D109" s="1864"/>
      <c r="E109" s="1559">
        <f t="shared" si="17"/>
        <v>0</v>
      </c>
      <c r="F109" s="1812">
        <f t="shared" si="18"/>
        <v>0</v>
      </c>
      <c r="G109" s="1813">
        <f t="shared" si="19"/>
        <v>0</v>
      </c>
    </row>
    <row r="110" spans="1:7" x14ac:dyDescent="0.25">
      <c r="A110" s="1672"/>
      <c r="B110" s="1686"/>
      <c r="C110" s="1673"/>
      <c r="D110" s="1864"/>
      <c r="E110" s="1559">
        <f t="shared" si="17"/>
        <v>0</v>
      </c>
      <c r="F110" s="1812">
        <f t="shared" si="18"/>
        <v>0</v>
      </c>
      <c r="G110" s="1813">
        <f t="shared" si="19"/>
        <v>0</v>
      </c>
    </row>
    <row r="111" spans="1:7" x14ac:dyDescent="0.25">
      <c r="A111" s="1672"/>
      <c r="B111" s="1686"/>
      <c r="C111" s="1673"/>
      <c r="D111" s="1864"/>
      <c r="E111" s="1559">
        <f t="shared" si="17"/>
        <v>0</v>
      </c>
      <c r="F111" s="1812">
        <f t="shared" si="18"/>
        <v>0</v>
      </c>
      <c r="G111" s="1813">
        <f t="shared" si="19"/>
        <v>0</v>
      </c>
    </row>
    <row r="112" spans="1:7" x14ac:dyDescent="0.25">
      <c r="A112" s="1672"/>
      <c r="B112" s="1686"/>
      <c r="C112" s="1673"/>
      <c r="D112" s="1864"/>
      <c r="E112" s="1559">
        <f t="shared" si="17"/>
        <v>0</v>
      </c>
      <c r="F112" s="1812">
        <f t="shared" si="18"/>
        <v>0</v>
      </c>
      <c r="G112" s="1813">
        <f t="shared" si="19"/>
        <v>0</v>
      </c>
    </row>
    <row r="113" spans="1:7" x14ac:dyDescent="0.25">
      <c r="A113" s="1672"/>
      <c r="B113" s="1686"/>
      <c r="C113" s="1673"/>
      <c r="D113" s="1864"/>
      <c r="E113" s="1559">
        <f t="shared" ref="E113:E125" si="20">IF(D113&lt;=25000,D113,IF(D113&gt;25000,25000,0))</f>
        <v>0</v>
      </c>
      <c r="F113" s="1812">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3">
        <f t="shared" ref="G113:G125" si="22">IF(F113=0,0,D113-F113)</f>
        <v>0</v>
      </c>
    </row>
    <row r="114" spans="1:7" x14ac:dyDescent="0.25">
      <c r="A114" s="1672"/>
      <c r="B114" s="1686"/>
      <c r="C114" s="1673"/>
      <c r="D114" s="1864"/>
      <c r="E114" s="1559">
        <f t="shared" si="20"/>
        <v>0</v>
      </c>
      <c r="F114" s="1812">
        <f t="shared" si="21"/>
        <v>0</v>
      </c>
      <c r="G114" s="1813">
        <f t="shared" si="22"/>
        <v>0</v>
      </c>
    </row>
    <row r="115" spans="1:7" x14ac:dyDescent="0.25">
      <c r="A115" s="1672"/>
      <c r="B115" s="1686"/>
      <c r="C115" s="1673"/>
      <c r="D115" s="1864"/>
      <c r="E115" s="1559">
        <f t="shared" si="20"/>
        <v>0</v>
      </c>
      <c r="F115" s="1812">
        <f t="shared" si="21"/>
        <v>0</v>
      </c>
      <c r="G115" s="1813">
        <f t="shared" si="22"/>
        <v>0</v>
      </c>
    </row>
    <row r="116" spans="1:7" x14ac:dyDescent="0.25">
      <c r="A116" s="1672"/>
      <c r="B116" s="1686"/>
      <c r="C116" s="1673"/>
      <c r="D116" s="1864"/>
      <c r="E116" s="1559">
        <f t="shared" si="20"/>
        <v>0</v>
      </c>
      <c r="F116" s="1812">
        <f t="shared" si="21"/>
        <v>0</v>
      </c>
      <c r="G116" s="1813">
        <f t="shared" si="22"/>
        <v>0</v>
      </c>
    </row>
    <row r="117" spans="1:7" x14ac:dyDescent="0.25">
      <c r="A117" s="1672"/>
      <c r="B117" s="1686"/>
      <c r="C117" s="1673"/>
      <c r="D117" s="1864"/>
      <c r="E117" s="1559">
        <f t="shared" si="20"/>
        <v>0</v>
      </c>
      <c r="F117" s="1812">
        <f t="shared" si="21"/>
        <v>0</v>
      </c>
      <c r="G117" s="1813">
        <f t="shared" si="22"/>
        <v>0</v>
      </c>
    </row>
    <row r="118" spans="1:7" x14ac:dyDescent="0.25">
      <c r="A118" s="1672"/>
      <c r="B118" s="1686"/>
      <c r="C118" s="1673"/>
      <c r="D118" s="1864"/>
      <c r="E118" s="1559">
        <f t="shared" si="20"/>
        <v>0</v>
      </c>
      <c r="F118" s="1812">
        <f t="shared" si="21"/>
        <v>0</v>
      </c>
      <c r="G118" s="1813">
        <f t="shared" si="22"/>
        <v>0</v>
      </c>
    </row>
    <row r="119" spans="1:7" x14ac:dyDescent="0.25">
      <c r="A119" s="1672"/>
      <c r="B119" s="1686"/>
      <c r="C119" s="1673"/>
      <c r="D119" s="1864"/>
      <c r="E119" s="1559">
        <f t="shared" si="20"/>
        <v>0</v>
      </c>
      <c r="F119" s="1812">
        <f t="shared" si="21"/>
        <v>0</v>
      </c>
      <c r="G119" s="1813">
        <f t="shared" si="22"/>
        <v>0</v>
      </c>
    </row>
    <row r="120" spans="1:7" x14ac:dyDescent="0.25">
      <c r="A120" s="1672"/>
      <c r="B120" s="1686"/>
      <c r="C120" s="1673"/>
      <c r="D120" s="1864"/>
      <c r="E120" s="1559">
        <f t="shared" si="20"/>
        <v>0</v>
      </c>
      <c r="F120" s="1812">
        <f t="shared" si="21"/>
        <v>0</v>
      </c>
      <c r="G120" s="1813">
        <f t="shared" si="22"/>
        <v>0</v>
      </c>
    </row>
    <row r="121" spans="1:7" x14ac:dyDescent="0.25">
      <c r="A121" s="1672"/>
      <c r="B121" s="1686"/>
      <c r="C121" s="1673"/>
      <c r="D121" s="1864"/>
      <c r="E121" s="1559">
        <f t="shared" si="20"/>
        <v>0</v>
      </c>
      <c r="F121" s="1812">
        <f t="shared" si="21"/>
        <v>0</v>
      </c>
      <c r="G121" s="1813">
        <f t="shared" si="22"/>
        <v>0</v>
      </c>
    </row>
    <row r="122" spans="1:7" x14ac:dyDescent="0.25">
      <c r="A122" s="1672"/>
      <c r="B122" s="1686"/>
      <c r="C122" s="1673"/>
      <c r="D122" s="1864"/>
      <c r="E122" s="1559">
        <f t="shared" si="20"/>
        <v>0</v>
      </c>
      <c r="F122" s="1812">
        <f t="shared" si="21"/>
        <v>0</v>
      </c>
      <c r="G122" s="1813">
        <f t="shared" si="22"/>
        <v>0</v>
      </c>
    </row>
    <row r="123" spans="1:7" x14ac:dyDescent="0.25">
      <c r="A123" s="1672"/>
      <c r="B123" s="1686"/>
      <c r="C123" s="1673"/>
      <c r="D123" s="1864"/>
      <c r="E123" s="1559">
        <f t="shared" si="20"/>
        <v>0</v>
      </c>
      <c r="F123" s="1812">
        <f t="shared" si="21"/>
        <v>0</v>
      </c>
      <c r="G123" s="1813">
        <f t="shared" si="22"/>
        <v>0</v>
      </c>
    </row>
    <row r="124" spans="1:7" x14ac:dyDescent="0.25">
      <c r="A124" s="1672"/>
      <c r="B124" s="1686"/>
      <c r="C124" s="1673"/>
      <c r="D124" s="1864"/>
      <c r="E124" s="1559">
        <f t="shared" si="20"/>
        <v>0</v>
      </c>
      <c r="F124" s="1812">
        <f t="shared" si="21"/>
        <v>0</v>
      </c>
      <c r="G124" s="1813">
        <f t="shared" si="22"/>
        <v>0</v>
      </c>
    </row>
    <row r="125" spans="1:7" x14ac:dyDescent="0.25">
      <c r="A125" s="1672"/>
      <c r="B125" s="1686"/>
      <c r="C125" s="1673"/>
      <c r="D125" s="1864"/>
      <c r="E125" s="1559">
        <f t="shared" si="20"/>
        <v>0</v>
      </c>
      <c r="F125" s="1812">
        <f t="shared" si="21"/>
        <v>0</v>
      </c>
      <c r="G125" s="1813">
        <f t="shared" si="22"/>
        <v>0</v>
      </c>
    </row>
    <row r="126" spans="1:7" x14ac:dyDescent="0.25">
      <c r="A126" s="1672"/>
      <c r="B126" s="1686"/>
      <c r="C126" s="1673"/>
      <c r="D126" s="1864"/>
      <c r="E126" s="1559">
        <f t="shared" ref="E126:E134" si="23">IF(D126&lt;=25000,D126,IF(D126&gt;25000,25000,0))</f>
        <v>0</v>
      </c>
      <c r="F126" s="1812">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3">
        <f t="shared" ref="G126:G134" si="25">IF(F126=0,0,D126-F126)</f>
        <v>0</v>
      </c>
    </row>
    <row r="127" spans="1:7" x14ac:dyDescent="0.25">
      <c r="A127" s="1672"/>
      <c r="B127" s="1686"/>
      <c r="C127" s="1673"/>
      <c r="D127" s="1864"/>
      <c r="E127" s="1559">
        <f t="shared" si="23"/>
        <v>0</v>
      </c>
      <c r="F127" s="1812">
        <f t="shared" si="24"/>
        <v>0</v>
      </c>
      <c r="G127" s="1813">
        <f t="shared" si="25"/>
        <v>0</v>
      </c>
    </row>
    <row r="128" spans="1:7" x14ac:dyDescent="0.25">
      <c r="A128" s="1672"/>
      <c r="B128" s="1686"/>
      <c r="C128" s="1673"/>
      <c r="D128" s="1864"/>
      <c r="E128" s="1559">
        <f t="shared" si="23"/>
        <v>0</v>
      </c>
      <c r="F128" s="1812">
        <f t="shared" si="24"/>
        <v>0</v>
      </c>
      <c r="G128" s="1813">
        <f t="shared" si="25"/>
        <v>0</v>
      </c>
    </row>
    <row r="129" spans="1:7" x14ac:dyDescent="0.25">
      <c r="A129" s="1672"/>
      <c r="B129" s="1686"/>
      <c r="C129" s="1673"/>
      <c r="D129" s="1864"/>
      <c r="E129" s="1559">
        <f t="shared" si="23"/>
        <v>0</v>
      </c>
      <c r="F129" s="1812">
        <f t="shared" si="24"/>
        <v>0</v>
      </c>
      <c r="G129" s="1813">
        <f t="shared" si="25"/>
        <v>0</v>
      </c>
    </row>
    <row r="130" spans="1:7" x14ac:dyDescent="0.25">
      <c r="A130" s="1672"/>
      <c r="B130" s="1686"/>
      <c r="C130" s="1673"/>
      <c r="D130" s="1864"/>
      <c r="E130" s="1559">
        <f t="shared" si="23"/>
        <v>0</v>
      </c>
      <c r="F130" s="1812">
        <f t="shared" si="24"/>
        <v>0</v>
      </c>
      <c r="G130" s="1813">
        <f t="shared" si="25"/>
        <v>0</v>
      </c>
    </row>
    <row r="131" spans="1:7" x14ac:dyDescent="0.25">
      <c r="A131" s="1672"/>
      <c r="B131" s="1857"/>
      <c r="C131" s="1673"/>
      <c r="D131" s="1864"/>
      <c r="E131" s="1559">
        <f t="shared" si="23"/>
        <v>0</v>
      </c>
      <c r="F131" s="1812">
        <f t="shared" si="24"/>
        <v>0</v>
      </c>
      <c r="G131" s="1813">
        <f t="shared" si="25"/>
        <v>0</v>
      </c>
    </row>
    <row r="132" spans="1:7" x14ac:dyDescent="0.25">
      <c r="A132" s="1672"/>
      <c r="B132" s="1857"/>
      <c r="C132" s="1673"/>
      <c r="D132" s="1864"/>
      <c r="E132" s="1559">
        <f t="shared" si="23"/>
        <v>0</v>
      </c>
      <c r="F132" s="1812">
        <f t="shared" si="24"/>
        <v>0</v>
      </c>
      <c r="G132" s="1813">
        <f t="shared" si="25"/>
        <v>0</v>
      </c>
    </row>
    <row r="133" spans="1:7" x14ac:dyDescent="0.25">
      <c r="A133" s="1672"/>
      <c r="B133" s="1686"/>
      <c r="C133" s="1673"/>
      <c r="D133" s="1864"/>
      <c r="E133" s="1559">
        <f t="shared" si="23"/>
        <v>0</v>
      </c>
      <c r="F133" s="1812">
        <f t="shared" si="24"/>
        <v>0</v>
      </c>
      <c r="G133" s="1813">
        <f t="shared" si="25"/>
        <v>0</v>
      </c>
    </row>
    <row r="134" spans="1:7" x14ac:dyDescent="0.25">
      <c r="A134" s="1672"/>
      <c r="B134" s="1686"/>
      <c r="C134" s="1673"/>
      <c r="D134" s="1864"/>
      <c r="E134" s="1559">
        <f t="shared" si="23"/>
        <v>0</v>
      </c>
      <c r="F134" s="1812">
        <f t="shared" si="24"/>
        <v>0</v>
      </c>
      <c r="G134" s="1813">
        <f t="shared" si="25"/>
        <v>0</v>
      </c>
    </row>
    <row r="135" spans="1:7" x14ac:dyDescent="0.25">
      <c r="A135" s="1672"/>
      <c r="B135" s="1686"/>
      <c r="C135" s="1673"/>
      <c r="D135" s="1864"/>
      <c r="E135" s="1559">
        <f t="shared" ref="E135:E139" si="26">IF(D135&lt;=25000,D135,IF(D135&gt;25000,25000,0))</f>
        <v>0</v>
      </c>
      <c r="F135" s="1812">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3">
        <f t="shared" ref="G135:G139" si="28">IF(F135=0,0,D135-F135)</f>
        <v>0</v>
      </c>
    </row>
    <row r="136" spans="1:7" x14ac:dyDescent="0.25">
      <c r="A136" s="1672"/>
      <c r="B136" s="1686"/>
      <c r="C136" s="1673"/>
      <c r="D136" s="1864"/>
      <c r="E136" s="1559">
        <f t="shared" si="26"/>
        <v>0</v>
      </c>
      <c r="F136" s="1812">
        <f t="shared" si="27"/>
        <v>0</v>
      </c>
      <c r="G136" s="1813">
        <f t="shared" si="28"/>
        <v>0</v>
      </c>
    </row>
    <row r="137" spans="1:7" x14ac:dyDescent="0.25">
      <c r="A137" s="1672"/>
      <c r="B137" s="1686"/>
      <c r="C137" s="1673"/>
      <c r="D137" s="1864"/>
      <c r="E137" s="1559">
        <f t="shared" si="26"/>
        <v>0</v>
      </c>
      <c r="F137" s="1812">
        <f t="shared" si="27"/>
        <v>0</v>
      </c>
      <c r="G137" s="1813">
        <f t="shared" si="28"/>
        <v>0</v>
      </c>
    </row>
    <row r="138" spans="1:7" x14ac:dyDescent="0.25">
      <c r="A138" s="1672"/>
      <c r="B138" s="1686"/>
      <c r="C138" s="1673"/>
      <c r="D138" s="1864"/>
      <c r="E138" s="1559">
        <f t="shared" si="26"/>
        <v>0</v>
      </c>
      <c r="F138" s="1812">
        <f t="shared" si="27"/>
        <v>0</v>
      </c>
      <c r="G138" s="1813">
        <f t="shared" si="28"/>
        <v>0</v>
      </c>
    </row>
    <row r="139" spans="1:7" x14ac:dyDescent="0.25">
      <c r="A139" s="1672"/>
      <c r="B139" s="1686"/>
      <c r="C139" s="1673"/>
      <c r="D139" s="1864"/>
      <c r="E139" s="1559">
        <f t="shared" si="26"/>
        <v>0</v>
      </c>
      <c r="F139" s="1812">
        <f t="shared" si="27"/>
        <v>0</v>
      </c>
      <c r="G139" s="1813">
        <f t="shared" si="28"/>
        <v>0</v>
      </c>
    </row>
    <row r="140" spans="1:7" x14ac:dyDescent="0.25">
      <c r="A140" s="1672"/>
      <c r="B140" s="1685"/>
      <c r="C140" s="1673"/>
      <c r="D140" s="1864"/>
      <c r="E140" s="1559">
        <f t="shared" si="2"/>
        <v>0</v>
      </c>
      <c r="F140" s="1812">
        <f t="shared" si="3"/>
        <v>0</v>
      </c>
      <c r="G140" s="1813">
        <f t="shared" si="4"/>
        <v>0</v>
      </c>
    </row>
    <row r="141" spans="1:7" x14ac:dyDescent="0.25">
      <c r="A141" s="1816" t="s">
        <v>158</v>
      </c>
      <c r="B141" s="1817"/>
      <c r="C141" s="1818"/>
      <c r="D141" s="1814">
        <f>SUM(D17:D140)</f>
        <v>0</v>
      </c>
      <c r="E141" s="1560">
        <f t="shared" si="1"/>
        <v>0</v>
      </c>
      <c r="F141" s="1814">
        <f>SUM(F17:F140)</f>
        <v>0</v>
      </c>
      <c r="G141" s="1815">
        <f>SUM(G17:G140)</f>
        <v>0</v>
      </c>
    </row>
  </sheetData>
  <sheetProtection sheet="1" selectLockedCells="1"/>
  <mergeCells count="6">
    <mergeCell ref="A13:G13"/>
    <mergeCell ref="A4:G5"/>
    <mergeCell ref="A11:G11"/>
    <mergeCell ref="A7:G7"/>
    <mergeCell ref="A8:G8"/>
    <mergeCell ref="A9:G9"/>
  </mergeCells>
  <printOptions horizontalCentered="1"/>
  <pageMargins left="0.5" right="0.5" top="1.4" bottom="0.75" header="1" footer="0.5"/>
  <pageSetup scale="78" firstPageNumber="30" fitToHeight="0" orientation="landscape" r:id="rId1"/>
  <headerFooter>
    <oddFooter>&amp;CReference should be made to accountant's report regarding this information.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3" t="s">
        <v>1177</v>
      </c>
      <c r="B1" s="1654"/>
      <c r="C1" s="1655"/>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50" t="s">
        <v>1778</v>
      </c>
      <c r="B5" s="2351"/>
      <c r="C5" s="2351"/>
      <c r="D5" s="2351"/>
      <c r="E5" s="2351"/>
      <c r="F5" s="2351"/>
      <c r="G5" s="2352"/>
      <c r="H5" s="252"/>
      <c r="I5" s="610"/>
    </row>
    <row r="6" spans="1:9" s="669" customFormat="1" x14ac:dyDescent="0.2">
      <c r="A6" s="1656"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v>77368</v>
      </c>
      <c r="F10" s="975"/>
      <c r="G10" s="976"/>
      <c r="H10" s="162"/>
      <c r="I10" s="162"/>
    </row>
    <row r="11" spans="1:9" s="669" customFormat="1" ht="22.5" customHeight="1" x14ac:dyDescent="0.2">
      <c r="A11" s="2355" t="s">
        <v>1944</v>
      </c>
      <c r="B11" s="2356"/>
      <c r="C11" s="2356"/>
      <c r="D11" s="2357"/>
      <c r="E11" s="978">
        <v>9451</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7" t="s">
        <v>553</v>
      </c>
      <c r="E17" s="1658"/>
      <c r="F17" s="1657" t="s">
        <v>453</v>
      </c>
      <c r="G17" s="1659"/>
      <c r="H17" s="162"/>
      <c r="I17" s="162"/>
    </row>
    <row r="18" spans="1:9" s="259" customFormat="1" ht="11.25" x14ac:dyDescent="0.2">
      <c r="A18" s="989"/>
      <c r="C18" s="990" t="s">
        <v>454</v>
      </c>
      <c r="D18" s="1660" t="s">
        <v>455</v>
      </c>
      <c r="E18" s="1660" t="s">
        <v>55</v>
      </c>
      <c r="F18" s="1660" t="s">
        <v>455</v>
      </c>
      <c r="G18" s="1660" t="s">
        <v>55</v>
      </c>
      <c r="H18" s="178"/>
      <c r="I18" s="178"/>
    </row>
    <row r="19" spans="1:9" s="669" customFormat="1" ht="12" customHeight="1" x14ac:dyDescent="0.2">
      <c r="A19" s="991" t="s">
        <v>476</v>
      </c>
      <c r="B19" s="992"/>
      <c r="C19" s="993" t="s">
        <v>591</v>
      </c>
      <c r="D19" s="1819"/>
      <c r="E19" s="1820">
        <f>'Expenditures 15-22'!K33-SUM('Expenditures 15-22'!G33,'Expenditures 15-22'!I33)+'Expenditures 15-22'!D229</f>
        <v>1541653</v>
      </c>
      <c r="F19" s="1819"/>
      <c r="G19" s="1821">
        <f>'Expenditures 15-22'!K33-SUM('Expenditures 15-22'!G33,'Expenditures 15-22'!I33)+'Expenditures 15-22'!D229</f>
        <v>1541653</v>
      </c>
      <c r="H19" s="988"/>
      <c r="I19" s="162"/>
    </row>
    <row r="20" spans="1:9" s="669" customFormat="1" ht="12" customHeight="1" x14ac:dyDescent="0.2">
      <c r="A20" s="991" t="s">
        <v>56</v>
      </c>
      <c r="B20" s="992"/>
      <c r="C20" s="994"/>
      <c r="D20" s="1822"/>
      <c r="E20" s="1822"/>
      <c r="F20" s="1822"/>
      <c r="G20" s="1823"/>
      <c r="H20" s="988"/>
      <c r="I20" s="162"/>
    </row>
    <row r="21" spans="1:9" s="669" customFormat="1" ht="12" customHeight="1" x14ac:dyDescent="0.2">
      <c r="A21" s="995" t="s">
        <v>421</v>
      </c>
      <c r="B21" s="996"/>
      <c r="C21" s="994">
        <v>2100</v>
      </c>
      <c r="D21" s="1822"/>
      <c r="E21" s="1824">
        <f>'Expenditures 15-22'!K42-SUM('Expenditures 15-22'!G42,'Expenditures 15-22'!I42)+'Expenditures 15-22'!K120-SUM('Expenditures 15-22'!G120,'Expenditures 15-22'!I120)+'Expenditures 15-22'!K180-SUM('Expenditures 15-22'!G180,'Expenditures 15-22'!I180)+'Expenditures 15-22'!D238</f>
        <v>57014</v>
      </c>
      <c r="F21" s="1822"/>
      <c r="G21" s="1825">
        <f>'Expenditures 15-22'!K42-SUM('Expenditures 15-22'!G42,'Expenditures 15-22'!I42)+'Expenditures 15-22'!K120-SUM('Expenditures 15-22'!G120,'Expenditures 15-22'!I120)+'Expenditures 15-22'!K180-SUM('Expenditures 15-22'!G180,'Expenditures 15-22'!I180)+'Expenditures 15-22'!D238</f>
        <v>57014</v>
      </c>
      <c r="H21" s="988"/>
      <c r="I21" s="162"/>
    </row>
    <row r="22" spans="1:9" s="669" customFormat="1" ht="12" customHeight="1" x14ac:dyDescent="0.2">
      <c r="A22" s="995" t="s">
        <v>585</v>
      </c>
      <c r="B22" s="996"/>
      <c r="C22" s="994">
        <v>2200</v>
      </c>
      <c r="D22" s="1822"/>
      <c r="E22" s="1824">
        <f>'Expenditures 15-22'!K47-SUM('Expenditures 15-22'!G47,'Expenditures 15-22'!I47)+'Expenditures 15-22'!D243</f>
        <v>95193</v>
      </c>
      <c r="F22" s="1822"/>
      <c r="G22" s="1825">
        <f>'Expenditures 15-22'!K47-SUM('Expenditures 15-22'!G47,'Expenditures 15-22'!I47)+'Expenditures 15-22'!D243</f>
        <v>95193</v>
      </c>
      <c r="H22" s="988"/>
      <c r="I22" s="162"/>
    </row>
    <row r="23" spans="1:9" s="669" customFormat="1" ht="12" customHeight="1" x14ac:dyDescent="0.2">
      <c r="A23" s="995" t="s">
        <v>586</v>
      </c>
      <c r="B23" s="996"/>
      <c r="C23" s="994">
        <v>2300</v>
      </c>
      <c r="D23" s="1822"/>
      <c r="E23" s="1824">
        <f>'Expenditures 15-22'!K53-SUM('Expenditures 15-22'!G53,'Expenditures 15-22'!I53)+'Expenditures 15-22'!D257+'Expenditures 15-22'!K330-SUM('Expenditures 15-22'!G330,'Expenditures 15-22'!I330)</f>
        <v>275854</v>
      </c>
      <c r="F23" s="1822"/>
      <c r="G23" s="1824">
        <f>'Expenditures 15-22'!K53-SUM('Expenditures 15-22'!G53,'Expenditures 15-22'!I53)+'Expenditures 15-22'!D257+'Expenditures 15-22'!K330-SUM('Expenditures 15-22'!G330,'Expenditures 15-22'!I330)</f>
        <v>275854</v>
      </c>
      <c r="H23" s="988"/>
      <c r="I23" s="162"/>
    </row>
    <row r="24" spans="1:9" s="669" customFormat="1" ht="12" customHeight="1" x14ac:dyDescent="0.2">
      <c r="A24" s="995" t="s">
        <v>587</v>
      </c>
      <c r="B24" s="996"/>
      <c r="C24" s="994">
        <v>2400</v>
      </c>
      <c r="D24" s="1822"/>
      <c r="E24" s="1824">
        <f>'Expenditures 15-22'!K57-SUM('Expenditures 15-22'!G57,'Expenditures 15-22'!I57)+'Expenditures 15-22'!D261</f>
        <v>189930</v>
      </c>
      <c r="F24" s="1822"/>
      <c r="G24" s="1825">
        <f>'Expenditures 15-22'!K57-SUM('Expenditures 15-22'!G57,'Expenditures 15-22'!I57)+'Expenditures 15-22'!D261</f>
        <v>189930</v>
      </c>
      <c r="H24" s="988"/>
      <c r="I24" s="162"/>
    </row>
    <row r="25" spans="1:9" s="669" customFormat="1" ht="12" customHeight="1" x14ac:dyDescent="0.2">
      <c r="A25" s="991" t="s">
        <v>588</v>
      </c>
      <c r="B25" s="997"/>
      <c r="C25" s="994"/>
      <c r="D25" s="1822"/>
      <c r="E25" s="1824"/>
      <c r="F25" s="1822"/>
      <c r="G25" s="1825"/>
      <c r="H25" s="988"/>
      <c r="I25" s="162"/>
    </row>
    <row r="26" spans="1:9" s="669" customFormat="1" ht="12" customHeight="1" x14ac:dyDescent="0.2">
      <c r="A26" s="995" t="s">
        <v>536</v>
      </c>
      <c r="B26" s="998"/>
      <c r="C26" s="994">
        <v>2510</v>
      </c>
      <c r="D26" s="1824">
        <f>'Expenditures 15-22'!K59-SUM('Expenditures 15-22'!G59,'Expenditures 15-22'!I59)+'Expenditures 15-22'!D263-E7</f>
        <v>0</v>
      </c>
      <c r="E26" s="1824">
        <f>'Expenditures 15-22'!K122-SUM('Expenditures 15-22'!G122,'Expenditures 15-22'!I122)+E7</f>
        <v>0</v>
      </c>
      <c r="F26" s="1824">
        <f>'Expenditures 15-22'!K59-SUM('Expenditures 15-22'!G59,'Expenditures 15-22'!I59)+'Expenditures 15-22'!D263-E7</f>
        <v>0</v>
      </c>
      <c r="G26" s="1825">
        <f>'Expenditures 15-22'!K122-SUM('Expenditures 15-22'!G122,'Expenditures 15-22'!I122)+E7</f>
        <v>0</v>
      </c>
      <c r="H26" s="988"/>
      <c r="I26" s="162"/>
    </row>
    <row r="27" spans="1:9" s="669" customFormat="1" ht="12" customHeight="1" x14ac:dyDescent="0.2">
      <c r="A27" s="995" t="s">
        <v>483</v>
      </c>
      <c r="B27" s="998"/>
      <c r="C27" s="994">
        <v>2520</v>
      </c>
      <c r="D27" s="1824">
        <f>'Expenditures 15-22'!K60-SUM('Expenditures 15-22'!G60,'Expenditures 15-22'!I60)+'Expenditures 15-22'!D264-E8</f>
        <v>56777</v>
      </c>
      <c r="E27" s="1824">
        <f>E8</f>
        <v>0</v>
      </c>
      <c r="F27" s="1824">
        <f>'Expenditures 15-22'!K60-SUM('Expenditures 15-22'!G60,'Expenditures 15-22'!I60)+'Expenditures 15-22'!D264-E8</f>
        <v>56777</v>
      </c>
      <c r="G27" s="1825">
        <f>E8</f>
        <v>0</v>
      </c>
      <c r="H27" s="988"/>
      <c r="I27" s="162"/>
    </row>
    <row r="28" spans="1:9" s="669" customFormat="1" ht="12" customHeight="1" x14ac:dyDescent="0.2">
      <c r="A28" s="995" t="s">
        <v>537</v>
      </c>
      <c r="B28" s="998"/>
      <c r="C28" s="994">
        <v>2540</v>
      </c>
      <c r="D28" s="1826"/>
      <c r="E28" s="1824">
        <f>'Expenditures 15-22'!K61-SUM('Expenditures 15-22'!G61,'Expenditures 15-22'!I61)+'Expenditures 15-22'!K124-SUM('Expenditures 15-22'!G124,'Expenditures 15-22'!I124)+'Expenditures 15-22'!D266</f>
        <v>265959</v>
      </c>
      <c r="F28" s="1826">
        <f>'Expenditures 15-22'!K61-SUM('Expenditures 15-22'!G61,'Expenditures 15-22'!I61)+'Expenditures 15-22'!K124-SUM('Expenditures 15-22'!G124,'Expenditures 15-22'!I124)+'Expenditures 15-22'!D266-E9</f>
        <v>265959</v>
      </c>
      <c r="G28" s="1825">
        <f>E9</f>
        <v>0</v>
      </c>
      <c r="H28" s="988"/>
      <c r="I28" s="162"/>
    </row>
    <row r="29" spans="1:9" ht="12" customHeight="1" x14ac:dyDescent="0.2">
      <c r="A29" s="995" t="s">
        <v>538</v>
      </c>
      <c r="B29" s="998"/>
      <c r="C29" s="994">
        <v>2550</v>
      </c>
      <c r="D29" s="1822"/>
      <c r="E29" s="1824">
        <f>'Expenditures 15-22'!K62-SUM('Expenditures 15-22'!G62,'Expenditures 15-22'!I62)+'Expenditures 15-22'!K125-SUM('Expenditures 15-22'!G125,'Expenditures 15-22'!I125)+'Expenditures 15-22'!K182-SUM('Expenditures 15-22'!G182,'Expenditures 15-22'!I182)+'Expenditures 15-22'!D267</f>
        <v>190465</v>
      </c>
      <c r="F29" s="1822"/>
      <c r="G29" s="1825">
        <f>'Expenditures 15-22'!K62-SUM('Expenditures 15-22'!G62,'Expenditures 15-22'!I62)+'Expenditures 15-22'!K125-SUM('Expenditures 15-22'!G125,'Expenditures 15-22'!I125)+'Expenditures 15-22'!K182-SUM('Expenditures 15-22'!G182,'Expenditures 15-22'!I182)+'Expenditures 15-22'!D267</f>
        <v>190465</v>
      </c>
      <c r="H29" s="986"/>
    </row>
    <row r="30" spans="1:9" ht="12" customHeight="1" x14ac:dyDescent="0.2">
      <c r="A30" s="995" t="s">
        <v>102</v>
      </c>
      <c r="B30" s="998"/>
      <c r="C30" s="994">
        <v>2560</v>
      </c>
      <c r="D30" s="1822"/>
      <c r="E30" s="1824">
        <f>'Expenditures 15-22'!K63-SUM('Expenditures 15-22'!G63,'Expenditures 15-22'!I63)+'Expenditures 15-22'!D268-E10</f>
        <v>62324</v>
      </c>
      <c r="F30" s="1822"/>
      <c r="G30" s="1824">
        <f>'Expenditures 15-22'!K63-SUM('Expenditures 15-22'!G63,'Expenditures 15-22'!I63)+'Expenditures 15-22'!D268-E10</f>
        <v>62324</v>
      </c>
    </row>
    <row r="31" spans="1:9" ht="12" customHeight="1" x14ac:dyDescent="0.2">
      <c r="A31" s="995" t="s">
        <v>103</v>
      </c>
      <c r="B31" s="998"/>
      <c r="C31" s="994">
        <v>2570</v>
      </c>
      <c r="D31" s="1824">
        <f>'Expenditures 15-22'!K64-SUM('Expenditures 15-22'!G64,'Expenditures 15-22'!I64)+'Expenditures 15-22'!D269-E12</f>
        <v>0</v>
      </c>
      <c r="E31" s="1824">
        <f>E12</f>
        <v>0</v>
      </c>
      <c r="F31" s="1824">
        <f>'Expenditures 15-22'!K64-SUM('Expenditures 15-22'!G64,'Expenditures 15-22'!I64)+'Expenditures 15-22'!D269-E12</f>
        <v>0</v>
      </c>
      <c r="G31" s="1824">
        <f>E12</f>
        <v>0</v>
      </c>
    </row>
    <row r="32" spans="1:9" ht="12" customHeight="1" x14ac:dyDescent="0.2">
      <c r="A32" s="991" t="s">
        <v>539</v>
      </c>
      <c r="B32" s="997"/>
      <c r="C32" s="994"/>
      <c r="D32" s="1822"/>
      <c r="E32" s="1822"/>
      <c r="F32" s="1822"/>
      <c r="G32" s="1822"/>
    </row>
    <row r="33" spans="1:7" ht="12" customHeight="1" x14ac:dyDescent="0.2">
      <c r="A33" s="995" t="s">
        <v>540</v>
      </c>
      <c r="B33" s="998"/>
      <c r="C33" s="994">
        <v>2610</v>
      </c>
      <c r="D33" s="1822"/>
      <c r="E33" s="1824">
        <f>'Expenditures 15-22'!K67-SUM('Expenditures 15-22'!G67,'Expenditures 15-22'!I67)+'Expenditures 15-22'!D272</f>
        <v>0</v>
      </c>
      <c r="F33" s="1822"/>
      <c r="G33" s="1824">
        <f>'Expenditures 15-22'!K67-SUM('Expenditures 15-22'!G67,'Expenditures 15-22'!I67)+'Expenditures 15-22'!D272</f>
        <v>0</v>
      </c>
    </row>
    <row r="34" spans="1:7" ht="12" customHeight="1" x14ac:dyDescent="0.2">
      <c r="A34" s="995" t="s">
        <v>541</v>
      </c>
      <c r="B34" s="998"/>
      <c r="C34" s="994">
        <v>2620</v>
      </c>
      <c r="D34" s="1822"/>
      <c r="E34" s="1824">
        <f>'Expenditures 15-22'!K68-SUM('Expenditures 15-22'!G68,'Expenditures 15-22'!I68)+'Expenditures 15-22'!D273</f>
        <v>0</v>
      </c>
      <c r="F34" s="1822"/>
      <c r="G34" s="1824">
        <f>'Expenditures 15-22'!K68-SUM('Expenditures 15-22'!G68,'Expenditures 15-22'!I68)+'Expenditures 15-22'!D273</f>
        <v>0</v>
      </c>
    </row>
    <row r="35" spans="1:7" ht="12" customHeight="1" x14ac:dyDescent="0.2">
      <c r="A35" s="995" t="s">
        <v>1121</v>
      </c>
      <c r="B35" s="998"/>
      <c r="C35" s="994">
        <v>2630</v>
      </c>
      <c r="D35" s="1822"/>
      <c r="E35" s="1824">
        <f>'Expenditures 15-22'!K69-SUM('Expenditures 15-22'!G69,'Expenditures 15-22'!I69)+'Expenditures 15-22'!D274</f>
        <v>0</v>
      </c>
      <c r="F35" s="1822"/>
      <c r="G35" s="1824">
        <f>'Expenditures 15-22'!K69-SUM('Expenditures 15-22'!G69,'Expenditures 15-22'!I69)+'Expenditures 15-22'!D274</f>
        <v>0</v>
      </c>
    </row>
    <row r="36" spans="1:7" ht="12" customHeight="1" x14ac:dyDescent="0.2">
      <c r="A36" s="995" t="s">
        <v>423</v>
      </c>
      <c r="B36" s="998"/>
      <c r="C36" s="994">
        <v>2640</v>
      </c>
      <c r="D36" s="1824">
        <f>'Expenditures 15-22'!K70-SUM('Expenditures 15-22'!G70,'Expenditures 15-22'!I70)+'Expenditures 15-22'!D275-E13</f>
        <v>0</v>
      </c>
      <c r="E36" s="1824">
        <f>E13</f>
        <v>0</v>
      </c>
      <c r="F36" s="1824">
        <f>'Expenditures 15-22'!K70-SUM('Expenditures 15-22'!G70,'Expenditures 15-22'!I70)+'Expenditures 15-22'!D275-E13</f>
        <v>0</v>
      </c>
      <c r="G36" s="1824">
        <f>E13</f>
        <v>0</v>
      </c>
    </row>
    <row r="37" spans="1:7" ht="12" customHeight="1" x14ac:dyDescent="0.2">
      <c r="A37" s="995" t="s">
        <v>424</v>
      </c>
      <c r="B37" s="998"/>
      <c r="C37" s="994">
        <v>2660</v>
      </c>
      <c r="D37" s="1824">
        <f>'Expenditures 15-22'!K71-SUM('Expenditures 15-22'!G71,'Expenditures 15-22'!I71)+'Expenditures 15-22'!D276-E14</f>
        <v>0</v>
      </c>
      <c r="E37" s="1824">
        <f>E14</f>
        <v>0</v>
      </c>
      <c r="F37" s="1824">
        <f>'Expenditures 15-22'!K71-SUM('Expenditures 15-22'!G71,'Expenditures 15-22'!I71)+'Expenditures 15-22'!D276-E14</f>
        <v>0</v>
      </c>
      <c r="G37" s="1824">
        <f>E14</f>
        <v>0</v>
      </c>
    </row>
    <row r="38" spans="1:7" ht="12" customHeight="1" x14ac:dyDescent="0.2">
      <c r="A38" s="991" t="s">
        <v>542</v>
      </c>
      <c r="B38" s="992"/>
      <c r="C38" s="994">
        <v>2900</v>
      </c>
      <c r="D38" s="1822"/>
      <c r="E38" s="1824">
        <f>'Expenditures 15-22'!K73-SUM('Expenditures 15-22'!G73,'Expenditures 15-22'!I73)+'Expenditures 15-22'!K128-SUM('Expenditures 15-22'!G128,'Expenditures 15-22'!I128)+'Expenditures 15-22'!K183-SUM('Expenditures 15-22'!G183,'Expenditures 15-22'!I183)+'Expenditures 15-22'!D278</f>
        <v>0</v>
      </c>
      <c r="F38" s="1822"/>
      <c r="G38" s="182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2"/>
      <c r="E39" s="1824">
        <f>'Expenditures 15-22'!K75-SUM('Expenditures 15-22'!G75,'Expenditures 15-22'!I75)+'Expenditures 15-22'!K130-SUM('Expenditures 15-22'!G130,'Expenditures 15-22'!I130)+'Expenditures 15-22'!K185-SUM('Expenditures 15-22'!G185,'Expenditures 15-22'!I185)+'Expenditures 15-22'!D280</f>
        <v>29022</v>
      </c>
      <c r="F39" s="1822"/>
      <c r="G39" s="1824">
        <f>'Expenditures 15-22'!K75-SUM('Expenditures 15-22'!G75,'Expenditures 15-22'!I75)+'Expenditures 15-22'!K130-SUM('Expenditures 15-22'!G130,'Expenditures 15-22'!I130)+'Expenditures 15-22'!K185-SUM('Expenditures 15-22'!G185,'Expenditures 15-22'!I185)+'Expenditures 15-22'!D280</f>
        <v>29022</v>
      </c>
    </row>
    <row r="40" spans="1:7" ht="12" customHeight="1" x14ac:dyDescent="0.2">
      <c r="A40" s="991" t="s">
        <v>1930</v>
      </c>
      <c r="B40" s="992"/>
      <c r="C40" s="994"/>
      <c r="D40" s="1822"/>
      <c r="E40" s="1826">
        <f>-'Contracts Paid in CY 29'!G141</f>
        <v>0</v>
      </c>
      <c r="F40" s="1822"/>
      <c r="G40" s="1826">
        <f>-'Contracts Paid in CY 29'!G141</f>
        <v>0</v>
      </c>
    </row>
    <row r="41" spans="1:7" ht="12" customHeight="1" x14ac:dyDescent="0.2">
      <c r="A41" s="999" t="s">
        <v>158</v>
      </c>
      <c r="B41" s="1000"/>
      <c r="C41" s="1001"/>
      <c r="D41" s="1826">
        <f>SUM(D19:D39)</f>
        <v>56777</v>
      </c>
      <c r="E41" s="1826">
        <f>SUM(E19:E40)</f>
        <v>2707414</v>
      </c>
      <c r="F41" s="1826">
        <f>SUM(F19:F39)</f>
        <v>322736</v>
      </c>
      <c r="G41" s="1826">
        <f>SUM(G19:G40)</f>
        <v>2441455</v>
      </c>
    </row>
    <row r="42" spans="1:7" x14ac:dyDescent="0.2">
      <c r="A42" s="988"/>
      <c r="B42" s="162"/>
      <c r="C42" s="1002"/>
      <c r="D42" s="2353" t="s">
        <v>543</v>
      </c>
      <c r="E42" s="2354"/>
      <c r="F42" s="1003" t="s">
        <v>544</v>
      </c>
      <c r="G42" s="1004"/>
    </row>
    <row r="43" spans="1:7" ht="12" customHeight="1" x14ac:dyDescent="0.2">
      <c r="A43" s="988"/>
      <c r="B43" s="162"/>
      <c r="C43" s="1002"/>
      <c r="D43" s="1827" t="s">
        <v>493</v>
      </c>
      <c r="E43" s="1828">
        <f>D41</f>
        <v>56777</v>
      </c>
      <c r="F43" s="1827" t="s">
        <v>495</v>
      </c>
      <c r="G43" s="1828">
        <f>F41</f>
        <v>322736</v>
      </c>
    </row>
    <row r="44" spans="1:7" ht="12" customHeight="1" x14ac:dyDescent="0.2">
      <c r="A44" s="988"/>
      <c r="B44" s="162"/>
      <c r="C44" s="1002"/>
      <c r="D44" s="1827" t="s">
        <v>494</v>
      </c>
      <c r="E44" s="1828">
        <f>E41</f>
        <v>2707414</v>
      </c>
      <c r="F44" s="1827" t="s">
        <v>494</v>
      </c>
      <c r="G44" s="1828">
        <f>G41</f>
        <v>2441455</v>
      </c>
    </row>
    <row r="45" spans="1:7" ht="12" customHeight="1" x14ac:dyDescent="0.2">
      <c r="A45" s="988"/>
      <c r="B45" s="162"/>
      <c r="C45" s="162"/>
      <c r="D45" s="1829" t="s">
        <v>1063</v>
      </c>
      <c r="E45" s="1830">
        <f>(E43/E44)</f>
        <v>2.0970933887466046E-2</v>
      </c>
      <c r="F45" s="1829" t="s">
        <v>1063</v>
      </c>
      <c r="G45" s="1830">
        <f>(G43/G44)</f>
        <v>0.13219002602956023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orizontalCentered="1" headings="1"/>
  <pageMargins left="0.5" right="0.5" top="1.4" bottom="0.75" header="1" footer="0.5"/>
  <pageSetup scale="75" firstPageNumber="30" orientation="landscape" useFirstPageNumber="1" r:id="rId1"/>
  <headerFooter alignWithMargins="0">
    <oddHeader>&amp;L&amp;8Page &amp;P&amp;C&amp;"Arial,Bold"
ESTIMATED INDIRECT COST DATA&amp;R&amp;8Page &amp;P</oddHeader>
    <oddFooter>&amp;L&amp;8Print Date:  &amp;D
&amp;F&amp;CReference should be made to accountant's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E20" sqref="E20"/>
    </sheetView>
  </sheetViews>
  <sheetFormatPr defaultColWidth="9.140625" defaultRowHeight="12.75" x14ac:dyDescent="0.2"/>
  <cols>
    <col min="1" max="1" width="54.5703125" style="1898" customWidth="1"/>
    <col min="2" max="2" width="4.140625" style="1898" customWidth="1"/>
    <col min="3" max="4" width="9.85546875" style="1869" customWidth="1"/>
    <col min="5" max="5" width="12.5703125" style="1899" customWidth="1"/>
    <col min="6" max="6" width="67.5703125" style="1869" customWidth="1"/>
    <col min="7" max="7" width="9.140625" style="1869" customWidth="1"/>
    <col min="8" max="8" width="5.5703125" style="1900" bestFit="1" customWidth="1"/>
    <col min="9" max="10" width="2" style="1900" bestFit="1" customWidth="1"/>
    <col min="11" max="11" width="9" style="1900" customWidth="1"/>
    <col min="12" max="16384" width="9.140625" style="1869"/>
  </cols>
  <sheetData>
    <row r="1" spans="1:10" x14ac:dyDescent="0.2">
      <c r="A1" s="2361" t="s">
        <v>1446</v>
      </c>
      <c r="B1" s="2361"/>
      <c r="C1" s="2361"/>
      <c r="D1" s="2361"/>
      <c r="E1" s="2361"/>
      <c r="F1" s="2361"/>
    </row>
    <row r="2" spans="1:10" x14ac:dyDescent="0.2">
      <c r="A2" s="1909" t="s">
        <v>2046</v>
      </c>
      <c r="B2" s="1870"/>
      <c r="C2" s="1909"/>
      <c r="D2" s="1870"/>
      <c r="E2" s="1870"/>
      <c r="F2" s="1871"/>
    </row>
    <row r="3" spans="1:10" x14ac:dyDescent="0.2">
      <c r="A3" s="1909" t="s">
        <v>1700</v>
      </c>
      <c r="B3" s="1870"/>
      <c r="C3" s="1909"/>
      <c r="D3" s="1870"/>
      <c r="E3" s="1870"/>
      <c r="F3" s="1871"/>
    </row>
    <row r="4" spans="1:10" ht="3.75" customHeight="1" x14ac:dyDescent="0.2">
      <c r="A4" s="1870"/>
      <c r="B4" s="1870"/>
      <c r="C4" s="1870"/>
      <c r="D4" s="1870"/>
      <c r="E4" s="1870"/>
      <c r="F4" s="1871"/>
    </row>
    <row r="5" spans="1:10" ht="15" x14ac:dyDescent="0.25">
      <c r="A5" s="2362" t="s">
        <v>1627</v>
      </c>
      <c r="B5" s="2363"/>
      <c r="C5" s="2364"/>
      <c r="D5" s="2364"/>
      <c r="E5" s="2364"/>
      <c r="F5" s="2364"/>
    </row>
    <row r="6" spans="1:10" ht="12" customHeight="1" x14ac:dyDescent="0.25">
      <c r="A6" s="1872"/>
      <c r="B6" s="1873"/>
      <c r="C6" s="2365" t="str">
        <f>COVER!A17</f>
        <v>Morrisonville CUSD 1</v>
      </c>
      <c r="D6" s="2365"/>
      <c r="E6" s="2365"/>
      <c r="F6" s="1874"/>
    </row>
    <row r="7" spans="1:10" ht="11.25" customHeight="1" thickBot="1" x14ac:dyDescent="0.3">
      <c r="A7" s="1872"/>
      <c r="B7" s="1873"/>
      <c r="C7" s="2366">
        <f>COVER!A13</f>
        <v>3011001026</v>
      </c>
      <c r="D7" s="2366"/>
      <c r="E7" s="2366"/>
      <c r="F7" s="1874"/>
    </row>
    <row r="8" spans="1:10" ht="25.5" customHeight="1" thickBot="1" x14ac:dyDescent="0.25">
      <c r="A8" s="1915" t="s">
        <v>2023</v>
      </c>
      <c r="B8" s="1875"/>
      <c r="C8" s="1911" t="s">
        <v>1780</v>
      </c>
      <c r="D8" s="1910" t="s">
        <v>1781</v>
      </c>
      <c r="E8" s="1912" t="s">
        <v>1447</v>
      </c>
      <c r="F8" s="1910" t="s">
        <v>1782</v>
      </c>
      <c r="H8" s="1876" t="b">
        <v>0</v>
      </c>
    </row>
    <row r="9" spans="1:10" ht="15.75" customHeight="1" x14ac:dyDescent="0.2">
      <c r="A9" s="1877" t="s">
        <v>1623</v>
      </c>
      <c r="B9" s="1878"/>
      <c r="C9" s="1879"/>
      <c r="D9" s="1879"/>
      <c r="E9" s="1880"/>
      <c r="F9" s="1881"/>
    </row>
    <row r="10" spans="1:10" ht="27.75" customHeight="1" x14ac:dyDescent="0.2">
      <c r="A10" s="1882" t="s">
        <v>1779</v>
      </c>
      <c r="B10" s="1883"/>
      <c r="C10" s="1884"/>
      <c r="D10" s="1884"/>
      <c r="E10" s="1913" t="s">
        <v>1448</v>
      </c>
      <c r="F10" s="1914" t="s">
        <v>1449</v>
      </c>
    </row>
    <row r="11" spans="1:10" ht="12" customHeight="1" x14ac:dyDescent="0.2">
      <c r="A11" s="1885" t="s">
        <v>1450</v>
      </c>
      <c r="B11" s="1886"/>
      <c r="C11" s="1887"/>
      <c r="D11" s="1887"/>
      <c r="E11" s="1888"/>
      <c r="F11" s="1889"/>
      <c r="H11" s="1900">
        <f>IF(C11="X",5,0)</f>
        <v>0</v>
      </c>
      <c r="I11" s="1900">
        <f>IF(D11="X",5,0)</f>
        <v>0</v>
      </c>
      <c r="J11" s="1900">
        <f>IF(E11="X",5,0)</f>
        <v>0</v>
      </c>
    </row>
    <row r="12" spans="1:10" ht="12" customHeight="1" x14ac:dyDescent="0.2">
      <c r="A12" s="1885" t="s">
        <v>1451</v>
      </c>
      <c r="B12" s="1886"/>
      <c r="C12" s="1887"/>
      <c r="D12" s="1887"/>
      <c r="E12" s="1890"/>
      <c r="F12" s="1889"/>
      <c r="H12" s="1900">
        <f t="shared" ref="H12:H33" si="0">IF(C12="X",5,0)</f>
        <v>0</v>
      </c>
      <c r="I12" s="1900">
        <f t="shared" ref="I12:I33" si="1">IF(D12="X",5,0)</f>
        <v>0</v>
      </c>
      <c r="J12" s="1900">
        <f t="shared" ref="J12:J33" si="2">IF(E12="X",5,0)</f>
        <v>0</v>
      </c>
    </row>
    <row r="13" spans="1:10" ht="12" customHeight="1" x14ac:dyDescent="0.2">
      <c r="A13" s="1885" t="s">
        <v>1452</v>
      </c>
      <c r="B13" s="1886"/>
      <c r="C13" s="1887" t="s">
        <v>2077</v>
      </c>
      <c r="D13" s="1887"/>
      <c r="E13" s="1890"/>
      <c r="F13" s="1889" t="s">
        <v>2198</v>
      </c>
      <c r="H13" s="1900">
        <f t="shared" si="0"/>
        <v>5</v>
      </c>
      <c r="I13" s="1900">
        <f t="shared" si="1"/>
        <v>0</v>
      </c>
      <c r="J13" s="1900">
        <f t="shared" si="2"/>
        <v>0</v>
      </c>
    </row>
    <row r="14" spans="1:10" ht="12" customHeight="1" x14ac:dyDescent="0.2">
      <c r="A14" s="1885" t="s">
        <v>1453</v>
      </c>
      <c r="B14" s="1886"/>
      <c r="C14" s="1887"/>
      <c r="D14" s="1887"/>
      <c r="E14" s="1890"/>
      <c r="F14" s="1889"/>
      <c r="H14" s="1900">
        <f t="shared" si="0"/>
        <v>0</v>
      </c>
      <c r="I14" s="1900">
        <f t="shared" si="1"/>
        <v>0</v>
      </c>
      <c r="J14" s="1900">
        <f t="shared" si="2"/>
        <v>0</v>
      </c>
    </row>
    <row r="15" spans="1:10" ht="12" customHeight="1" x14ac:dyDescent="0.2">
      <c r="A15" s="1885" t="s">
        <v>1454</v>
      </c>
      <c r="B15" s="1886"/>
      <c r="C15" s="1887"/>
      <c r="D15" s="1887"/>
      <c r="E15" s="1890"/>
      <c r="F15" s="1889"/>
      <c r="H15" s="1900">
        <f t="shared" si="0"/>
        <v>0</v>
      </c>
      <c r="I15" s="1900">
        <f t="shared" si="1"/>
        <v>0</v>
      </c>
      <c r="J15" s="1900">
        <f t="shared" si="2"/>
        <v>0</v>
      </c>
    </row>
    <row r="16" spans="1:10" ht="12" customHeight="1" x14ac:dyDescent="0.2">
      <c r="A16" s="1885" t="s">
        <v>1455</v>
      </c>
      <c r="B16" s="1886"/>
      <c r="C16" s="1887"/>
      <c r="D16" s="1887"/>
      <c r="E16" s="1890"/>
      <c r="F16" s="1889"/>
      <c r="H16" s="1900">
        <f t="shared" si="0"/>
        <v>0</v>
      </c>
      <c r="I16" s="1900">
        <f t="shared" si="1"/>
        <v>0</v>
      </c>
      <c r="J16" s="1900">
        <f t="shared" si="2"/>
        <v>0</v>
      </c>
    </row>
    <row r="17" spans="1:12" ht="12" customHeight="1" x14ac:dyDescent="0.2">
      <c r="A17" s="1885" t="s">
        <v>1456</v>
      </c>
      <c r="B17" s="1886"/>
      <c r="C17" s="1887"/>
      <c r="D17" s="1887"/>
      <c r="E17" s="1890"/>
      <c r="F17" s="1889"/>
      <c r="H17" s="1900">
        <f t="shared" si="0"/>
        <v>0</v>
      </c>
      <c r="I17" s="1900">
        <f t="shared" si="1"/>
        <v>0</v>
      </c>
      <c r="J17" s="1900">
        <f t="shared" si="2"/>
        <v>0</v>
      </c>
    </row>
    <row r="18" spans="1:12" ht="12" customHeight="1" x14ac:dyDescent="0.2">
      <c r="A18" s="1885" t="s">
        <v>1457</v>
      </c>
      <c r="B18" s="1886"/>
      <c r="C18" s="1887"/>
      <c r="D18" s="1887"/>
      <c r="E18" s="1890"/>
      <c r="F18" s="1889"/>
      <c r="H18" s="1900">
        <f t="shared" si="0"/>
        <v>0</v>
      </c>
      <c r="I18" s="1900">
        <f t="shared" si="1"/>
        <v>0</v>
      </c>
      <c r="J18" s="1900">
        <f t="shared" si="2"/>
        <v>0</v>
      </c>
    </row>
    <row r="19" spans="1:12" ht="12" customHeight="1" x14ac:dyDescent="0.2">
      <c r="A19" s="1885" t="s">
        <v>1608</v>
      </c>
      <c r="B19" s="1886"/>
      <c r="C19" s="1887"/>
      <c r="D19" s="1887"/>
      <c r="E19" s="1890"/>
      <c r="F19" s="1889"/>
      <c r="H19" s="1900">
        <f t="shared" si="0"/>
        <v>0</v>
      </c>
      <c r="I19" s="1900">
        <f t="shared" si="1"/>
        <v>0</v>
      </c>
      <c r="J19" s="1900">
        <f t="shared" si="2"/>
        <v>0</v>
      </c>
    </row>
    <row r="20" spans="1:12" ht="12" customHeight="1" x14ac:dyDescent="0.2">
      <c r="A20" s="1885" t="s">
        <v>1609</v>
      </c>
      <c r="B20" s="1886"/>
      <c r="C20" s="1887"/>
      <c r="D20" s="1887"/>
      <c r="E20" s="1890"/>
      <c r="F20" s="1889"/>
      <c r="H20" s="1900">
        <f t="shared" si="0"/>
        <v>0</v>
      </c>
      <c r="I20" s="1900">
        <f t="shared" si="1"/>
        <v>0</v>
      </c>
      <c r="J20" s="1900">
        <f t="shared" si="2"/>
        <v>0</v>
      </c>
    </row>
    <row r="21" spans="1:12" ht="12" customHeight="1" x14ac:dyDescent="0.2">
      <c r="A21" s="1885" t="s">
        <v>1610</v>
      </c>
      <c r="B21" s="1886"/>
      <c r="C21" s="1887"/>
      <c r="D21" s="1887"/>
      <c r="E21" s="1890"/>
      <c r="F21" s="1889"/>
      <c r="H21" s="1900">
        <f t="shared" si="0"/>
        <v>0</v>
      </c>
      <c r="I21" s="1900">
        <f t="shared" si="1"/>
        <v>0</v>
      </c>
      <c r="J21" s="1900">
        <f t="shared" si="2"/>
        <v>0</v>
      </c>
    </row>
    <row r="22" spans="1:12" ht="12" customHeight="1" x14ac:dyDescent="0.2">
      <c r="A22" s="1885" t="s">
        <v>1611</v>
      </c>
      <c r="B22" s="1886"/>
      <c r="C22" s="1887"/>
      <c r="D22" s="1887"/>
      <c r="E22" s="1890"/>
      <c r="F22" s="1889"/>
      <c r="H22" s="1900">
        <f t="shared" si="0"/>
        <v>0</v>
      </c>
      <c r="I22" s="1900">
        <f t="shared" si="1"/>
        <v>0</v>
      </c>
      <c r="J22" s="1900">
        <f t="shared" si="2"/>
        <v>0</v>
      </c>
    </row>
    <row r="23" spans="1:12" ht="12" customHeight="1" x14ac:dyDescent="0.2">
      <c r="A23" s="1885" t="s">
        <v>1612</v>
      </c>
      <c r="B23" s="1886"/>
      <c r="C23" s="1887"/>
      <c r="D23" s="1887"/>
      <c r="E23" s="1890"/>
      <c r="F23" s="1889"/>
      <c r="H23" s="1900">
        <f t="shared" si="0"/>
        <v>0</v>
      </c>
      <c r="I23" s="1900">
        <f t="shared" si="1"/>
        <v>0</v>
      </c>
      <c r="J23" s="1900">
        <f t="shared" si="2"/>
        <v>0</v>
      </c>
    </row>
    <row r="24" spans="1:12" ht="12" customHeight="1" x14ac:dyDescent="0.2">
      <c r="A24" s="1885" t="s">
        <v>1613</v>
      </c>
      <c r="B24" s="1886"/>
      <c r="C24" s="1887"/>
      <c r="D24" s="1887"/>
      <c r="E24" s="1890"/>
      <c r="F24" s="1889"/>
      <c r="H24" s="1900">
        <f t="shared" si="0"/>
        <v>0</v>
      </c>
      <c r="I24" s="1900">
        <f t="shared" si="1"/>
        <v>0</v>
      </c>
      <c r="J24" s="1900">
        <f t="shared" si="2"/>
        <v>0</v>
      </c>
    </row>
    <row r="25" spans="1:12" ht="12" customHeight="1" x14ac:dyDescent="0.2">
      <c r="A25" s="1885" t="s">
        <v>1614</v>
      </c>
      <c r="B25" s="1886"/>
      <c r="C25" s="1887"/>
      <c r="D25" s="1887"/>
      <c r="E25" s="1890"/>
      <c r="F25" s="1889"/>
      <c r="H25" s="1900">
        <f t="shared" si="0"/>
        <v>0</v>
      </c>
      <c r="I25" s="1900">
        <f t="shared" si="1"/>
        <v>0</v>
      </c>
      <c r="J25" s="1900">
        <f t="shared" si="2"/>
        <v>0</v>
      </c>
    </row>
    <row r="26" spans="1:12" ht="12" customHeight="1" x14ac:dyDescent="0.2">
      <c r="A26" s="1885" t="s">
        <v>1615</v>
      </c>
      <c r="B26" s="1886"/>
      <c r="C26" s="1887" t="s">
        <v>2077</v>
      </c>
      <c r="D26" s="1887" t="s">
        <v>2077</v>
      </c>
      <c r="E26" s="1890" t="s">
        <v>2077</v>
      </c>
      <c r="F26" s="1889" t="s">
        <v>2199</v>
      </c>
      <c r="H26" s="1900">
        <f t="shared" si="0"/>
        <v>5</v>
      </c>
      <c r="I26" s="1900">
        <f t="shared" si="1"/>
        <v>5</v>
      </c>
      <c r="J26" s="1900">
        <f t="shared" si="2"/>
        <v>5</v>
      </c>
    </row>
    <row r="27" spans="1:12" ht="18.75" x14ac:dyDescent="0.2">
      <c r="A27" s="1885" t="s">
        <v>1616</v>
      </c>
      <c r="B27" s="1886"/>
      <c r="C27" s="1887"/>
      <c r="D27" s="1887"/>
      <c r="E27" s="1890"/>
      <c r="F27" s="1889"/>
      <c r="H27" s="1900">
        <f t="shared" si="0"/>
        <v>0</v>
      </c>
      <c r="I27" s="1900">
        <f t="shared" si="1"/>
        <v>0</v>
      </c>
      <c r="J27" s="1900">
        <f t="shared" si="2"/>
        <v>0</v>
      </c>
    </row>
    <row r="28" spans="1:12" ht="12" customHeight="1" x14ac:dyDescent="0.2">
      <c r="A28" s="1885" t="s">
        <v>1617</v>
      </c>
      <c r="B28" s="1886"/>
      <c r="C28" s="1887"/>
      <c r="D28" s="1887"/>
      <c r="E28" s="1890"/>
      <c r="F28" s="1889"/>
      <c r="H28" s="1900">
        <f t="shared" si="0"/>
        <v>0</v>
      </c>
      <c r="I28" s="1900">
        <f t="shared" si="1"/>
        <v>0</v>
      </c>
      <c r="J28" s="1900">
        <f t="shared" si="2"/>
        <v>0</v>
      </c>
    </row>
    <row r="29" spans="1:12" ht="12" customHeight="1" x14ac:dyDescent="0.2">
      <c r="A29" s="1885" t="s">
        <v>1618</v>
      </c>
      <c r="B29" s="1886"/>
      <c r="C29" s="1887"/>
      <c r="D29" s="1887"/>
      <c r="E29" s="1890"/>
      <c r="F29" s="1889"/>
      <c r="H29" s="1900">
        <f t="shared" si="0"/>
        <v>0</v>
      </c>
      <c r="I29" s="1900">
        <f t="shared" si="1"/>
        <v>0</v>
      </c>
      <c r="J29" s="1900">
        <f t="shared" si="2"/>
        <v>0</v>
      </c>
    </row>
    <row r="30" spans="1:12" ht="12" customHeight="1" x14ac:dyDescent="0.2">
      <c r="A30" s="1885" t="s">
        <v>1619</v>
      </c>
      <c r="B30" s="1886"/>
      <c r="C30" s="1887"/>
      <c r="D30" s="1887"/>
      <c r="E30" s="1890"/>
      <c r="F30" s="1889"/>
      <c r="H30" s="1900">
        <f t="shared" si="0"/>
        <v>0</v>
      </c>
      <c r="I30" s="1900">
        <f t="shared" si="1"/>
        <v>0</v>
      </c>
      <c r="J30" s="1900">
        <f t="shared" si="2"/>
        <v>0</v>
      </c>
    </row>
    <row r="31" spans="1:12" ht="12" customHeight="1" x14ac:dyDescent="0.2">
      <c r="A31" s="1885" t="s">
        <v>1620</v>
      </c>
      <c r="B31" s="1886"/>
      <c r="C31" s="1887"/>
      <c r="D31" s="1887"/>
      <c r="E31" s="1890"/>
      <c r="F31" s="1889"/>
      <c r="H31" s="1900">
        <f t="shared" si="0"/>
        <v>0</v>
      </c>
      <c r="I31" s="1900">
        <f t="shared" si="1"/>
        <v>0</v>
      </c>
      <c r="J31" s="1900">
        <f t="shared" si="2"/>
        <v>0</v>
      </c>
      <c r="L31" s="1891"/>
    </row>
    <row r="32" spans="1:12" ht="12" customHeight="1" x14ac:dyDescent="0.2">
      <c r="A32" s="1885" t="s">
        <v>1621</v>
      </c>
      <c r="B32" s="1886"/>
      <c r="C32" s="1887"/>
      <c r="D32" s="1887"/>
      <c r="E32" s="1890"/>
      <c r="F32" s="1889"/>
      <c r="H32" s="1900">
        <f t="shared" si="0"/>
        <v>0</v>
      </c>
      <c r="I32" s="1900">
        <f t="shared" si="1"/>
        <v>0</v>
      </c>
      <c r="J32" s="1900">
        <f t="shared" si="2"/>
        <v>0</v>
      </c>
    </row>
    <row r="33" spans="1:11" ht="12" customHeight="1" x14ac:dyDescent="0.2">
      <c r="A33" s="1885" t="s">
        <v>1622</v>
      </c>
      <c r="B33" s="1886"/>
      <c r="C33" s="1887" t="s">
        <v>2077</v>
      </c>
      <c r="D33" s="1887" t="s">
        <v>2077</v>
      </c>
      <c r="E33" s="1890" t="s">
        <v>2077</v>
      </c>
      <c r="F33" s="1889" t="s">
        <v>2200</v>
      </c>
      <c r="H33" s="1900">
        <f t="shared" si="0"/>
        <v>5</v>
      </c>
      <c r="I33" s="1900">
        <f t="shared" si="1"/>
        <v>5</v>
      </c>
      <c r="J33" s="1900">
        <f t="shared" si="2"/>
        <v>5</v>
      </c>
    </row>
    <row r="34" spans="1:11" ht="12" customHeight="1" x14ac:dyDescent="0.25">
      <c r="A34" s="1892"/>
      <c r="B34" s="1892"/>
      <c r="C34" s="1892"/>
      <c r="D34" s="1892"/>
      <c r="E34" s="1892"/>
      <c r="F34" s="1892"/>
      <c r="H34" s="1900">
        <f>SUM(H11:H32)</f>
        <v>10</v>
      </c>
      <c r="I34" s="1900">
        <f>SUM(I11:I32)</f>
        <v>5</v>
      </c>
      <c r="J34" s="1900">
        <f>SUM(J11:J32)</f>
        <v>5</v>
      </c>
      <c r="K34" s="1900">
        <f>SUM(H34:J34)</f>
        <v>20</v>
      </c>
    </row>
    <row r="35" spans="1:11" ht="12" customHeight="1" x14ac:dyDescent="0.2">
      <c r="A35" s="1893" t="s">
        <v>1459</v>
      </c>
      <c r="B35" s="1894"/>
      <c r="C35" s="2367"/>
      <c r="D35" s="2367"/>
      <c r="E35" s="2367"/>
      <c r="F35" s="2368"/>
    </row>
    <row r="36" spans="1:11" ht="12" customHeight="1" x14ac:dyDescent="0.2">
      <c r="A36" s="2358"/>
      <c r="B36" s="2359"/>
      <c r="C36" s="2359"/>
      <c r="D36" s="2359"/>
      <c r="E36" s="2359"/>
      <c r="F36" s="2360"/>
    </row>
    <row r="37" spans="1:11" ht="12" customHeight="1" x14ac:dyDescent="0.2">
      <c r="A37" s="2358"/>
      <c r="B37" s="2359"/>
      <c r="C37" s="2359"/>
      <c r="D37" s="2359"/>
      <c r="E37" s="2359"/>
      <c r="F37" s="2360"/>
    </row>
    <row r="38" spans="1:11" ht="12" customHeight="1" x14ac:dyDescent="0.2">
      <c r="A38" s="2372"/>
      <c r="B38" s="2373"/>
      <c r="C38" s="2373"/>
      <c r="D38" s="2373"/>
      <c r="E38" s="2373"/>
      <c r="F38" s="2374"/>
    </row>
    <row r="39" spans="1:11" ht="4.5" hidden="1" customHeight="1" x14ac:dyDescent="0.2">
      <c r="A39" s="1895"/>
      <c r="B39" s="1895"/>
      <c r="C39" s="1895"/>
      <c r="D39" s="1895"/>
      <c r="E39" s="1895"/>
      <c r="F39" s="1895"/>
    </row>
    <row r="40" spans="1:11" s="1892" customFormat="1" ht="12" customHeight="1" x14ac:dyDescent="0.25">
      <c r="A40" s="1896" t="s">
        <v>1458</v>
      </c>
      <c r="B40" s="1897"/>
      <c r="C40" s="2375"/>
      <c r="D40" s="2375"/>
      <c r="E40" s="2375"/>
      <c r="F40" s="2376"/>
      <c r="H40" s="1901"/>
      <c r="I40" s="1901"/>
      <c r="J40" s="1901"/>
      <c r="K40" s="1901"/>
    </row>
    <row r="41" spans="1:11" s="1892" customFormat="1" ht="12" customHeight="1" x14ac:dyDescent="0.25">
      <c r="A41" s="2377"/>
      <c r="B41" s="2378"/>
      <c r="C41" s="2378"/>
      <c r="D41" s="2378"/>
      <c r="E41" s="2378"/>
      <c r="F41" s="2379"/>
      <c r="H41" s="1901"/>
      <c r="I41" s="1901"/>
      <c r="J41" s="1901"/>
      <c r="K41" s="1901"/>
    </row>
    <row r="42" spans="1:11" s="1892" customFormat="1" ht="12" customHeight="1" x14ac:dyDescent="0.25">
      <c r="A42" s="2377"/>
      <c r="B42" s="2378"/>
      <c r="C42" s="2378"/>
      <c r="D42" s="2378"/>
      <c r="E42" s="2378"/>
      <c r="F42" s="2379"/>
      <c r="H42" s="1901"/>
      <c r="I42" s="1901"/>
      <c r="J42" s="1901"/>
      <c r="K42" s="1901"/>
    </row>
    <row r="43" spans="1:11" s="1892" customFormat="1" ht="15" x14ac:dyDescent="0.25">
      <c r="A43" s="2369"/>
      <c r="B43" s="2370"/>
      <c r="C43" s="2370"/>
      <c r="D43" s="2370"/>
      <c r="E43" s="2370"/>
      <c r="F43" s="2371"/>
      <c r="H43" s="1901"/>
      <c r="I43" s="1901"/>
      <c r="J43" s="1901"/>
      <c r="K43" s="1901"/>
    </row>
    <row r="44" spans="1:11" s="1892" customFormat="1" ht="12" hidden="1" customHeight="1" x14ac:dyDescent="0.25">
      <c r="A44" s="2369"/>
      <c r="B44" s="2370"/>
      <c r="C44" s="2370"/>
      <c r="D44" s="2370"/>
      <c r="E44" s="2370"/>
      <c r="F44" s="2371"/>
      <c r="H44" s="1901"/>
      <c r="I44" s="1901"/>
      <c r="J44" s="1901"/>
      <c r="K44" s="1901"/>
    </row>
    <row r="45" spans="1:11" s="1892" customFormat="1" ht="12" customHeight="1" x14ac:dyDescent="0.25">
      <c r="H45" s="1901"/>
      <c r="I45" s="1901"/>
      <c r="J45" s="1901"/>
      <c r="K45" s="1901"/>
    </row>
    <row r="46" spans="1:11" s="1892" customFormat="1" ht="9.75" customHeight="1" x14ac:dyDescent="0.25">
      <c r="H46" s="1901"/>
      <c r="I46" s="1901"/>
      <c r="J46" s="1901"/>
      <c r="K46" s="1901"/>
    </row>
    <row r="47" spans="1:11" s="1892" customFormat="1" ht="13.5" customHeight="1" x14ac:dyDescent="0.25">
      <c r="H47" s="1901"/>
      <c r="I47" s="1901"/>
      <c r="J47" s="1901"/>
      <c r="K47" s="1901"/>
    </row>
    <row r="48" spans="1:11" s="1892" customFormat="1" ht="15" x14ac:dyDescent="0.25">
      <c r="H48" s="1901"/>
      <c r="I48" s="1901"/>
      <c r="J48" s="1901"/>
      <c r="K48" s="1901"/>
    </row>
    <row r="49" spans="1:11" s="1892" customFormat="1" ht="15" hidden="1" x14ac:dyDescent="0.25">
      <c r="A49" s="1892" t="b">
        <v>0</v>
      </c>
      <c r="H49" s="1901"/>
      <c r="I49" s="1901"/>
      <c r="J49" s="1901"/>
      <c r="K49" s="1901"/>
    </row>
    <row r="50" spans="1:11" s="1892" customFormat="1" ht="15" x14ac:dyDescent="0.25">
      <c r="H50" s="1901"/>
      <c r="I50" s="1901"/>
      <c r="J50" s="1901"/>
      <c r="K50" s="1901"/>
    </row>
    <row r="51" spans="1:11" s="1892" customFormat="1" ht="15" x14ac:dyDescent="0.25">
      <c r="H51" s="1901"/>
      <c r="I51" s="1901"/>
      <c r="J51" s="1901"/>
      <c r="K51" s="1901"/>
    </row>
    <row r="52" spans="1:11" s="1892" customFormat="1" ht="15" x14ac:dyDescent="0.25">
      <c r="H52" s="1901"/>
      <c r="I52" s="1901"/>
      <c r="J52" s="1901"/>
      <c r="K52" s="1901"/>
    </row>
    <row r="53" spans="1:11" s="1892" customFormat="1" ht="15" x14ac:dyDescent="0.25">
      <c r="H53" s="1901"/>
      <c r="I53" s="1901"/>
      <c r="J53" s="1901"/>
      <c r="K53" s="1901"/>
    </row>
    <row r="54" spans="1:11" s="1892" customFormat="1" ht="15" x14ac:dyDescent="0.25">
      <c r="H54" s="1901"/>
      <c r="I54" s="1901"/>
      <c r="J54" s="1901"/>
      <c r="K54" s="1901"/>
    </row>
    <row r="55" spans="1:11" s="1892" customFormat="1" ht="15" x14ac:dyDescent="0.25">
      <c r="H55" s="1901"/>
      <c r="I55" s="1901"/>
      <c r="J55" s="1901"/>
      <c r="K55" s="1901"/>
    </row>
    <row r="56" spans="1:11" s="1892" customFormat="1" ht="15" x14ac:dyDescent="0.25">
      <c r="H56" s="1901"/>
      <c r="I56" s="1901"/>
      <c r="J56" s="1901"/>
      <c r="K56" s="1901"/>
    </row>
    <row r="57" spans="1:11" s="1892" customFormat="1" ht="15" x14ac:dyDescent="0.25">
      <c r="H57" s="1901"/>
      <c r="I57" s="1901"/>
      <c r="J57" s="1901"/>
      <c r="K57" s="1901"/>
    </row>
    <row r="58" spans="1:11" s="1892" customFormat="1" ht="15" x14ac:dyDescent="0.25">
      <c r="H58" s="1901"/>
      <c r="I58" s="1901"/>
      <c r="J58" s="1901"/>
      <c r="K58" s="1901"/>
    </row>
    <row r="59" spans="1:11" s="1892" customFormat="1" ht="15" x14ac:dyDescent="0.25">
      <c r="H59" s="1901"/>
      <c r="I59" s="1901"/>
      <c r="J59" s="1901"/>
      <c r="K59" s="1901"/>
    </row>
    <row r="60" spans="1:11" s="1892" customFormat="1" ht="15" x14ac:dyDescent="0.25">
      <c r="H60" s="1901"/>
      <c r="I60" s="1901"/>
      <c r="J60" s="1901"/>
      <c r="K60" s="1901"/>
    </row>
    <row r="61" spans="1:11" s="1892" customFormat="1" ht="15" x14ac:dyDescent="0.25">
      <c r="H61" s="1901"/>
      <c r="I61" s="1901"/>
      <c r="J61" s="1901"/>
      <c r="K61" s="1901"/>
    </row>
    <row r="62" spans="1:11" s="1892" customFormat="1" ht="15" x14ac:dyDescent="0.25">
      <c r="H62" s="1901"/>
      <c r="I62" s="1901"/>
      <c r="J62" s="1901"/>
      <c r="K62" s="1901"/>
    </row>
    <row r="63" spans="1:11" s="1892" customFormat="1" ht="15" x14ac:dyDescent="0.25">
      <c r="H63" s="1901"/>
      <c r="I63" s="1901"/>
      <c r="J63" s="1901"/>
      <c r="K63" s="1901"/>
    </row>
    <row r="64" spans="1:11" s="1892" customFormat="1" ht="15" x14ac:dyDescent="0.25">
      <c r="H64" s="1901"/>
      <c r="I64" s="1901"/>
      <c r="J64" s="1901"/>
      <c r="K64" s="1901"/>
    </row>
    <row r="65" spans="8:11" s="1892" customFormat="1" ht="15" x14ac:dyDescent="0.25">
      <c r="H65" s="1901"/>
      <c r="I65" s="1901"/>
      <c r="J65" s="1901"/>
      <c r="K65" s="1901"/>
    </row>
    <row r="66" spans="8:11" s="1892" customFormat="1" ht="15" x14ac:dyDescent="0.25">
      <c r="H66" s="1901"/>
      <c r="I66" s="1901"/>
      <c r="J66" s="1901"/>
      <c r="K66" s="1901"/>
    </row>
    <row r="67" spans="8:11" s="1892" customFormat="1" ht="15" x14ac:dyDescent="0.25">
      <c r="H67" s="1901"/>
      <c r="I67" s="1901"/>
      <c r="J67" s="1901"/>
      <c r="K67" s="1901"/>
    </row>
    <row r="68" spans="8:11" s="1892" customFormat="1" ht="15" x14ac:dyDescent="0.25">
      <c r="H68" s="1901"/>
      <c r="I68" s="1901"/>
      <c r="J68" s="1901"/>
      <c r="K68" s="1901"/>
    </row>
    <row r="69" spans="8:11" s="1892" customFormat="1" ht="15" x14ac:dyDescent="0.25">
      <c r="H69" s="1901"/>
      <c r="I69" s="1901"/>
      <c r="J69" s="1901"/>
      <c r="K69" s="1901"/>
    </row>
    <row r="70" spans="8:11" s="1892" customFormat="1" ht="15" x14ac:dyDescent="0.25">
      <c r="H70" s="1901"/>
      <c r="I70" s="1901"/>
      <c r="J70" s="1901"/>
      <c r="K70" s="1901"/>
    </row>
    <row r="71" spans="8:11" s="1892" customFormat="1" ht="15" x14ac:dyDescent="0.25">
      <c r="H71" s="1901"/>
      <c r="I71" s="1901"/>
      <c r="J71" s="1901"/>
      <c r="K71" s="1901"/>
    </row>
    <row r="72" spans="8:11" s="1892" customFormat="1" ht="15" x14ac:dyDescent="0.25">
      <c r="H72" s="1901"/>
      <c r="I72" s="1901"/>
      <c r="J72" s="1901"/>
      <c r="K72" s="1901"/>
    </row>
    <row r="73" spans="8:11" s="1892" customFormat="1" ht="15" x14ac:dyDescent="0.25">
      <c r="H73" s="1901"/>
      <c r="I73" s="1901"/>
      <c r="J73" s="1901"/>
      <c r="K73" s="1901"/>
    </row>
    <row r="74" spans="8:11" s="1892" customFormat="1" ht="15" x14ac:dyDescent="0.25">
      <c r="H74" s="1901"/>
      <c r="I74" s="1901"/>
      <c r="J74" s="1901"/>
      <c r="K74" s="1901"/>
    </row>
    <row r="75" spans="8:11" s="1892" customFormat="1" ht="15" x14ac:dyDescent="0.25">
      <c r="H75" s="1901"/>
      <c r="I75" s="1901"/>
      <c r="J75" s="1901"/>
      <c r="K75" s="1901"/>
    </row>
    <row r="76" spans="8:11" s="1892" customFormat="1" ht="15" x14ac:dyDescent="0.25">
      <c r="H76" s="1901"/>
      <c r="I76" s="1901"/>
      <c r="J76" s="1901"/>
      <c r="K76" s="1901"/>
    </row>
    <row r="77" spans="8:11" s="1892" customFormat="1" ht="15" x14ac:dyDescent="0.25">
      <c r="H77" s="1901"/>
      <c r="I77" s="1901"/>
      <c r="J77" s="1901"/>
      <c r="K77" s="1901"/>
    </row>
    <row r="78" spans="8:11" s="1892" customFormat="1" ht="15" x14ac:dyDescent="0.25">
      <c r="H78" s="1901"/>
      <c r="I78" s="1901"/>
      <c r="J78" s="1901"/>
      <c r="K78" s="1901"/>
    </row>
    <row r="79" spans="8:11" s="1892" customFormat="1" ht="15" x14ac:dyDescent="0.25">
      <c r="H79" s="1901"/>
      <c r="I79" s="1901"/>
      <c r="J79" s="1901"/>
      <c r="K79" s="1901"/>
    </row>
    <row r="80" spans="8:11" s="1892" customFormat="1" ht="15" x14ac:dyDescent="0.25">
      <c r="H80" s="1901"/>
      <c r="I80" s="1901"/>
      <c r="J80" s="1901"/>
      <c r="K80" s="1901"/>
    </row>
    <row r="81" spans="8:11" s="1892" customFormat="1" ht="15" x14ac:dyDescent="0.25">
      <c r="H81" s="1901"/>
      <c r="I81" s="1901"/>
      <c r="J81" s="1901"/>
      <c r="K81" s="1901"/>
    </row>
    <row r="82" spans="8:11" s="1892" customFormat="1" ht="15" x14ac:dyDescent="0.25">
      <c r="H82" s="1901"/>
      <c r="I82" s="1901"/>
      <c r="J82" s="1901"/>
      <c r="K82" s="1901"/>
    </row>
    <row r="83" spans="8:11" s="1892" customFormat="1" ht="15" x14ac:dyDescent="0.25">
      <c r="H83" s="1901"/>
      <c r="I83" s="1901"/>
      <c r="J83" s="1901"/>
      <c r="K83" s="1901"/>
    </row>
    <row r="84" spans="8:11" s="1892" customFormat="1" ht="15" x14ac:dyDescent="0.25">
      <c r="H84" s="1901"/>
      <c r="I84" s="1901"/>
      <c r="J84" s="1901"/>
      <c r="K84" s="1901"/>
    </row>
    <row r="85" spans="8:11" s="1892" customFormat="1" ht="15" x14ac:dyDescent="0.25">
      <c r="H85" s="1901"/>
      <c r="I85" s="1901"/>
      <c r="J85" s="1901"/>
      <c r="K85" s="1901"/>
    </row>
    <row r="86" spans="8:11" s="1892" customFormat="1" ht="15" x14ac:dyDescent="0.25">
      <c r="H86" s="1901"/>
      <c r="I86" s="1901"/>
      <c r="J86" s="1901"/>
      <c r="K86" s="1901"/>
    </row>
    <row r="87" spans="8:11" s="1892" customFormat="1" ht="15" x14ac:dyDescent="0.25">
      <c r="H87" s="1901"/>
      <c r="I87" s="1901"/>
      <c r="J87" s="1901"/>
      <c r="K87" s="1901"/>
    </row>
    <row r="88" spans="8:11" s="1892" customFormat="1" ht="15" x14ac:dyDescent="0.25">
      <c r="H88" s="1901"/>
      <c r="I88" s="1901"/>
      <c r="J88" s="1901"/>
      <c r="K88" s="1901"/>
    </row>
    <row r="89" spans="8:11" s="1892" customFormat="1" ht="15" x14ac:dyDescent="0.25">
      <c r="H89" s="1901"/>
      <c r="I89" s="1901"/>
      <c r="J89" s="1901"/>
      <c r="K89" s="1901"/>
    </row>
    <row r="90" spans="8:11" s="1892" customFormat="1" ht="15" x14ac:dyDescent="0.25">
      <c r="H90" s="1901"/>
      <c r="I90" s="1901"/>
      <c r="J90" s="1901"/>
      <c r="K90" s="1901"/>
    </row>
    <row r="91" spans="8:11" s="1892" customFormat="1" ht="15" x14ac:dyDescent="0.25">
      <c r="H91" s="1901"/>
      <c r="I91" s="1901"/>
      <c r="J91" s="1901"/>
      <c r="K91" s="1901"/>
    </row>
    <row r="92" spans="8:11" s="1892" customFormat="1" ht="15" x14ac:dyDescent="0.25">
      <c r="H92" s="1901"/>
      <c r="I92" s="1901"/>
      <c r="J92" s="1901"/>
      <c r="K92" s="1901"/>
    </row>
    <row r="93" spans="8:11" s="1892" customFormat="1" ht="15" x14ac:dyDescent="0.25">
      <c r="H93" s="1901"/>
      <c r="I93" s="1901"/>
      <c r="J93" s="1901"/>
      <c r="K93" s="1901"/>
    </row>
    <row r="94" spans="8:11" s="1892" customFormat="1" ht="15" x14ac:dyDescent="0.25">
      <c r="H94" s="1901"/>
      <c r="I94" s="1901"/>
      <c r="J94" s="1901"/>
      <c r="K94" s="1901"/>
    </row>
    <row r="95" spans="8:11" s="1892" customFormat="1" ht="15" x14ac:dyDescent="0.25">
      <c r="H95" s="1901"/>
      <c r="I95" s="1901"/>
      <c r="J95" s="1901"/>
      <c r="K95" s="1901"/>
    </row>
    <row r="96" spans="8:11" s="1892" customFormat="1" ht="15" x14ac:dyDescent="0.25">
      <c r="H96" s="1901"/>
      <c r="I96" s="1901"/>
      <c r="J96" s="1901"/>
      <c r="K96" s="1901"/>
    </row>
    <row r="97" spans="8:11" s="1892" customFormat="1" ht="15" x14ac:dyDescent="0.25">
      <c r="H97" s="1901"/>
      <c r="I97" s="1901"/>
      <c r="J97" s="1901"/>
      <c r="K97" s="1901"/>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headings="1"/>
  <pageMargins left="0.5" right="0.5" top="1.25" bottom="0.75" header="1" footer="0.5"/>
  <pageSetup scale="80" orientation="landscape" r:id="rId1"/>
  <headerFooter>
    <oddFooter>&amp;L&amp;8Page 31&amp;CReference should be made to accountant's report regarding this information.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2:B70"/>
  <sheetViews>
    <sheetView showGridLines="0" zoomScale="110" zoomScaleNormal="110" workbookViewId="0">
      <selection activeCell="B14" sqref="B14"/>
    </sheetView>
  </sheetViews>
  <sheetFormatPr defaultRowHeight="12.75" x14ac:dyDescent="0.2"/>
  <cols>
    <col min="1" max="1" width="4.28515625" customWidth="1"/>
    <col min="2" max="2" width="107.42578125" customWidth="1"/>
    <col min="3" max="3" width="3.140625" customWidth="1"/>
  </cols>
  <sheetData>
    <row r="2" spans="1:2" x14ac:dyDescent="0.2">
      <c r="A2" s="2003" t="s">
        <v>276</v>
      </c>
    </row>
    <row r="3" spans="1:2" x14ac:dyDescent="0.2">
      <c r="A3" t="s">
        <v>277</v>
      </c>
    </row>
    <row r="5" spans="1:2" x14ac:dyDescent="0.2">
      <c r="A5" s="2004">
        <v>1</v>
      </c>
      <c r="B5" t="s">
        <v>2213</v>
      </c>
    </row>
    <row r="6" spans="1:2" x14ac:dyDescent="0.2">
      <c r="A6" s="2004"/>
      <c r="B6" t="s">
        <v>2216</v>
      </c>
    </row>
    <row r="7" spans="1:2" x14ac:dyDescent="0.2">
      <c r="A7" s="2004"/>
      <c r="B7" t="s">
        <v>2214</v>
      </c>
    </row>
    <row r="8" spans="1:2" x14ac:dyDescent="0.2">
      <c r="A8" s="2005"/>
    </row>
    <row r="9" spans="1:2" x14ac:dyDescent="0.2">
      <c r="A9" s="2004">
        <v>2</v>
      </c>
      <c r="B9" t="s">
        <v>2215</v>
      </c>
    </row>
    <row r="10" spans="1:2" x14ac:dyDescent="0.2">
      <c r="A10" s="2004"/>
      <c r="B10" t="s">
        <v>2216</v>
      </c>
    </row>
    <row r="11" spans="1:2" x14ac:dyDescent="0.2">
      <c r="A11" s="2004"/>
      <c r="B11" t="s">
        <v>2214</v>
      </c>
    </row>
    <row r="12" spans="1:2" x14ac:dyDescent="0.2">
      <c r="A12" s="2004"/>
    </row>
    <row r="13" spans="1:2" x14ac:dyDescent="0.2">
      <c r="A13" s="2004">
        <v>3</v>
      </c>
      <c r="B13" t="s">
        <v>2217</v>
      </c>
    </row>
    <row r="14" spans="1:2" x14ac:dyDescent="0.2">
      <c r="A14" s="2005"/>
    </row>
    <row r="15" spans="1:2" x14ac:dyDescent="0.2">
      <c r="A15" s="2004">
        <v>4</v>
      </c>
      <c r="B15" t="s">
        <v>2218</v>
      </c>
    </row>
    <row r="16" spans="1:2" x14ac:dyDescent="0.2">
      <c r="A16" s="2005"/>
    </row>
    <row r="17" spans="1:2" x14ac:dyDescent="0.2">
      <c r="A17" s="2004">
        <v>5</v>
      </c>
      <c r="B17" t="s">
        <v>2219</v>
      </c>
    </row>
    <row r="18" spans="1:2" x14ac:dyDescent="0.2">
      <c r="A18" s="2004"/>
    </row>
    <row r="19" spans="1:2" x14ac:dyDescent="0.2">
      <c r="A19" s="2004">
        <v>6</v>
      </c>
      <c r="B19" t="s">
        <v>2220</v>
      </c>
    </row>
    <row r="20" spans="1:2" x14ac:dyDescent="0.2">
      <c r="A20" s="2004"/>
    </row>
    <row r="21" spans="1:2" x14ac:dyDescent="0.2">
      <c r="A21" s="2004">
        <v>7</v>
      </c>
      <c r="B21" t="s">
        <v>2221</v>
      </c>
    </row>
    <row r="22" spans="1:2" x14ac:dyDescent="0.2">
      <c r="A22" s="2004"/>
    </row>
    <row r="23" spans="1:2" x14ac:dyDescent="0.2">
      <c r="A23" s="2004">
        <v>8</v>
      </c>
      <c r="B23" t="s">
        <v>2225</v>
      </c>
    </row>
    <row r="24" spans="1:2" x14ac:dyDescent="0.2">
      <c r="A24" s="2004"/>
    </row>
    <row r="25" spans="1:2" x14ac:dyDescent="0.2">
      <c r="A25" s="2004">
        <v>9</v>
      </c>
      <c r="B25" t="s">
        <v>2222</v>
      </c>
    </row>
    <row r="26" spans="1:2" x14ac:dyDescent="0.2">
      <c r="A26" s="2004"/>
    </row>
    <row r="27" spans="1:2" x14ac:dyDescent="0.2">
      <c r="A27" s="2004">
        <v>10</v>
      </c>
      <c r="B27" t="s">
        <v>2223</v>
      </c>
    </row>
    <row r="28" spans="1:2" x14ac:dyDescent="0.2">
      <c r="A28" s="2004"/>
      <c r="B28" t="s">
        <v>2224</v>
      </c>
    </row>
    <row r="29" spans="1:2" x14ac:dyDescent="0.2">
      <c r="A29" s="2004"/>
    </row>
    <row r="30" spans="1:2" x14ac:dyDescent="0.2">
      <c r="A30" s="2004" t="s">
        <v>2188</v>
      </c>
    </row>
    <row r="31" spans="1:2" x14ac:dyDescent="0.2">
      <c r="A31" s="2004" t="s">
        <v>2189</v>
      </c>
    </row>
    <row r="32" spans="1:2" x14ac:dyDescent="0.2">
      <c r="A32" s="2004"/>
    </row>
    <row r="33" spans="1:1" x14ac:dyDescent="0.2">
      <c r="A33" s="2004"/>
    </row>
    <row r="34" spans="1:1" x14ac:dyDescent="0.2">
      <c r="A34" s="2004"/>
    </row>
    <row r="35" spans="1:1" x14ac:dyDescent="0.2">
      <c r="A35" s="2004"/>
    </row>
    <row r="36" spans="1:1" x14ac:dyDescent="0.2">
      <c r="A36" s="2004"/>
    </row>
    <row r="37" spans="1:1" x14ac:dyDescent="0.2">
      <c r="A37" s="2004"/>
    </row>
    <row r="38" spans="1:1" x14ac:dyDescent="0.2">
      <c r="A38" s="2004"/>
    </row>
    <row r="39" spans="1:1" x14ac:dyDescent="0.2">
      <c r="A39" s="2004"/>
    </row>
    <row r="40" spans="1:1" x14ac:dyDescent="0.2">
      <c r="A40" s="2004"/>
    </row>
    <row r="41" spans="1:1" x14ac:dyDescent="0.2">
      <c r="A41" s="2004"/>
    </row>
    <row r="42" spans="1:1" x14ac:dyDescent="0.2">
      <c r="A42" s="2004"/>
    </row>
    <row r="43" spans="1:1" x14ac:dyDescent="0.2">
      <c r="A43" s="2004"/>
    </row>
    <row r="44" spans="1:1" x14ac:dyDescent="0.2">
      <c r="A44" s="2004"/>
    </row>
    <row r="45" spans="1:1" x14ac:dyDescent="0.2">
      <c r="A45" s="2004"/>
    </row>
    <row r="46" spans="1:1" x14ac:dyDescent="0.2">
      <c r="A46" s="2004"/>
    </row>
    <row r="47" spans="1:1" x14ac:dyDescent="0.2">
      <c r="A47" s="2004"/>
    </row>
    <row r="48" spans="1:1" x14ac:dyDescent="0.2">
      <c r="A48" s="2004"/>
    </row>
    <row r="49" spans="1:1" x14ac:dyDescent="0.2">
      <c r="A49" s="2004"/>
    </row>
    <row r="50" spans="1:1" x14ac:dyDescent="0.2">
      <c r="A50" s="2004"/>
    </row>
    <row r="51" spans="1:1" x14ac:dyDescent="0.2">
      <c r="A51" s="2004"/>
    </row>
    <row r="52" spans="1:1" x14ac:dyDescent="0.2">
      <c r="A52" s="2004"/>
    </row>
    <row r="53" spans="1:1" x14ac:dyDescent="0.2">
      <c r="A53" s="2004"/>
    </row>
    <row r="54" spans="1:1" x14ac:dyDescent="0.2">
      <c r="A54" s="2004"/>
    </row>
    <row r="55" spans="1:1" x14ac:dyDescent="0.2">
      <c r="A55" s="2004"/>
    </row>
    <row r="56" spans="1:1" x14ac:dyDescent="0.2">
      <c r="A56" s="2004"/>
    </row>
    <row r="57" spans="1:1" x14ac:dyDescent="0.2">
      <c r="A57" s="2004"/>
    </row>
    <row r="58" spans="1:1" x14ac:dyDescent="0.2">
      <c r="A58" s="2004"/>
    </row>
    <row r="59" spans="1:1" x14ac:dyDescent="0.2">
      <c r="A59" s="2004"/>
    </row>
    <row r="60" spans="1:1" x14ac:dyDescent="0.2">
      <c r="A60" s="2004"/>
    </row>
    <row r="61" spans="1:1" x14ac:dyDescent="0.2">
      <c r="A61" s="2004"/>
    </row>
    <row r="62" spans="1:1" x14ac:dyDescent="0.2">
      <c r="A62" s="2004"/>
    </row>
    <row r="63" spans="1:1" x14ac:dyDescent="0.2">
      <c r="A63" s="2004"/>
    </row>
    <row r="64" spans="1:1" x14ac:dyDescent="0.2">
      <c r="A64" s="2004"/>
    </row>
    <row r="65" spans="1:2" x14ac:dyDescent="0.2">
      <c r="A65" s="2004"/>
    </row>
    <row r="66" spans="1:2" x14ac:dyDescent="0.2">
      <c r="A66" s="2004"/>
    </row>
    <row r="67" spans="1:2" x14ac:dyDescent="0.2">
      <c r="A67" s="2004"/>
    </row>
    <row r="68" spans="1:2" x14ac:dyDescent="0.2">
      <c r="A68" s="2004"/>
    </row>
    <row r="69" spans="1:2" x14ac:dyDescent="0.2">
      <c r="A69" s="2004"/>
      <c r="B69" s="2006" t="str">
        <f>[1]COVER!A17</f>
        <v>Morrisonville CUSD 1</v>
      </c>
    </row>
    <row r="70" spans="1:2" x14ac:dyDescent="0.2">
      <c r="B70" s="2007" t="str">
        <f>[1]COVER!A13</f>
        <v>03-011-0010-26</v>
      </c>
    </row>
  </sheetData>
  <printOptions horizontalCentered="1"/>
  <pageMargins left="1" right="0.75" top="1.25" bottom="0.5" header="1" footer="0.25"/>
  <pageSetup scale="77" firstPageNumber="32" orientation="portrait" useFirstPageNumber="1" r:id="rId1"/>
  <headerFooter alignWithMargins="0">
    <oddHeader>&amp;L&amp;8Page 33&amp;C &amp;R&amp;8Page 33</oddHeader>
    <oddFooter>&amp;CReference should be made to accountant's report regarding this information.
51</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Q40"/>
  <sheetViews>
    <sheetView showGridLines="0" defaultGridColor="0" topLeftCell="A16" colorId="8" zoomScale="110" zoomScaleNormal="110" workbookViewId="0">
      <selection activeCell="F29" sqref="F29:G29"/>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6" t="s">
        <v>693</v>
      </c>
      <c r="B6" s="1661"/>
      <c r="C6" s="1661"/>
      <c r="D6" s="1661"/>
      <c r="E6" s="1662"/>
      <c r="F6" s="1016"/>
      <c r="G6" s="1010"/>
      <c r="H6" s="1017" t="s">
        <v>1086</v>
      </c>
      <c r="I6" s="2385" t="str">
        <f>COVER!A17</f>
        <v>Morrisonville CUSD 1</v>
      </c>
      <c r="J6" s="2386"/>
      <c r="Q6" s="1683"/>
    </row>
    <row r="7" spans="1:17" x14ac:dyDescent="0.2">
      <c r="A7" s="2387" t="s">
        <v>924</v>
      </c>
      <c r="B7" s="2388"/>
      <c r="C7" s="2388"/>
      <c r="D7" s="2388"/>
      <c r="E7" s="2389"/>
      <c r="F7" s="1018"/>
      <c r="G7" s="1010"/>
      <c r="H7" s="1017" t="s">
        <v>390</v>
      </c>
      <c r="I7" s="2390">
        <f>COVER!A13</f>
        <v>3011001026</v>
      </c>
      <c r="J7" s="2390"/>
    </row>
    <row r="8" spans="1:17" ht="8.25" customHeight="1" x14ac:dyDescent="0.2">
      <c r="A8" s="1663"/>
      <c r="B8" s="1664"/>
      <c r="C8" s="1664"/>
      <c r="D8" s="1664"/>
      <c r="E8" s="1665"/>
      <c r="F8" s="1019"/>
      <c r="G8" s="1020"/>
      <c r="H8" s="1020"/>
      <c r="I8" s="1020"/>
      <c r="J8" s="1020"/>
    </row>
    <row r="9" spans="1:17" ht="13.5" customHeight="1" x14ac:dyDescent="0.2">
      <c r="A9" s="1021"/>
      <c r="B9" s="1022"/>
      <c r="C9" s="1022"/>
      <c r="D9" s="1023"/>
      <c r="E9" s="1917" t="s">
        <v>1701</v>
      </c>
      <c r="F9" s="1024"/>
      <c r="G9" s="1024"/>
      <c r="H9" s="1918"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91" t="s">
        <v>502</v>
      </c>
      <c r="B11" s="2392"/>
      <c r="C11" s="239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1">
        <f>'Expenditures 15-22'!K50</f>
        <v>84286</v>
      </c>
      <c r="F12" s="1040"/>
      <c r="G12" s="1831">
        <f t="shared" ref="G12:G18" si="0">SUM(E12:F12)</f>
        <v>84286</v>
      </c>
      <c r="H12" s="1041">
        <v>88500</v>
      </c>
      <c r="I12" s="1040"/>
      <c r="J12" s="1831">
        <f t="shared" ref="J12:J18" si="1">SUM(H12:I12)</f>
        <v>88500</v>
      </c>
    </row>
    <row r="13" spans="1:17" ht="15" customHeight="1" x14ac:dyDescent="0.2">
      <c r="A13" s="1036">
        <v>2</v>
      </c>
      <c r="B13" s="1037" t="s">
        <v>44</v>
      </c>
      <c r="C13" s="1038"/>
      <c r="D13" s="1039">
        <v>2330</v>
      </c>
      <c r="E13" s="1831">
        <f>'Expenditures 15-22'!K51</f>
        <v>0</v>
      </c>
      <c r="F13" s="1040"/>
      <c r="G13" s="1831">
        <f t="shared" si="0"/>
        <v>0</v>
      </c>
      <c r="H13" s="1041"/>
      <c r="I13" s="1040"/>
      <c r="J13" s="1831">
        <f t="shared" si="1"/>
        <v>0</v>
      </c>
    </row>
    <row r="14" spans="1:17" ht="15" customHeight="1" x14ac:dyDescent="0.2">
      <c r="A14" s="1036">
        <v>3</v>
      </c>
      <c r="B14" s="1037" t="s">
        <v>45</v>
      </c>
      <c r="C14" s="1038"/>
      <c r="D14" s="1042">
        <v>2490</v>
      </c>
      <c r="E14" s="1831">
        <f>'Expenditures 15-22'!K56</f>
        <v>0</v>
      </c>
      <c r="F14" s="1040"/>
      <c r="G14" s="1831">
        <f t="shared" si="0"/>
        <v>0</v>
      </c>
      <c r="H14" s="1041"/>
      <c r="I14" s="1040"/>
      <c r="J14" s="1831">
        <f t="shared" si="1"/>
        <v>0</v>
      </c>
    </row>
    <row r="15" spans="1:17" ht="15" customHeight="1" x14ac:dyDescent="0.2">
      <c r="A15" s="1036">
        <v>4</v>
      </c>
      <c r="B15" s="1037" t="s">
        <v>1128</v>
      </c>
      <c r="C15" s="1038"/>
      <c r="D15" s="1039">
        <v>2510</v>
      </c>
      <c r="E15" s="1831">
        <f>'Expenditures 15-22'!K59</f>
        <v>0</v>
      </c>
      <c r="F15" s="1831">
        <f>'Expenditures 15-22'!K122</f>
        <v>0</v>
      </c>
      <c r="G15" s="1831">
        <f t="shared" si="0"/>
        <v>0</v>
      </c>
      <c r="H15" s="1041"/>
      <c r="I15" s="1041"/>
      <c r="J15" s="1831">
        <f t="shared" si="1"/>
        <v>0</v>
      </c>
    </row>
    <row r="16" spans="1:17" ht="15" customHeight="1" x14ac:dyDescent="0.2">
      <c r="A16" s="1036">
        <v>5</v>
      </c>
      <c r="B16" s="1037" t="s">
        <v>103</v>
      </c>
      <c r="C16" s="1038"/>
      <c r="D16" s="1039">
        <v>2570</v>
      </c>
      <c r="E16" s="1831">
        <f>'Expenditures 15-22'!K64</f>
        <v>0</v>
      </c>
      <c r="F16" s="1040"/>
      <c r="G16" s="1831">
        <f t="shared" si="0"/>
        <v>0</v>
      </c>
      <c r="H16" s="1041"/>
      <c r="I16" s="1040"/>
      <c r="J16" s="1831">
        <f t="shared" si="1"/>
        <v>0</v>
      </c>
    </row>
    <row r="17" spans="1:10" ht="15" customHeight="1" x14ac:dyDescent="0.2">
      <c r="A17" s="1036">
        <v>6</v>
      </c>
      <c r="B17" s="1037" t="s">
        <v>1120</v>
      </c>
      <c r="C17" s="1038"/>
      <c r="D17" s="1039">
        <v>2610</v>
      </c>
      <c r="E17" s="1831">
        <f>'Expenditures 15-22'!K67</f>
        <v>0</v>
      </c>
      <c r="F17" s="1040"/>
      <c r="G17" s="1831">
        <f t="shared" si="0"/>
        <v>0</v>
      </c>
      <c r="H17" s="1041"/>
      <c r="I17" s="1040"/>
      <c r="J17" s="1831">
        <f t="shared" si="1"/>
        <v>0</v>
      </c>
    </row>
    <row r="18" spans="1:10" ht="22.5" customHeight="1" x14ac:dyDescent="0.2">
      <c r="A18" s="1043">
        <v>7</v>
      </c>
      <c r="B18" s="2394" t="s">
        <v>7</v>
      </c>
      <c r="C18" s="2395"/>
      <c r="D18" s="2396"/>
      <c r="E18" s="1044"/>
      <c r="F18" s="1044"/>
      <c r="G18" s="1832">
        <f t="shared" si="0"/>
        <v>0</v>
      </c>
      <c r="H18" s="1041"/>
      <c r="I18" s="1041"/>
      <c r="J18" s="1831">
        <f t="shared" si="1"/>
        <v>0</v>
      </c>
    </row>
    <row r="19" spans="1:10" ht="12.75" customHeight="1" thickBot="1" x14ac:dyDescent="0.25">
      <c r="A19" s="1036">
        <v>8</v>
      </c>
      <c r="B19" s="1045" t="s">
        <v>1223</v>
      </c>
      <c r="D19" s="1046"/>
      <c r="E19" s="1833">
        <f t="shared" ref="E19:J19" si="2">SUM(E12:E17)-E18</f>
        <v>84286</v>
      </c>
      <c r="F19" s="1833">
        <f t="shared" si="2"/>
        <v>0</v>
      </c>
      <c r="G19" s="1833">
        <f t="shared" si="2"/>
        <v>84286</v>
      </c>
      <c r="H19" s="1833">
        <f t="shared" si="2"/>
        <v>88500</v>
      </c>
      <c r="I19" s="1833">
        <f t="shared" si="2"/>
        <v>0</v>
      </c>
      <c r="J19" s="1833">
        <f t="shared" si="2"/>
        <v>88500</v>
      </c>
    </row>
    <row r="20" spans="1:10" ht="13.5" thickTop="1" x14ac:dyDescent="0.2">
      <c r="A20" s="1036">
        <v>9</v>
      </c>
      <c r="B20" s="2397" t="s">
        <v>1703</v>
      </c>
      <c r="C20" s="2397"/>
      <c r="D20" s="2398"/>
      <c r="E20" s="1047"/>
      <c r="F20" s="1047"/>
      <c r="G20" s="1047"/>
      <c r="H20" s="1047"/>
      <c r="I20" s="1047"/>
      <c r="J20" s="1834">
        <f>IF(AND(G19&gt;0,J19&gt;0),(((J19-G19)/G19)),"Enter Budget Data")</f>
        <v>4.9996440690031556E-2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403"/>
      <c r="D26" s="2403"/>
      <c r="E26" s="1051"/>
      <c r="F26" s="2402">
        <v>43363</v>
      </c>
      <c r="G26" s="2402"/>
    </row>
    <row r="27" spans="1:10" x14ac:dyDescent="0.2">
      <c r="B27" s="1048"/>
      <c r="C27" s="1052" t="s">
        <v>1093</v>
      </c>
      <c r="D27" s="1053"/>
      <c r="E27" s="1054"/>
      <c r="F27" s="2399" t="s">
        <v>1589</v>
      </c>
      <c r="G27" s="2399"/>
    </row>
    <row r="28" spans="1:10" ht="28.5" customHeight="1" x14ac:dyDescent="0.2">
      <c r="B28" s="1048"/>
      <c r="C28" s="2401" t="s">
        <v>2083</v>
      </c>
      <c r="D28" s="2401"/>
      <c r="E28" s="1055"/>
      <c r="F28" s="2401" t="s">
        <v>2084</v>
      </c>
      <c r="G28" s="2401"/>
    </row>
    <row r="29" spans="1:10" x14ac:dyDescent="0.2">
      <c r="B29" s="1048"/>
      <c r="C29" s="1056" t="s">
        <v>1642</v>
      </c>
      <c r="E29" s="1057"/>
      <c r="F29" s="2400" t="s">
        <v>1590</v>
      </c>
      <c r="G29" s="240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82" t="s">
        <v>134</v>
      </c>
      <c r="D33" s="2383"/>
      <c r="E33" s="2383"/>
      <c r="F33" s="2383"/>
      <c r="G33" s="2383"/>
      <c r="H33" s="2383"/>
      <c r="I33" s="2383"/>
    </row>
    <row r="34" spans="1:10" ht="10.35" customHeight="1" x14ac:dyDescent="0.2">
      <c r="C34" s="2383"/>
      <c r="D34" s="2383"/>
      <c r="E34" s="2383"/>
      <c r="F34" s="2383"/>
      <c r="G34" s="2383"/>
      <c r="H34" s="2383"/>
      <c r="I34" s="2383"/>
    </row>
    <row r="35" spans="1:10" ht="7.5" customHeight="1" x14ac:dyDescent="0.2">
      <c r="C35" s="1063"/>
    </row>
    <row r="36" spans="1:10" ht="13.5" customHeight="1" x14ac:dyDescent="0.2">
      <c r="B36" s="1062"/>
      <c r="C36" s="2384" t="s">
        <v>1943</v>
      </c>
      <c r="D36" s="2383"/>
      <c r="E36" s="2383"/>
      <c r="F36" s="2383"/>
      <c r="G36" s="2383"/>
      <c r="H36" s="2383"/>
      <c r="I36" s="2383"/>
      <c r="J36" s="1064"/>
    </row>
    <row r="37" spans="1:10" ht="22.5" customHeight="1" x14ac:dyDescent="0.2">
      <c r="C37" s="2383"/>
      <c r="D37" s="2383"/>
      <c r="E37" s="2383"/>
      <c r="F37" s="2383"/>
      <c r="G37" s="2383"/>
      <c r="H37" s="2383"/>
      <c r="I37" s="2383"/>
      <c r="J37" s="1064"/>
    </row>
    <row r="38" spans="1:10" ht="7.5" customHeight="1" x14ac:dyDescent="0.2">
      <c r="C38" s="1063"/>
      <c r="D38" s="1065"/>
      <c r="E38" s="1066"/>
      <c r="F38" s="1067"/>
      <c r="G38" s="1066"/>
    </row>
    <row r="39" spans="1:10" ht="13.5" customHeight="1" x14ac:dyDescent="0.2">
      <c r="B39" s="1062"/>
      <c r="C39" s="2380" t="s">
        <v>937</v>
      </c>
      <c r="D39" s="2381"/>
      <c r="E39" s="2381"/>
      <c r="F39" s="2381"/>
      <c r="G39" s="2381"/>
      <c r="H39" s="2381"/>
      <c r="I39" s="238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pageMargins left="0.5" right="0.5" top="1.25" bottom="0.75" header="1" footer="0.5"/>
  <pageSetup scale="89" firstPageNumber="31" orientation="landscape" useFirstPageNumber="1" r:id="rId1"/>
  <headerFooter alignWithMargins="0">
    <oddHeader>&amp;L&amp;8Page 32&amp;C &amp;R&amp;8Page 32</oddHeader>
    <oddFooter>&amp;CReference should be made to accountant's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6" t="s">
        <v>1709</v>
      </c>
    </row>
    <row r="23" spans="1:5" x14ac:dyDescent="0.2">
      <c r="A23" s="168"/>
      <c r="B23" s="162" t="s">
        <v>1968</v>
      </c>
      <c r="D23" s="167" t="s">
        <v>658</v>
      </c>
      <c r="E23" s="1856"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121" t="s">
        <v>1125</v>
      </c>
      <c r="B35" s="2121"/>
      <c r="C35" s="2121"/>
      <c r="D35" s="2121"/>
      <c r="E35" s="212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18" t="s">
        <v>715</v>
      </c>
      <c r="B40" s="2118"/>
      <c r="C40" s="2118"/>
      <c r="D40" s="2118"/>
      <c r="E40" s="2118"/>
    </row>
    <row r="41" spans="1:5" x14ac:dyDescent="0.2">
      <c r="A41" s="2119" t="s">
        <v>1706</v>
      </c>
      <c r="B41" s="2119"/>
      <c r="C41" s="2119"/>
      <c r="D41" s="2119"/>
      <c r="E41" s="2119"/>
    </row>
    <row r="42" spans="1:5" ht="12.75" customHeight="1" x14ac:dyDescent="0.2">
      <c r="A42" s="2120" t="s">
        <v>1080</v>
      </c>
      <c r="B42" s="2120"/>
      <c r="C42" s="2120"/>
      <c r="D42" s="2120"/>
      <c r="E42" s="2120"/>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4" t="s">
        <v>1879</v>
      </c>
    </row>
    <row r="60" spans="1:3" x14ac:dyDescent="0.2">
      <c r="A60" s="196"/>
      <c r="B60" s="1504"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6"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5"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rintOptions horizontalCentered="1"/>
  <pageMargins left="1" right="0.75" top="1.25" bottom="0.75" header="1" footer="0.25"/>
  <pageSetup scale="72" firstPageNumber="33" orientation="portrait" useFirstPageNumber="1" r:id="rId1"/>
  <headerFooter alignWithMargins="0">
    <oddHeader>&amp;L&amp;8Page 34&amp;R&amp;8Page 34</oddHeader>
    <oddFooter>&amp;CReference should be made to accountant's report regarding this information.
52</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0"/>
  <sheetViews>
    <sheetView topLeftCell="A52" workbookViewId="0">
      <selection activeCell="C27" sqref="C27"/>
    </sheetView>
  </sheetViews>
  <sheetFormatPr defaultColWidth="9.140625" defaultRowHeight="12.75" x14ac:dyDescent="0.2"/>
  <cols>
    <col min="1" max="1" width="78.42578125" style="1953" customWidth="1"/>
    <col min="2" max="2" width="7.42578125" style="1953" customWidth="1"/>
    <col min="3" max="3" width="15.28515625" style="1972" customWidth="1"/>
    <col min="4" max="256" width="9.140625" style="1953"/>
    <col min="257" max="257" width="78.42578125" style="1953" customWidth="1"/>
    <col min="258" max="258" width="7.42578125" style="1953" customWidth="1"/>
    <col min="259" max="259" width="15.28515625" style="1953" customWidth="1"/>
    <col min="260" max="512" width="9.140625" style="1953"/>
    <col min="513" max="513" width="78.42578125" style="1953" customWidth="1"/>
    <col min="514" max="514" width="7.42578125" style="1953" customWidth="1"/>
    <col min="515" max="515" width="15.28515625" style="1953" customWidth="1"/>
    <col min="516" max="768" width="9.140625" style="1953"/>
    <col min="769" max="769" width="78.42578125" style="1953" customWidth="1"/>
    <col min="770" max="770" width="7.42578125" style="1953" customWidth="1"/>
    <col min="771" max="771" width="15.28515625" style="1953" customWidth="1"/>
    <col min="772" max="1024" width="9.140625" style="1953"/>
    <col min="1025" max="1025" width="78.42578125" style="1953" customWidth="1"/>
    <col min="1026" max="1026" width="7.42578125" style="1953" customWidth="1"/>
    <col min="1027" max="1027" width="15.28515625" style="1953" customWidth="1"/>
    <col min="1028" max="1280" width="9.140625" style="1953"/>
    <col min="1281" max="1281" width="78.42578125" style="1953" customWidth="1"/>
    <col min="1282" max="1282" width="7.42578125" style="1953" customWidth="1"/>
    <col min="1283" max="1283" width="15.28515625" style="1953" customWidth="1"/>
    <col min="1284" max="1536" width="9.140625" style="1953"/>
    <col min="1537" max="1537" width="78.42578125" style="1953" customWidth="1"/>
    <col min="1538" max="1538" width="7.42578125" style="1953" customWidth="1"/>
    <col min="1539" max="1539" width="15.28515625" style="1953" customWidth="1"/>
    <col min="1540" max="1792" width="9.140625" style="1953"/>
    <col min="1793" max="1793" width="78.42578125" style="1953" customWidth="1"/>
    <col min="1794" max="1794" width="7.42578125" style="1953" customWidth="1"/>
    <col min="1795" max="1795" width="15.28515625" style="1953" customWidth="1"/>
    <col min="1796" max="2048" width="9.140625" style="1953"/>
    <col min="2049" max="2049" width="78.42578125" style="1953" customWidth="1"/>
    <col min="2050" max="2050" width="7.42578125" style="1953" customWidth="1"/>
    <col min="2051" max="2051" width="15.28515625" style="1953" customWidth="1"/>
    <col min="2052" max="2304" width="9.140625" style="1953"/>
    <col min="2305" max="2305" width="78.42578125" style="1953" customWidth="1"/>
    <col min="2306" max="2306" width="7.42578125" style="1953" customWidth="1"/>
    <col min="2307" max="2307" width="15.28515625" style="1953" customWidth="1"/>
    <col min="2308" max="2560" width="9.140625" style="1953"/>
    <col min="2561" max="2561" width="78.42578125" style="1953" customWidth="1"/>
    <col min="2562" max="2562" width="7.42578125" style="1953" customWidth="1"/>
    <col min="2563" max="2563" width="15.28515625" style="1953" customWidth="1"/>
    <col min="2564" max="2816" width="9.140625" style="1953"/>
    <col min="2817" max="2817" width="78.42578125" style="1953" customWidth="1"/>
    <col min="2818" max="2818" width="7.42578125" style="1953" customWidth="1"/>
    <col min="2819" max="2819" width="15.28515625" style="1953" customWidth="1"/>
    <col min="2820" max="3072" width="9.140625" style="1953"/>
    <col min="3073" max="3073" width="78.42578125" style="1953" customWidth="1"/>
    <col min="3074" max="3074" width="7.42578125" style="1953" customWidth="1"/>
    <col min="3075" max="3075" width="15.28515625" style="1953" customWidth="1"/>
    <col min="3076" max="3328" width="9.140625" style="1953"/>
    <col min="3329" max="3329" width="78.42578125" style="1953" customWidth="1"/>
    <col min="3330" max="3330" width="7.42578125" style="1953" customWidth="1"/>
    <col min="3331" max="3331" width="15.28515625" style="1953" customWidth="1"/>
    <col min="3332" max="3584" width="9.140625" style="1953"/>
    <col min="3585" max="3585" width="78.42578125" style="1953" customWidth="1"/>
    <col min="3586" max="3586" width="7.42578125" style="1953" customWidth="1"/>
    <col min="3587" max="3587" width="15.28515625" style="1953" customWidth="1"/>
    <col min="3588" max="3840" width="9.140625" style="1953"/>
    <col min="3841" max="3841" width="78.42578125" style="1953" customWidth="1"/>
    <col min="3842" max="3842" width="7.42578125" style="1953" customWidth="1"/>
    <col min="3843" max="3843" width="15.28515625" style="1953" customWidth="1"/>
    <col min="3844" max="4096" width="9.140625" style="1953"/>
    <col min="4097" max="4097" width="78.42578125" style="1953" customWidth="1"/>
    <col min="4098" max="4098" width="7.42578125" style="1953" customWidth="1"/>
    <col min="4099" max="4099" width="15.28515625" style="1953" customWidth="1"/>
    <col min="4100" max="4352" width="9.140625" style="1953"/>
    <col min="4353" max="4353" width="78.42578125" style="1953" customWidth="1"/>
    <col min="4354" max="4354" width="7.42578125" style="1953" customWidth="1"/>
    <col min="4355" max="4355" width="15.28515625" style="1953" customWidth="1"/>
    <col min="4356" max="4608" width="9.140625" style="1953"/>
    <col min="4609" max="4609" width="78.42578125" style="1953" customWidth="1"/>
    <col min="4610" max="4610" width="7.42578125" style="1953" customWidth="1"/>
    <col min="4611" max="4611" width="15.28515625" style="1953" customWidth="1"/>
    <col min="4612" max="4864" width="9.140625" style="1953"/>
    <col min="4865" max="4865" width="78.42578125" style="1953" customWidth="1"/>
    <col min="4866" max="4866" width="7.42578125" style="1953" customWidth="1"/>
    <col min="4867" max="4867" width="15.28515625" style="1953" customWidth="1"/>
    <col min="4868" max="5120" width="9.140625" style="1953"/>
    <col min="5121" max="5121" width="78.42578125" style="1953" customWidth="1"/>
    <col min="5122" max="5122" width="7.42578125" style="1953" customWidth="1"/>
    <col min="5123" max="5123" width="15.28515625" style="1953" customWidth="1"/>
    <col min="5124" max="5376" width="9.140625" style="1953"/>
    <col min="5377" max="5377" width="78.42578125" style="1953" customWidth="1"/>
    <col min="5378" max="5378" width="7.42578125" style="1953" customWidth="1"/>
    <col min="5379" max="5379" width="15.28515625" style="1953" customWidth="1"/>
    <col min="5380" max="5632" width="9.140625" style="1953"/>
    <col min="5633" max="5633" width="78.42578125" style="1953" customWidth="1"/>
    <col min="5634" max="5634" width="7.42578125" style="1953" customWidth="1"/>
    <col min="5635" max="5635" width="15.28515625" style="1953" customWidth="1"/>
    <col min="5636" max="5888" width="9.140625" style="1953"/>
    <col min="5889" max="5889" width="78.42578125" style="1953" customWidth="1"/>
    <col min="5890" max="5890" width="7.42578125" style="1953" customWidth="1"/>
    <col min="5891" max="5891" width="15.28515625" style="1953" customWidth="1"/>
    <col min="5892" max="6144" width="9.140625" style="1953"/>
    <col min="6145" max="6145" width="78.42578125" style="1953" customWidth="1"/>
    <col min="6146" max="6146" width="7.42578125" style="1953" customWidth="1"/>
    <col min="6147" max="6147" width="15.28515625" style="1953" customWidth="1"/>
    <col min="6148" max="6400" width="9.140625" style="1953"/>
    <col min="6401" max="6401" width="78.42578125" style="1953" customWidth="1"/>
    <col min="6402" max="6402" width="7.42578125" style="1953" customWidth="1"/>
    <col min="6403" max="6403" width="15.28515625" style="1953" customWidth="1"/>
    <col min="6404" max="6656" width="9.140625" style="1953"/>
    <col min="6657" max="6657" width="78.42578125" style="1953" customWidth="1"/>
    <col min="6658" max="6658" width="7.42578125" style="1953" customWidth="1"/>
    <col min="6659" max="6659" width="15.28515625" style="1953" customWidth="1"/>
    <col min="6660" max="6912" width="9.140625" style="1953"/>
    <col min="6913" max="6913" width="78.42578125" style="1953" customWidth="1"/>
    <col min="6914" max="6914" width="7.42578125" style="1953" customWidth="1"/>
    <col min="6915" max="6915" width="15.28515625" style="1953" customWidth="1"/>
    <col min="6916" max="7168" width="9.140625" style="1953"/>
    <col min="7169" max="7169" width="78.42578125" style="1953" customWidth="1"/>
    <col min="7170" max="7170" width="7.42578125" style="1953" customWidth="1"/>
    <col min="7171" max="7171" width="15.28515625" style="1953" customWidth="1"/>
    <col min="7172" max="7424" width="9.140625" style="1953"/>
    <col min="7425" max="7425" width="78.42578125" style="1953" customWidth="1"/>
    <col min="7426" max="7426" width="7.42578125" style="1953" customWidth="1"/>
    <col min="7427" max="7427" width="15.28515625" style="1953" customWidth="1"/>
    <col min="7428" max="7680" width="9.140625" style="1953"/>
    <col min="7681" max="7681" width="78.42578125" style="1953" customWidth="1"/>
    <col min="7682" max="7682" width="7.42578125" style="1953" customWidth="1"/>
    <col min="7683" max="7683" width="15.28515625" style="1953" customWidth="1"/>
    <col min="7684" max="7936" width="9.140625" style="1953"/>
    <col min="7937" max="7937" width="78.42578125" style="1953" customWidth="1"/>
    <col min="7938" max="7938" width="7.42578125" style="1953" customWidth="1"/>
    <col min="7939" max="7939" width="15.28515625" style="1953" customWidth="1"/>
    <col min="7940" max="8192" width="9.140625" style="1953"/>
    <col min="8193" max="8193" width="78.42578125" style="1953" customWidth="1"/>
    <col min="8194" max="8194" width="7.42578125" style="1953" customWidth="1"/>
    <col min="8195" max="8195" width="15.28515625" style="1953" customWidth="1"/>
    <col min="8196" max="8448" width="9.140625" style="1953"/>
    <col min="8449" max="8449" width="78.42578125" style="1953" customWidth="1"/>
    <col min="8450" max="8450" width="7.42578125" style="1953" customWidth="1"/>
    <col min="8451" max="8451" width="15.28515625" style="1953" customWidth="1"/>
    <col min="8452" max="8704" width="9.140625" style="1953"/>
    <col min="8705" max="8705" width="78.42578125" style="1953" customWidth="1"/>
    <col min="8706" max="8706" width="7.42578125" style="1953" customWidth="1"/>
    <col min="8707" max="8707" width="15.28515625" style="1953" customWidth="1"/>
    <col min="8708" max="8960" width="9.140625" style="1953"/>
    <col min="8961" max="8961" width="78.42578125" style="1953" customWidth="1"/>
    <col min="8962" max="8962" width="7.42578125" style="1953" customWidth="1"/>
    <col min="8963" max="8963" width="15.28515625" style="1953" customWidth="1"/>
    <col min="8964" max="9216" width="9.140625" style="1953"/>
    <col min="9217" max="9217" width="78.42578125" style="1953" customWidth="1"/>
    <col min="9218" max="9218" width="7.42578125" style="1953" customWidth="1"/>
    <col min="9219" max="9219" width="15.28515625" style="1953" customWidth="1"/>
    <col min="9220" max="9472" width="9.140625" style="1953"/>
    <col min="9473" max="9473" width="78.42578125" style="1953" customWidth="1"/>
    <col min="9474" max="9474" width="7.42578125" style="1953" customWidth="1"/>
    <col min="9475" max="9475" width="15.28515625" style="1953" customWidth="1"/>
    <col min="9476" max="9728" width="9.140625" style="1953"/>
    <col min="9729" max="9729" width="78.42578125" style="1953" customWidth="1"/>
    <col min="9730" max="9730" width="7.42578125" style="1953" customWidth="1"/>
    <col min="9731" max="9731" width="15.28515625" style="1953" customWidth="1"/>
    <col min="9732" max="9984" width="9.140625" style="1953"/>
    <col min="9985" max="9985" width="78.42578125" style="1953" customWidth="1"/>
    <col min="9986" max="9986" width="7.42578125" style="1953" customWidth="1"/>
    <col min="9987" max="9987" width="15.28515625" style="1953" customWidth="1"/>
    <col min="9988" max="10240" width="9.140625" style="1953"/>
    <col min="10241" max="10241" width="78.42578125" style="1953" customWidth="1"/>
    <col min="10242" max="10242" width="7.42578125" style="1953" customWidth="1"/>
    <col min="10243" max="10243" width="15.28515625" style="1953" customWidth="1"/>
    <col min="10244" max="10496" width="9.140625" style="1953"/>
    <col min="10497" max="10497" width="78.42578125" style="1953" customWidth="1"/>
    <col min="10498" max="10498" width="7.42578125" style="1953" customWidth="1"/>
    <col min="10499" max="10499" width="15.28515625" style="1953" customWidth="1"/>
    <col min="10500" max="10752" width="9.140625" style="1953"/>
    <col min="10753" max="10753" width="78.42578125" style="1953" customWidth="1"/>
    <col min="10754" max="10754" width="7.42578125" style="1953" customWidth="1"/>
    <col min="10755" max="10755" width="15.28515625" style="1953" customWidth="1"/>
    <col min="10756" max="11008" width="9.140625" style="1953"/>
    <col min="11009" max="11009" width="78.42578125" style="1953" customWidth="1"/>
    <col min="11010" max="11010" width="7.42578125" style="1953" customWidth="1"/>
    <col min="11011" max="11011" width="15.28515625" style="1953" customWidth="1"/>
    <col min="11012" max="11264" width="9.140625" style="1953"/>
    <col min="11265" max="11265" width="78.42578125" style="1953" customWidth="1"/>
    <col min="11266" max="11266" width="7.42578125" style="1953" customWidth="1"/>
    <col min="11267" max="11267" width="15.28515625" style="1953" customWidth="1"/>
    <col min="11268" max="11520" width="9.140625" style="1953"/>
    <col min="11521" max="11521" width="78.42578125" style="1953" customWidth="1"/>
    <col min="11522" max="11522" width="7.42578125" style="1953" customWidth="1"/>
    <col min="11523" max="11523" width="15.28515625" style="1953" customWidth="1"/>
    <col min="11524" max="11776" width="9.140625" style="1953"/>
    <col min="11777" max="11777" width="78.42578125" style="1953" customWidth="1"/>
    <col min="11778" max="11778" width="7.42578125" style="1953" customWidth="1"/>
    <col min="11779" max="11779" width="15.28515625" style="1953" customWidth="1"/>
    <col min="11780" max="12032" width="9.140625" style="1953"/>
    <col min="12033" max="12033" width="78.42578125" style="1953" customWidth="1"/>
    <col min="12034" max="12034" width="7.42578125" style="1953" customWidth="1"/>
    <col min="12035" max="12035" width="15.28515625" style="1953" customWidth="1"/>
    <col min="12036" max="12288" width="9.140625" style="1953"/>
    <col min="12289" max="12289" width="78.42578125" style="1953" customWidth="1"/>
    <col min="12290" max="12290" width="7.42578125" style="1953" customWidth="1"/>
    <col min="12291" max="12291" width="15.28515625" style="1953" customWidth="1"/>
    <col min="12292" max="12544" width="9.140625" style="1953"/>
    <col min="12545" max="12545" width="78.42578125" style="1953" customWidth="1"/>
    <col min="12546" max="12546" width="7.42578125" style="1953" customWidth="1"/>
    <col min="12547" max="12547" width="15.28515625" style="1953" customWidth="1"/>
    <col min="12548" max="12800" width="9.140625" style="1953"/>
    <col min="12801" max="12801" width="78.42578125" style="1953" customWidth="1"/>
    <col min="12802" max="12802" width="7.42578125" style="1953" customWidth="1"/>
    <col min="12803" max="12803" width="15.28515625" style="1953" customWidth="1"/>
    <col min="12804" max="13056" width="9.140625" style="1953"/>
    <col min="13057" max="13057" width="78.42578125" style="1953" customWidth="1"/>
    <col min="13058" max="13058" width="7.42578125" style="1953" customWidth="1"/>
    <col min="13059" max="13059" width="15.28515625" style="1953" customWidth="1"/>
    <col min="13060" max="13312" width="9.140625" style="1953"/>
    <col min="13313" max="13313" width="78.42578125" style="1953" customWidth="1"/>
    <col min="13314" max="13314" width="7.42578125" style="1953" customWidth="1"/>
    <col min="13315" max="13315" width="15.28515625" style="1953" customWidth="1"/>
    <col min="13316" max="13568" width="9.140625" style="1953"/>
    <col min="13569" max="13569" width="78.42578125" style="1953" customWidth="1"/>
    <col min="13570" max="13570" width="7.42578125" style="1953" customWidth="1"/>
    <col min="13571" max="13571" width="15.28515625" style="1953" customWidth="1"/>
    <col min="13572" max="13824" width="9.140625" style="1953"/>
    <col min="13825" max="13825" width="78.42578125" style="1953" customWidth="1"/>
    <col min="13826" max="13826" width="7.42578125" style="1953" customWidth="1"/>
    <col min="13827" max="13827" width="15.28515625" style="1953" customWidth="1"/>
    <col min="13828" max="14080" width="9.140625" style="1953"/>
    <col min="14081" max="14081" width="78.42578125" style="1953" customWidth="1"/>
    <col min="14082" max="14082" width="7.42578125" style="1953" customWidth="1"/>
    <col min="14083" max="14083" width="15.28515625" style="1953" customWidth="1"/>
    <col min="14084" max="14336" width="9.140625" style="1953"/>
    <col min="14337" max="14337" width="78.42578125" style="1953" customWidth="1"/>
    <col min="14338" max="14338" width="7.42578125" style="1953" customWidth="1"/>
    <col min="14339" max="14339" width="15.28515625" style="1953" customWidth="1"/>
    <col min="14340" max="14592" width="9.140625" style="1953"/>
    <col min="14593" max="14593" width="78.42578125" style="1953" customWidth="1"/>
    <col min="14594" max="14594" width="7.42578125" style="1953" customWidth="1"/>
    <col min="14595" max="14595" width="15.28515625" style="1953" customWidth="1"/>
    <col min="14596" max="14848" width="9.140625" style="1953"/>
    <col min="14849" max="14849" width="78.42578125" style="1953" customWidth="1"/>
    <col min="14850" max="14850" width="7.42578125" style="1953" customWidth="1"/>
    <col min="14851" max="14851" width="15.28515625" style="1953" customWidth="1"/>
    <col min="14852" max="15104" width="9.140625" style="1953"/>
    <col min="15105" max="15105" width="78.42578125" style="1953" customWidth="1"/>
    <col min="15106" max="15106" width="7.42578125" style="1953" customWidth="1"/>
    <col min="15107" max="15107" width="15.28515625" style="1953" customWidth="1"/>
    <col min="15108" max="15360" width="9.140625" style="1953"/>
    <col min="15361" max="15361" width="78.42578125" style="1953" customWidth="1"/>
    <col min="15362" max="15362" width="7.42578125" style="1953" customWidth="1"/>
    <col min="15363" max="15363" width="15.28515625" style="1953" customWidth="1"/>
    <col min="15364" max="15616" width="9.140625" style="1953"/>
    <col min="15617" max="15617" width="78.42578125" style="1953" customWidth="1"/>
    <col min="15618" max="15618" width="7.42578125" style="1953" customWidth="1"/>
    <col min="15619" max="15619" width="15.28515625" style="1953" customWidth="1"/>
    <col min="15620" max="15872" width="9.140625" style="1953"/>
    <col min="15873" max="15873" width="78.42578125" style="1953" customWidth="1"/>
    <col min="15874" max="15874" width="7.42578125" style="1953" customWidth="1"/>
    <col min="15875" max="15875" width="15.28515625" style="1953" customWidth="1"/>
    <col min="15876" max="16128" width="9.140625" style="1953"/>
    <col min="16129" max="16129" width="78.42578125" style="1953" customWidth="1"/>
    <col min="16130" max="16130" width="7.42578125" style="1953" customWidth="1"/>
    <col min="16131" max="16131" width="15.28515625" style="1953" customWidth="1"/>
    <col min="16132" max="16384" width="9.140625" style="1953"/>
  </cols>
  <sheetData>
    <row r="1" spans="1:3" ht="15.75" x14ac:dyDescent="0.25">
      <c r="A1" s="2405" t="s">
        <v>2095</v>
      </c>
      <c r="B1" s="2405"/>
      <c r="C1" s="2405"/>
    </row>
    <row r="2" spans="1:3" ht="15.75" x14ac:dyDescent="0.25">
      <c r="A2" s="2405" t="s">
        <v>1126</v>
      </c>
      <c r="B2" s="2405"/>
      <c r="C2" s="2405"/>
    </row>
    <row r="3" spans="1:3" ht="15.75" x14ac:dyDescent="0.25">
      <c r="A3" s="2404" t="s">
        <v>2135</v>
      </c>
      <c r="B3" s="2404"/>
      <c r="C3" s="2404"/>
    </row>
    <row r="4" spans="1:3" ht="15.75" x14ac:dyDescent="0.25">
      <c r="A4" s="1954"/>
      <c r="B4" s="1954"/>
      <c r="C4" s="1954"/>
    </row>
    <row r="5" spans="1:3" ht="15.75" x14ac:dyDescent="0.25">
      <c r="A5" s="1955"/>
      <c r="B5" s="1955"/>
      <c r="C5" s="1955"/>
    </row>
    <row r="6" spans="1:3" ht="15.75" x14ac:dyDescent="0.25">
      <c r="A6" s="1955"/>
      <c r="B6" s="1955"/>
      <c r="C6" s="1955"/>
    </row>
    <row r="7" spans="1:3" ht="16.5" x14ac:dyDescent="0.25">
      <c r="A7" s="1956"/>
      <c r="B7" s="1956"/>
      <c r="C7" s="1957" t="s">
        <v>2096</v>
      </c>
    </row>
    <row r="8" spans="1:3" ht="16.5" x14ac:dyDescent="0.25">
      <c r="A8" s="1956"/>
      <c r="B8" s="1956"/>
      <c r="C8" s="1957"/>
    </row>
    <row r="9" spans="1:3" ht="16.5" x14ac:dyDescent="0.25">
      <c r="A9" s="1958" t="s">
        <v>2097</v>
      </c>
      <c r="B9" s="1959"/>
      <c r="C9" s="1960" t="s">
        <v>2098</v>
      </c>
    </row>
    <row r="10" spans="1:3" ht="16.5" x14ac:dyDescent="0.25">
      <c r="A10" s="1958"/>
      <c r="B10" s="1959"/>
      <c r="C10" s="1960"/>
    </row>
    <row r="11" spans="1:3" ht="16.5" x14ac:dyDescent="0.25">
      <c r="A11" s="1958" t="s">
        <v>2099</v>
      </c>
      <c r="B11" s="1961"/>
      <c r="C11" s="1960"/>
    </row>
    <row r="12" spans="1:3" ht="16.5" x14ac:dyDescent="0.25">
      <c r="A12" s="1958" t="s">
        <v>2100</v>
      </c>
      <c r="B12" s="1961"/>
      <c r="C12" s="1960"/>
    </row>
    <row r="13" spans="1:3" ht="16.5" x14ac:dyDescent="0.25">
      <c r="A13" s="1958" t="s">
        <v>2101</v>
      </c>
      <c r="B13" s="1961"/>
      <c r="C13" s="1960" t="s">
        <v>2201</v>
      </c>
    </row>
    <row r="14" spans="1:3" ht="16.5" x14ac:dyDescent="0.25">
      <c r="A14" s="1958"/>
      <c r="B14" s="1961"/>
      <c r="C14" s="1960"/>
    </row>
    <row r="15" spans="1:3" ht="16.5" x14ac:dyDescent="0.25">
      <c r="A15" s="1962" t="s">
        <v>2102</v>
      </c>
      <c r="B15" s="1961"/>
      <c r="C15" s="1960"/>
    </row>
    <row r="16" spans="1:3" ht="16.5" x14ac:dyDescent="0.25">
      <c r="A16" s="1958"/>
      <c r="B16" s="1961"/>
      <c r="C16" s="1960"/>
    </row>
    <row r="17" spans="1:3" ht="16.5" x14ac:dyDescent="0.25">
      <c r="A17" s="1958" t="s">
        <v>2103</v>
      </c>
      <c r="B17" s="1961"/>
      <c r="C17" s="1960"/>
    </row>
    <row r="18" spans="1:3" ht="16.5" x14ac:dyDescent="0.25">
      <c r="A18" s="1958" t="s">
        <v>2104</v>
      </c>
      <c r="B18" s="1961"/>
      <c r="C18" s="1960" t="s">
        <v>2202</v>
      </c>
    </row>
    <row r="19" spans="1:3" ht="16.5" x14ac:dyDescent="0.25">
      <c r="A19" s="1958"/>
      <c r="B19" s="1961"/>
      <c r="C19" s="1960"/>
    </row>
    <row r="20" spans="1:3" ht="16.5" x14ac:dyDescent="0.25">
      <c r="A20" s="1958" t="s">
        <v>2105</v>
      </c>
      <c r="B20" s="1961"/>
      <c r="C20" s="1960"/>
    </row>
    <row r="21" spans="1:3" ht="16.5" x14ac:dyDescent="0.25">
      <c r="A21" s="1958" t="s">
        <v>2106</v>
      </c>
      <c r="B21" s="1961"/>
      <c r="C21" s="1960" t="s">
        <v>2203</v>
      </c>
    </row>
    <row r="22" spans="1:3" ht="16.5" x14ac:dyDescent="0.25">
      <c r="A22" s="1958"/>
      <c r="B22" s="1961"/>
      <c r="C22" s="1960"/>
    </row>
    <row r="23" spans="1:3" ht="16.5" x14ac:dyDescent="0.25">
      <c r="A23" s="1958" t="s">
        <v>2107</v>
      </c>
      <c r="B23" s="1961"/>
      <c r="C23" s="1960" t="s">
        <v>2204</v>
      </c>
    </row>
    <row r="24" spans="1:3" ht="16.5" x14ac:dyDescent="0.25">
      <c r="A24" s="1958"/>
      <c r="B24" s="1961"/>
      <c r="C24" s="1960"/>
    </row>
    <row r="25" spans="1:3" ht="16.5" x14ac:dyDescent="0.25">
      <c r="A25" s="1958" t="s">
        <v>2108</v>
      </c>
      <c r="B25" s="1961"/>
      <c r="C25" s="1960" t="s">
        <v>2205</v>
      </c>
    </row>
    <row r="26" spans="1:3" ht="16.5" x14ac:dyDescent="0.25">
      <c r="A26" s="1958"/>
      <c r="B26" s="1963"/>
      <c r="C26" s="1960"/>
    </row>
    <row r="27" spans="1:3" ht="16.5" x14ac:dyDescent="0.25">
      <c r="A27" s="1958" t="s">
        <v>2109</v>
      </c>
      <c r="B27" s="1963"/>
      <c r="C27" s="1960" t="s">
        <v>2206</v>
      </c>
    </row>
    <row r="28" spans="1:3" ht="16.5" x14ac:dyDescent="0.25">
      <c r="A28" s="1958"/>
      <c r="B28" s="1963"/>
      <c r="C28" s="1960"/>
    </row>
    <row r="29" spans="1:3" ht="16.5" x14ac:dyDescent="0.25">
      <c r="A29" s="1962" t="s">
        <v>2111</v>
      </c>
      <c r="B29" s="1963"/>
      <c r="C29" s="1960"/>
    </row>
    <row r="30" spans="1:3" ht="16.5" x14ac:dyDescent="0.25">
      <c r="A30" s="1958"/>
      <c r="B30" s="1963"/>
      <c r="C30" s="1960"/>
    </row>
    <row r="31" spans="1:3" ht="16.5" x14ac:dyDescent="0.25">
      <c r="A31" s="1958" t="s">
        <v>2112</v>
      </c>
      <c r="B31" s="1963"/>
      <c r="C31" s="1960" t="s">
        <v>2136</v>
      </c>
    </row>
    <row r="32" spans="1:3" ht="16.5" x14ac:dyDescent="0.25">
      <c r="A32" s="1958"/>
      <c r="B32" s="1963"/>
      <c r="C32" s="1960"/>
    </row>
    <row r="33" spans="1:3" ht="16.5" x14ac:dyDescent="0.25">
      <c r="A33" s="1958" t="s">
        <v>2113</v>
      </c>
      <c r="B33" s="1963"/>
      <c r="C33" s="1960" t="s">
        <v>2137</v>
      </c>
    </row>
    <row r="34" spans="1:3" ht="16.5" x14ac:dyDescent="0.25">
      <c r="A34" s="1958"/>
      <c r="B34" s="1963"/>
      <c r="C34" s="1960"/>
    </row>
    <row r="35" spans="1:3" ht="16.5" x14ac:dyDescent="0.25">
      <c r="A35" s="1958" t="s">
        <v>2114</v>
      </c>
      <c r="B35" s="1963"/>
      <c r="C35" s="1960" t="s">
        <v>2138</v>
      </c>
    </row>
    <row r="36" spans="1:3" ht="16.5" x14ac:dyDescent="0.25">
      <c r="A36" s="1958"/>
      <c r="B36" s="1963"/>
      <c r="C36" s="1960"/>
    </row>
    <row r="37" spans="1:3" ht="16.5" x14ac:dyDescent="0.25">
      <c r="A37" s="1958" t="s">
        <v>2115</v>
      </c>
      <c r="B37" s="1964"/>
      <c r="C37" s="1960" t="s">
        <v>2139</v>
      </c>
    </row>
    <row r="38" spans="1:3" ht="16.5" x14ac:dyDescent="0.25">
      <c r="A38" s="1958"/>
      <c r="B38" s="1963"/>
      <c r="C38" s="1960"/>
    </row>
    <row r="39" spans="1:3" ht="16.5" x14ac:dyDescent="0.25">
      <c r="A39" s="1962" t="s">
        <v>2118</v>
      </c>
      <c r="B39" s="1963"/>
      <c r="C39" s="1965"/>
    </row>
    <row r="40" spans="1:3" ht="16.5" x14ac:dyDescent="0.25">
      <c r="A40" s="1958"/>
      <c r="B40" s="1963"/>
      <c r="C40" s="1965"/>
    </row>
    <row r="41" spans="1:3" ht="16.5" x14ac:dyDescent="0.25">
      <c r="A41" s="1958" t="s">
        <v>2119</v>
      </c>
      <c r="B41" s="1963"/>
      <c r="C41" s="1966" t="s">
        <v>2207</v>
      </c>
    </row>
    <row r="42" spans="1:3" ht="16.5" x14ac:dyDescent="0.25">
      <c r="A42" s="1958"/>
      <c r="B42" s="1963"/>
      <c r="C42" s="1965"/>
    </row>
    <row r="43" spans="1:3" ht="16.5" x14ac:dyDescent="0.25">
      <c r="A43" s="1958" t="s">
        <v>2121</v>
      </c>
      <c r="B43" s="1963"/>
      <c r="C43" s="1965"/>
    </row>
    <row r="44" spans="1:3" ht="16.5" x14ac:dyDescent="0.25">
      <c r="A44" s="1958" t="s">
        <v>2140</v>
      </c>
      <c r="B44" s="1963"/>
      <c r="C44" s="1966" t="s">
        <v>2208</v>
      </c>
    </row>
    <row r="48" spans="1:3" ht="15.75" x14ac:dyDescent="0.25">
      <c r="A48" s="2405" t="s">
        <v>2095</v>
      </c>
      <c r="B48" s="2405"/>
      <c r="C48" s="2405"/>
    </row>
    <row r="49" spans="1:3" ht="15.75" x14ac:dyDescent="0.25">
      <c r="A49" s="2405" t="s">
        <v>2117</v>
      </c>
      <c r="B49" s="2405"/>
      <c r="C49" s="2405"/>
    </row>
    <row r="50" spans="1:3" ht="15.75" x14ac:dyDescent="0.25">
      <c r="A50" s="2404" t="s">
        <v>2135</v>
      </c>
      <c r="B50" s="2404"/>
      <c r="C50" s="2404"/>
    </row>
    <row r="51" spans="1:3" ht="15.75" x14ac:dyDescent="0.25">
      <c r="A51" s="1954"/>
      <c r="B51" s="1954"/>
      <c r="C51" s="1954"/>
    </row>
    <row r="52" spans="1:3" ht="15.75" x14ac:dyDescent="0.25">
      <c r="A52" s="1955"/>
      <c r="B52" s="1955"/>
      <c r="C52" s="1955"/>
    </row>
    <row r="53" spans="1:3" ht="15.75" x14ac:dyDescent="0.25">
      <c r="A53" s="1955"/>
      <c r="B53" s="1955"/>
      <c r="C53" s="1955"/>
    </row>
    <row r="54" spans="1:3" ht="16.5" x14ac:dyDescent="0.25">
      <c r="A54" s="1956"/>
      <c r="B54" s="1956"/>
      <c r="C54" s="1957" t="s">
        <v>2096</v>
      </c>
    </row>
    <row r="55" spans="1:3" ht="16.5" x14ac:dyDescent="0.25">
      <c r="A55" s="1958"/>
      <c r="B55" s="1963"/>
      <c r="C55" s="1965"/>
    </row>
    <row r="56" spans="1:3" ht="16.5" x14ac:dyDescent="0.25">
      <c r="A56" s="1962" t="s">
        <v>2122</v>
      </c>
      <c r="B56" s="1963"/>
      <c r="C56" s="1965"/>
    </row>
    <row r="57" spans="1:3" ht="16.5" x14ac:dyDescent="0.25">
      <c r="A57" s="1958"/>
      <c r="B57" s="1963"/>
      <c r="C57" s="1965"/>
    </row>
    <row r="58" spans="1:3" ht="16.5" x14ac:dyDescent="0.25">
      <c r="A58" s="1958" t="s">
        <v>2123</v>
      </c>
      <c r="B58" s="1963"/>
      <c r="C58" s="1966" t="s">
        <v>2110</v>
      </c>
    </row>
    <row r="59" spans="1:3" ht="16.5" x14ac:dyDescent="0.25">
      <c r="A59" s="1958"/>
      <c r="B59" s="1963"/>
      <c r="C59" s="1966"/>
    </row>
    <row r="60" spans="1:3" ht="16.5" x14ac:dyDescent="0.25">
      <c r="A60" s="1958" t="s">
        <v>2124</v>
      </c>
      <c r="B60" s="1963"/>
      <c r="C60" s="1966" t="s">
        <v>2209</v>
      </c>
    </row>
    <row r="61" spans="1:3" ht="16.5" x14ac:dyDescent="0.25">
      <c r="A61" s="1958"/>
      <c r="B61" s="1963"/>
      <c r="C61" s="1966"/>
    </row>
    <row r="62" spans="1:3" ht="16.5" x14ac:dyDescent="0.25">
      <c r="A62" s="1958" t="s">
        <v>2125</v>
      </c>
      <c r="B62" s="1963"/>
      <c r="C62" s="1966" t="s">
        <v>2210</v>
      </c>
    </row>
    <row r="63" spans="1:3" ht="16.5" x14ac:dyDescent="0.25">
      <c r="A63" s="1958"/>
      <c r="B63" s="1963"/>
      <c r="C63" s="1965"/>
    </row>
    <row r="64" spans="1:3" ht="16.5" x14ac:dyDescent="0.25">
      <c r="A64" s="1958" t="s">
        <v>2126</v>
      </c>
      <c r="B64" s="1963"/>
      <c r="C64" s="1966" t="s">
        <v>2211</v>
      </c>
    </row>
    <row r="65" spans="1:3" ht="16.5" x14ac:dyDescent="0.25">
      <c r="A65" s="1958"/>
      <c r="B65" s="1963"/>
      <c r="C65" s="1965"/>
    </row>
    <row r="66" spans="1:3" ht="16.5" x14ac:dyDescent="0.25">
      <c r="A66" s="1958" t="s">
        <v>2127</v>
      </c>
      <c r="B66" s="1963"/>
      <c r="C66" s="1966" t="s">
        <v>2116</v>
      </c>
    </row>
    <row r="67" spans="1:3" ht="16.5" x14ac:dyDescent="0.25">
      <c r="A67" s="1958"/>
      <c r="B67" s="1963"/>
      <c r="C67" s="1965"/>
    </row>
    <row r="68" spans="1:3" ht="16.5" x14ac:dyDescent="0.25">
      <c r="A68" s="1958" t="s">
        <v>2128</v>
      </c>
      <c r="B68" s="1963"/>
      <c r="C68" s="1966" t="s">
        <v>2120</v>
      </c>
    </row>
    <row r="69" spans="1:3" ht="16.5" x14ac:dyDescent="0.25">
      <c r="A69" s="1958"/>
      <c r="B69" s="1963"/>
      <c r="C69" s="1965"/>
    </row>
    <row r="70" spans="1:3" ht="16.5" x14ac:dyDescent="0.25">
      <c r="A70" s="1958" t="s">
        <v>2141</v>
      </c>
      <c r="B70" s="1963"/>
      <c r="C70" s="1966" t="s">
        <v>2190</v>
      </c>
    </row>
    <row r="71" spans="1:3" ht="16.5" x14ac:dyDescent="0.25">
      <c r="A71" s="1958"/>
      <c r="B71" s="1963"/>
      <c r="C71" s="1965"/>
    </row>
    <row r="72" spans="1:3" ht="16.5" x14ac:dyDescent="0.25">
      <c r="A72" s="1963" t="s">
        <v>2129</v>
      </c>
      <c r="B72" s="1967"/>
      <c r="C72" s="1966" t="s">
        <v>2212</v>
      </c>
    </row>
    <row r="73" spans="1:3" ht="15.75" x14ac:dyDescent="0.25">
      <c r="A73" s="1967"/>
      <c r="B73" s="1967"/>
      <c r="C73" s="1968"/>
    </row>
    <row r="74" spans="1:3" ht="15.75" x14ac:dyDescent="0.25">
      <c r="A74" s="1967"/>
      <c r="B74" s="1967"/>
      <c r="C74" s="1968"/>
    </row>
    <row r="75" spans="1:3" ht="15" x14ac:dyDescent="0.25">
      <c r="A75" s="1969"/>
      <c r="B75" s="1969"/>
      <c r="C75" s="1970"/>
    </row>
    <row r="76" spans="1:3" ht="15" x14ac:dyDescent="0.25">
      <c r="A76" s="1971" t="s">
        <v>2130</v>
      </c>
    </row>
    <row r="77" spans="1:3" ht="15" x14ac:dyDescent="0.25">
      <c r="A77" s="1969" t="s">
        <v>2131</v>
      </c>
    </row>
    <row r="78" spans="1:3" ht="15" x14ac:dyDescent="0.25">
      <c r="A78" s="1969" t="s">
        <v>2132</v>
      </c>
    </row>
    <row r="79" spans="1:3" ht="15" x14ac:dyDescent="0.25">
      <c r="A79" s="1969" t="s">
        <v>2133</v>
      </c>
    </row>
    <row r="80" spans="1:3" ht="15" x14ac:dyDescent="0.25">
      <c r="A80" s="1969" t="s">
        <v>2134</v>
      </c>
    </row>
  </sheetData>
  <mergeCells count="6">
    <mergeCell ref="A50:C50"/>
    <mergeCell ref="A1:C1"/>
    <mergeCell ref="A2:C2"/>
    <mergeCell ref="A3:C3"/>
    <mergeCell ref="A48:C48"/>
    <mergeCell ref="A49:C49"/>
  </mergeCells>
  <printOptions horizontalCentered="1"/>
  <pageMargins left="1" right="0.75" top="1.25" bottom="0.75" header="1" footer="0.25"/>
  <pageSetup scale="86" fitToHeight="2" orientation="portrait" r:id="rId1"/>
  <rowBreaks count="1" manualBreakCount="1">
    <brk id="47" max="16383"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8" sqref="B8"/>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1573</v>
      </c>
    </row>
    <row r="15" spans="1:6" x14ac:dyDescent="0.2">
      <c r="A15" s="389" t="s">
        <v>912</v>
      </c>
    </row>
    <row r="16" spans="1:6" s="1069" customFormat="1" ht="45" customHeight="1" x14ac:dyDescent="0.2">
      <c r="A16" s="1071"/>
      <c r="B16" s="1071" t="s">
        <v>1783</v>
      </c>
    </row>
    <row r="17" spans="1:2" ht="6" customHeight="1" x14ac:dyDescent="0.2"/>
    <row r="18" spans="1:2" ht="24.75" customHeight="1" x14ac:dyDescent="0.2">
      <c r="A18" s="2406" t="s">
        <v>1784</v>
      </c>
      <c r="B18" s="240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1:F18"/>
  <sheetViews>
    <sheetView showGridLines="0" zoomScale="110" zoomScaleNormal="110" workbookViewId="0">
      <selection activeCell="B12" sqref="B12"/>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1573</v>
      </c>
    </row>
    <row r="15" spans="1:6" x14ac:dyDescent="0.2">
      <c r="A15" s="389" t="s">
        <v>912</v>
      </c>
    </row>
    <row r="16" spans="1:6" s="1069" customFormat="1" ht="45" customHeight="1" x14ac:dyDescent="0.2">
      <c r="A16" s="1071"/>
      <c r="B16" s="1071" t="s">
        <v>1783</v>
      </c>
    </row>
    <row r="17" spans="1:2" ht="6" customHeight="1" x14ac:dyDescent="0.2"/>
    <row r="18" spans="1:2" ht="24.75" customHeight="1" x14ac:dyDescent="0.2">
      <c r="A18" s="2406" t="s">
        <v>1784</v>
      </c>
      <c r="B18" s="2406"/>
    </row>
  </sheetData>
  <sheetProtection selectLockedCells="1"/>
  <mergeCells count="1">
    <mergeCell ref="A18:B18"/>
  </mergeCells>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1</xdr:row>
                <xdr:rowOff>0</xdr:rowOff>
              </from>
              <to>
                <xdr:col>1</xdr:col>
                <xdr:colOff>914400</xdr:colOff>
                <xdr:row>4</xdr:row>
                <xdr:rowOff>161925</xdr:rowOff>
              </to>
            </anchor>
          </objectPr>
        </oleObject>
      </mc:Choice>
      <mc:Fallback>
        <oleObject progId="Acrobat Document" dvAspect="DVASPECT_ICON" shapeId="36865" r:id="rId4"/>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1:F18"/>
  <sheetViews>
    <sheetView showGridLines="0" zoomScale="110" zoomScaleNormal="110" workbookViewId="0">
      <selection activeCell="J15" sqref="J15"/>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1573</v>
      </c>
    </row>
    <row r="15" spans="1:6" x14ac:dyDescent="0.2">
      <c r="A15" s="389" t="s">
        <v>912</v>
      </c>
    </row>
    <row r="16" spans="1:6" s="1069" customFormat="1" ht="45" customHeight="1" x14ac:dyDescent="0.2">
      <c r="A16" s="1071"/>
      <c r="B16" s="1071" t="s">
        <v>1783</v>
      </c>
    </row>
    <row r="17" spans="1:2" ht="6" customHeight="1" x14ac:dyDescent="0.2"/>
    <row r="18" spans="1:2" ht="24.75" customHeight="1" x14ac:dyDescent="0.2">
      <c r="A18" s="2406" t="s">
        <v>1784</v>
      </c>
      <c r="B18" s="2406"/>
    </row>
  </sheetData>
  <sheetProtection selectLockedCells="1"/>
  <mergeCells count="1">
    <mergeCell ref="A18:B18"/>
  </mergeCells>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8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7889"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6"/>
  <sheetViews>
    <sheetView topLeftCell="A38" zoomScale="145" zoomScaleNormal="145" workbookViewId="0">
      <selection activeCell="E51" sqref="E51"/>
    </sheetView>
  </sheetViews>
  <sheetFormatPr defaultColWidth="9.140625" defaultRowHeight="12.75" x14ac:dyDescent="0.2"/>
  <cols>
    <col min="1" max="1" width="29" style="1953" customWidth="1"/>
    <col min="2" max="2" width="1.85546875" style="1953" customWidth="1"/>
    <col min="3" max="3" width="14.42578125" style="1953" customWidth="1"/>
    <col min="4" max="4" width="1.85546875" style="1953" customWidth="1"/>
    <col min="5" max="5" width="14.42578125" style="1953" customWidth="1"/>
    <col min="6" max="6" width="1.85546875" style="1953" customWidth="1"/>
    <col min="7" max="7" width="14.42578125" style="1953" customWidth="1"/>
    <col min="8" max="8" width="1.85546875" style="1953" customWidth="1"/>
    <col min="9" max="9" width="14.42578125" style="1953" customWidth="1"/>
    <col min="10" max="10" width="1.85546875" style="1953" customWidth="1"/>
    <col min="11" max="256" width="9.140625" style="1953"/>
    <col min="257" max="257" width="29" style="1953" customWidth="1"/>
    <col min="258" max="258" width="1.85546875" style="1953" customWidth="1"/>
    <col min="259" max="259" width="14.42578125" style="1953" customWidth="1"/>
    <col min="260" max="260" width="1.85546875" style="1953" customWidth="1"/>
    <col min="261" max="261" width="14.42578125" style="1953" customWidth="1"/>
    <col min="262" max="262" width="1.85546875" style="1953" customWidth="1"/>
    <col min="263" max="263" width="14.42578125" style="1953" customWidth="1"/>
    <col min="264" max="264" width="1.85546875" style="1953" customWidth="1"/>
    <col min="265" max="265" width="14.42578125" style="1953" customWidth="1"/>
    <col min="266" max="266" width="1.85546875" style="1953" customWidth="1"/>
    <col min="267" max="512" width="9.140625" style="1953"/>
    <col min="513" max="513" width="29" style="1953" customWidth="1"/>
    <col min="514" max="514" width="1.85546875" style="1953" customWidth="1"/>
    <col min="515" max="515" width="14.42578125" style="1953" customWidth="1"/>
    <col min="516" max="516" width="1.85546875" style="1953" customWidth="1"/>
    <col min="517" max="517" width="14.42578125" style="1953" customWidth="1"/>
    <col min="518" max="518" width="1.85546875" style="1953" customWidth="1"/>
    <col min="519" max="519" width="14.42578125" style="1953" customWidth="1"/>
    <col min="520" max="520" width="1.85546875" style="1953" customWidth="1"/>
    <col min="521" max="521" width="14.42578125" style="1953" customWidth="1"/>
    <col min="522" max="522" width="1.85546875" style="1953" customWidth="1"/>
    <col min="523" max="768" width="9.140625" style="1953"/>
    <col min="769" max="769" width="29" style="1953" customWidth="1"/>
    <col min="770" max="770" width="1.85546875" style="1953" customWidth="1"/>
    <col min="771" max="771" width="14.42578125" style="1953" customWidth="1"/>
    <col min="772" max="772" width="1.85546875" style="1953" customWidth="1"/>
    <col min="773" max="773" width="14.42578125" style="1953" customWidth="1"/>
    <col min="774" max="774" width="1.85546875" style="1953" customWidth="1"/>
    <col min="775" max="775" width="14.42578125" style="1953" customWidth="1"/>
    <col min="776" max="776" width="1.85546875" style="1953" customWidth="1"/>
    <col min="777" max="777" width="14.42578125" style="1953" customWidth="1"/>
    <col min="778" max="778" width="1.85546875" style="1953" customWidth="1"/>
    <col min="779" max="1024" width="9.140625" style="1953"/>
    <col min="1025" max="1025" width="29" style="1953" customWidth="1"/>
    <col min="1026" max="1026" width="1.85546875" style="1953" customWidth="1"/>
    <col min="1027" max="1027" width="14.42578125" style="1953" customWidth="1"/>
    <col min="1028" max="1028" width="1.85546875" style="1953" customWidth="1"/>
    <col min="1029" max="1029" width="14.42578125" style="1953" customWidth="1"/>
    <col min="1030" max="1030" width="1.85546875" style="1953" customWidth="1"/>
    <col min="1031" max="1031" width="14.42578125" style="1953" customWidth="1"/>
    <col min="1032" max="1032" width="1.85546875" style="1953" customWidth="1"/>
    <col min="1033" max="1033" width="14.42578125" style="1953" customWidth="1"/>
    <col min="1034" max="1034" width="1.85546875" style="1953" customWidth="1"/>
    <col min="1035" max="1280" width="9.140625" style="1953"/>
    <col min="1281" max="1281" width="29" style="1953" customWidth="1"/>
    <col min="1282" max="1282" width="1.85546875" style="1953" customWidth="1"/>
    <col min="1283" max="1283" width="14.42578125" style="1953" customWidth="1"/>
    <col min="1284" max="1284" width="1.85546875" style="1953" customWidth="1"/>
    <col min="1285" max="1285" width="14.42578125" style="1953" customWidth="1"/>
    <col min="1286" max="1286" width="1.85546875" style="1953" customWidth="1"/>
    <col min="1287" max="1287" width="14.42578125" style="1953" customWidth="1"/>
    <col min="1288" max="1288" width="1.85546875" style="1953" customWidth="1"/>
    <col min="1289" max="1289" width="14.42578125" style="1953" customWidth="1"/>
    <col min="1290" max="1290" width="1.85546875" style="1953" customWidth="1"/>
    <col min="1291" max="1536" width="9.140625" style="1953"/>
    <col min="1537" max="1537" width="29" style="1953" customWidth="1"/>
    <col min="1538" max="1538" width="1.85546875" style="1953" customWidth="1"/>
    <col min="1539" max="1539" width="14.42578125" style="1953" customWidth="1"/>
    <col min="1540" max="1540" width="1.85546875" style="1953" customWidth="1"/>
    <col min="1541" max="1541" width="14.42578125" style="1953" customWidth="1"/>
    <col min="1542" max="1542" width="1.85546875" style="1953" customWidth="1"/>
    <col min="1543" max="1543" width="14.42578125" style="1953" customWidth="1"/>
    <col min="1544" max="1544" width="1.85546875" style="1953" customWidth="1"/>
    <col min="1545" max="1545" width="14.42578125" style="1953" customWidth="1"/>
    <col min="1546" max="1546" width="1.85546875" style="1953" customWidth="1"/>
    <col min="1547" max="1792" width="9.140625" style="1953"/>
    <col min="1793" max="1793" width="29" style="1953" customWidth="1"/>
    <col min="1794" max="1794" width="1.85546875" style="1953" customWidth="1"/>
    <col min="1795" max="1795" width="14.42578125" style="1953" customWidth="1"/>
    <col min="1796" max="1796" width="1.85546875" style="1953" customWidth="1"/>
    <col min="1797" max="1797" width="14.42578125" style="1953" customWidth="1"/>
    <col min="1798" max="1798" width="1.85546875" style="1953" customWidth="1"/>
    <col min="1799" max="1799" width="14.42578125" style="1953" customWidth="1"/>
    <col min="1800" max="1800" width="1.85546875" style="1953" customWidth="1"/>
    <col min="1801" max="1801" width="14.42578125" style="1953" customWidth="1"/>
    <col min="1802" max="1802" width="1.85546875" style="1953" customWidth="1"/>
    <col min="1803" max="2048" width="9.140625" style="1953"/>
    <col min="2049" max="2049" width="29" style="1953" customWidth="1"/>
    <col min="2050" max="2050" width="1.85546875" style="1953" customWidth="1"/>
    <col min="2051" max="2051" width="14.42578125" style="1953" customWidth="1"/>
    <col min="2052" max="2052" width="1.85546875" style="1953" customWidth="1"/>
    <col min="2053" max="2053" width="14.42578125" style="1953" customWidth="1"/>
    <col min="2054" max="2054" width="1.85546875" style="1953" customWidth="1"/>
    <col min="2055" max="2055" width="14.42578125" style="1953" customWidth="1"/>
    <col min="2056" max="2056" width="1.85546875" style="1953" customWidth="1"/>
    <col min="2057" max="2057" width="14.42578125" style="1953" customWidth="1"/>
    <col min="2058" max="2058" width="1.85546875" style="1953" customWidth="1"/>
    <col min="2059" max="2304" width="9.140625" style="1953"/>
    <col min="2305" max="2305" width="29" style="1953" customWidth="1"/>
    <col min="2306" max="2306" width="1.85546875" style="1953" customWidth="1"/>
    <col min="2307" max="2307" width="14.42578125" style="1953" customWidth="1"/>
    <col min="2308" max="2308" width="1.85546875" style="1953" customWidth="1"/>
    <col min="2309" max="2309" width="14.42578125" style="1953" customWidth="1"/>
    <col min="2310" max="2310" width="1.85546875" style="1953" customWidth="1"/>
    <col min="2311" max="2311" width="14.42578125" style="1953" customWidth="1"/>
    <col min="2312" max="2312" width="1.85546875" style="1953" customWidth="1"/>
    <col min="2313" max="2313" width="14.42578125" style="1953" customWidth="1"/>
    <col min="2314" max="2314" width="1.85546875" style="1953" customWidth="1"/>
    <col min="2315" max="2560" width="9.140625" style="1953"/>
    <col min="2561" max="2561" width="29" style="1953" customWidth="1"/>
    <col min="2562" max="2562" width="1.85546875" style="1953" customWidth="1"/>
    <col min="2563" max="2563" width="14.42578125" style="1953" customWidth="1"/>
    <col min="2564" max="2564" width="1.85546875" style="1953" customWidth="1"/>
    <col min="2565" max="2565" width="14.42578125" style="1953" customWidth="1"/>
    <col min="2566" max="2566" width="1.85546875" style="1953" customWidth="1"/>
    <col min="2567" max="2567" width="14.42578125" style="1953" customWidth="1"/>
    <col min="2568" max="2568" width="1.85546875" style="1953" customWidth="1"/>
    <col min="2569" max="2569" width="14.42578125" style="1953" customWidth="1"/>
    <col min="2570" max="2570" width="1.85546875" style="1953" customWidth="1"/>
    <col min="2571" max="2816" width="9.140625" style="1953"/>
    <col min="2817" max="2817" width="29" style="1953" customWidth="1"/>
    <col min="2818" max="2818" width="1.85546875" style="1953" customWidth="1"/>
    <col min="2819" max="2819" width="14.42578125" style="1953" customWidth="1"/>
    <col min="2820" max="2820" width="1.85546875" style="1953" customWidth="1"/>
    <col min="2821" max="2821" width="14.42578125" style="1953" customWidth="1"/>
    <col min="2822" max="2822" width="1.85546875" style="1953" customWidth="1"/>
    <col min="2823" max="2823" width="14.42578125" style="1953" customWidth="1"/>
    <col min="2824" max="2824" width="1.85546875" style="1953" customWidth="1"/>
    <col min="2825" max="2825" width="14.42578125" style="1953" customWidth="1"/>
    <col min="2826" max="2826" width="1.85546875" style="1953" customWidth="1"/>
    <col min="2827" max="3072" width="9.140625" style="1953"/>
    <col min="3073" max="3073" width="29" style="1953" customWidth="1"/>
    <col min="3074" max="3074" width="1.85546875" style="1953" customWidth="1"/>
    <col min="3075" max="3075" width="14.42578125" style="1953" customWidth="1"/>
    <col min="3076" max="3076" width="1.85546875" style="1953" customWidth="1"/>
    <col min="3077" max="3077" width="14.42578125" style="1953" customWidth="1"/>
    <col min="3078" max="3078" width="1.85546875" style="1953" customWidth="1"/>
    <col min="3079" max="3079" width="14.42578125" style="1953" customWidth="1"/>
    <col min="3080" max="3080" width="1.85546875" style="1953" customWidth="1"/>
    <col min="3081" max="3081" width="14.42578125" style="1953" customWidth="1"/>
    <col min="3082" max="3082" width="1.85546875" style="1953" customWidth="1"/>
    <col min="3083" max="3328" width="9.140625" style="1953"/>
    <col min="3329" max="3329" width="29" style="1953" customWidth="1"/>
    <col min="3330" max="3330" width="1.85546875" style="1953" customWidth="1"/>
    <col min="3331" max="3331" width="14.42578125" style="1953" customWidth="1"/>
    <col min="3332" max="3332" width="1.85546875" style="1953" customWidth="1"/>
    <col min="3333" max="3333" width="14.42578125" style="1953" customWidth="1"/>
    <col min="3334" max="3334" width="1.85546875" style="1953" customWidth="1"/>
    <col min="3335" max="3335" width="14.42578125" style="1953" customWidth="1"/>
    <col min="3336" max="3336" width="1.85546875" style="1953" customWidth="1"/>
    <col min="3337" max="3337" width="14.42578125" style="1953" customWidth="1"/>
    <col min="3338" max="3338" width="1.85546875" style="1953" customWidth="1"/>
    <col min="3339" max="3584" width="9.140625" style="1953"/>
    <col min="3585" max="3585" width="29" style="1953" customWidth="1"/>
    <col min="3586" max="3586" width="1.85546875" style="1953" customWidth="1"/>
    <col min="3587" max="3587" width="14.42578125" style="1953" customWidth="1"/>
    <col min="3588" max="3588" width="1.85546875" style="1953" customWidth="1"/>
    <col min="3589" max="3589" width="14.42578125" style="1953" customWidth="1"/>
    <col min="3590" max="3590" width="1.85546875" style="1953" customWidth="1"/>
    <col min="3591" max="3591" width="14.42578125" style="1953" customWidth="1"/>
    <col min="3592" max="3592" width="1.85546875" style="1953" customWidth="1"/>
    <col min="3593" max="3593" width="14.42578125" style="1953" customWidth="1"/>
    <col min="3594" max="3594" width="1.85546875" style="1953" customWidth="1"/>
    <col min="3595" max="3840" width="9.140625" style="1953"/>
    <col min="3841" max="3841" width="29" style="1953" customWidth="1"/>
    <col min="3842" max="3842" width="1.85546875" style="1953" customWidth="1"/>
    <col min="3843" max="3843" width="14.42578125" style="1953" customWidth="1"/>
    <col min="3844" max="3844" width="1.85546875" style="1953" customWidth="1"/>
    <col min="3845" max="3845" width="14.42578125" style="1953" customWidth="1"/>
    <col min="3846" max="3846" width="1.85546875" style="1953" customWidth="1"/>
    <col min="3847" max="3847" width="14.42578125" style="1953" customWidth="1"/>
    <col min="3848" max="3848" width="1.85546875" style="1953" customWidth="1"/>
    <col min="3849" max="3849" width="14.42578125" style="1953" customWidth="1"/>
    <col min="3850" max="3850" width="1.85546875" style="1953" customWidth="1"/>
    <col min="3851" max="4096" width="9.140625" style="1953"/>
    <col min="4097" max="4097" width="29" style="1953" customWidth="1"/>
    <col min="4098" max="4098" width="1.85546875" style="1953" customWidth="1"/>
    <col min="4099" max="4099" width="14.42578125" style="1953" customWidth="1"/>
    <col min="4100" max="4100" width="1.85546875" style="1953" customWidth="1"/>
    <col min="4101" max="4101" width="14.42578125" style="1953" customWidth="1"/>
    <col min="4102" max="4102" width="1.85546875" style="1953" customWidth="1"/>
    <col min="4103" max="4103" width="14.42578125" style="1953" customWidth="1"/>
    <col min="4104" max="4104" width="1.85546875" style="1953" customWidth="1"/>
    <col min="4105" max="4105" width="14.42578125" style="1953" customWidth="1"/>
    <col min="4106" max="4106" width="1.85546875" style="1953" customWidth="1"/>
    <col min="4107" max="4352" width="9.140625" style="1953"/>
    <col min="4353" max="4353" width="29" style="1953" customWidth="1"/>
    <col min="4354" max="4354" width="1.85546875" style="1953" customWidth="1"/>
    <col min="4355" max="4355" width="14.42578125" style="1953" customWidth="1"/>
    <col min="4356" max="4356" width="1.85546875" style="1953" customWidth="1"/>
    <col min="4357" max="4357" width="14.42578125" style="1953" customWidth="1"/>
    <col min="4358" max="4358" width="1.85546875" style="1953" customWidth="1"/>
    <col min="4359" max="4359" width="14.42578125" style="1953" customWidth="1"/>
    <col min="4360" max="4360" width="1.85546875" style="1953" customWidth="1"/>
    <col min="4361" max="4361" width="14.42578125" style="1953" customWidth="1"/>
    <col min="4362" max="4362" width="1.85546875" style="1953" customWidth="1"/>
    <col min="4363" max="4608" width="9.140625" style="1953"/>
    <col min="4609" max="4609" width="29" style="1953" customWidth="1"/>
    <col min="4610" max="4610" width="1.85546875" style="1953" customWidth="1"/>
    <col min="4611" max="4611" width="14.42578125" style="1953" customWidth="1"/>
    <col min="4612" max="4612" width="1.85546875" style="1953" customWidth="1"/>
    <col min="4613" max="4613" width="14.42578125" style="1953" customWidth="1"/>
    <col min="4614" max="4614" width="1.85546875" style="1953" customWidth="1"/>
    <col min="4615" max="4615" width="14.42578125" style="1953" customWidth="1"/>
    <col min="4616" max="4616" width="1.85546875" style="1953" customWidth="1"/>
    <col min="4617" max="4617" width="14.42578125" style="1953" customWidth="1"/>
    <col min="4618" max="4618" width="1.85546875" style="1953" customWidth="1"/>
    <col min="4619" max="4864" width="9.140625" style="1953"/>
    <col min="4865" max="4865" width="29" style="1953" customWidth="1"/>
    <col min="4866" max="4866" width="1.85546875" style="1953" customWidth="1"/>
    <col min="4867" max="4867" width="14.42578125" style="1953" customWidth="1"/>
    <col min="4868" max="4868" width="1.85546875" style="1953" customWidth="1"/>
    <col min="4869" max="4869" width="14.42578125" style="1953" customWidth="1"/>
    <col min="4870" max="4870" width="1.85546875" style="1953" customWidth="1"/>
    <col min="4871" max="4871" width="14.42578125" style="1953" customWidth="1"/>
    <col min="4872" max="4872" width="1.85546875" style="1953" customWidth="1"/>
    <col min="4873" max="4873" width="14.42578125" style="1953" customWidth="1"/>
    <col min="4874" max="4874" width="1.85546875" style="1953" customWidth="1"/>
    <col min="4875" max="5120" width="9.140625" style="1953"/>
    <col min="5121" max="5121" width="29" style="1953" customWidth="1"/>
    <col min="5122" max="5122" width="1.85546875" style="1953" customWidth="1"/>
    <col min="5123" max="5123" width="14.42578125" style="1953" customWidth="1"/>
    <col min="5124" max="5124" width="1.85546875" style="1953" customWidth="1"/>
    <col min="5125" max="5125" width="14.42578125" style="1953" customWidth="1"/>
    <col min="5126" max="5126" width="1.85546875" style="1953" customWidth="1"/>
    <col min="5127" max="5127" width="14.42578125" style="1953" customWidth="1"/>
    <col min="5128" max="5128" width="1.85546875" style="1953" customWidth="1"/>
    <col min="5129" max="5129" width="14.42578125" style="1953" customWidth="1"/>
    <col min="5130" max="5130" width="1.85546875" style="1953" customWidth="1"/>
    <col min="5131" max="5376" width="9.140625" style="1953"/>
    <col min="5377" max="5377" width="29" style="1953" customWidth="1"/>
    <col min="5378" max="5378" width="1.85546875" style="1953" customWidth="1"/>
    <col min="5379" max="5379" width="14.42578125" style="1953" customWidth="1"/>
    <col min="5380" max="5380" width="1.85546875" style="1953" customWidth="1"/>
    <col min="5381" max="5381" width="14.42578125" style="1953" customWidth="1"/>
    <col min="5382" max="5382" width="1.85546875" style="1953" customWidth="1"/>
    <col min="5383" max="5383" width="14.42578125" style="1953" customWidth="1"/>
    <col min="5384" max="5384" width="1.85546875" style="1953" customWidth="1"/>
    <col min="5385" max="5385" width="14.42578125" style="1953" customWidth="1"/>
    <col min="5386" max="5386" width="1.85546875" style="1953" customWidth="1"/>
    <col min="5387" max="5632" width="9.140625" style="1953"/>
    <col min="5633" max="5633" width="29" style="1953" customWidth="1"/>
    <col min="5634" max="5634" width="1.85546875" style="1953" customWidth="1"/>
    <col min="5635" max="5635" width="14.42578125" style="1953" customWidth="1"/>
    <col min="5636" max="5636" width="1.85546875" style="1953" customWidth="1"/>
    <col min="5637" max="5637" width="14.42578125" style="1953" customWidth="1"/>
    <col min="5638" max="5638" width="1.85546875" style="1953" customWidth="1"/>
    <col min="5639" max="5639" width="14.42578125" style="1953" customWidth="1"/>
    <col min="5640" max="5640" width="1.85546875" style="1953" customWidth="1"/>
    <col min="5641" max="5641" width="14.42578125" style="1953" customWidth="1"/>
    <col min="5642" max="5642" width="1.85546875" style="1953" customWidth="1"/>
    <col min="5643" max="5888" width="9.140625" style="1953"/>
    <col min="5889" max="5889" width="29" style="1953" customWidth="1"/>
    <col min="5890" max="5890" width="1.85546875" style="1953" customWidth="1"/>
    <col min="5891" max="5891" width="14.42578125" style="1953" customWidth="1"/>
    <col min="5892" max="5892" width="1.85546875" style="1953" customWidth="1"/>
    <col min="5893" max="5893" width="14.42578125" style="1953" customWidth="1"/>
    <col min="5894" max="5894" width="1.85546875" style="1953" customWidth="1"/>
    <col min="5895" max="5895" width="14.42578125" style="1953" customWidth="1"/>
    <col min="5896" max="5896" width="1.85546875" style="1953" customWidth="1"/>
    <col min="5897" max="5897" width="14.42578125" style="1953" customWidth="1"/>
    <col min="5898" max="5898" width="1.85546875" style="1953" customWidth="1"/>
    <col min="5899" max="6144" width="9.140625" style="1953"/>
    <col min="6145" max="6145" width="29" style="1953" customWidth="1"/>
    <col min="6146" max="6146" width="1.85546875" style="1953" customWidth="1"/>
    <col min="6147" max="6147" width="14.42578125" style="1953" customWidth="1"/>
    <col min="6148" max="6148" width="1.85546875" style="1953" customWidth="1"/>
    <col min="6149" max="6149" width="14.42578125" style="1953" customWidth="1"/>
    <col min="6150" max="6150" width="1.85546875" style="1953" customWidth="1"/>
    <col min="6151" max="6151" width="14.42578125" style="1953" customWidth="1"/>
    <col min="6152" max="6152" width="1.85546875" style="1953" customWidth="1"/>
    <col min="6153" max="6153" width="14.42578125" style="1953" customWidth="1"/>
    <col min="6154" max="6154" width="1.85546875" style="1953" customWidth="1"/>
    <col min="6155" max="6400" width="9.140625" style="1953"/>
    <col min="6401" max="6401" width="29" style="1953" customWidth="1"/>
    <col min="6402" max="6402" width="1.85546875" style="1953" customWidth="1"/>
    <col min="6403" max="6403" width="14.42578125" style="1953" customWidth="1"/>
    <col min="6404" max="6404" width="1.85546875" style="1953" customWidth="1"/>
    <col min="6405" max="6405" width="14.42578125" style="1953" customWidth="1"/>
    <col min="6406" max="6406" width="1.85546875" style="1953" customWidth="1"/>
    <col min="6407" max="6407" width="14.42578125" style="1953" customWidth="1"/>
    <col min="6408" max="6408" width="1.85546875" style="1953" customWidth="1"/>
    <col min="6409" max="6409" width="14.42578125" style="1953" customWidth="1"/>
    <col min="6410" max="6410" width="1.85546875" style="1953" customWidth="1"/>
    <col min="6411" max="6656" width="9.140625" style="1953"/>
    <col min="6657" max="6657" width="29" style="1953" customWidth="1"/>
    <col min="6658" max="6658" width="1.85546875" style="1953" customWidth="1"/>
    <col min="6659" max="6659" width="14.42578125" style="1953" customWidth="1"/>
    <col min="6660" max="6660" width="1.85546875" style="1953" customWidth="1"/>
    <col min="6661" max="6661" width="14.42578125" style="1953" customWidth="1"/>
    <col min="6662" max="6662" width="1.85546875" style="1953" customWidth="1"/>
    <col min="6663" max="6663" width="14.42578125" style="1953" customWidth="1"/>
    <col min="6664" max="6664" width="1.85546875" style="1953" customWidth="1"/>
    <col min="6665" max="6665" width="14.42578125" style="1953" customWidth="1"/>
    <col min="6666" max="6666" width="1.85546875" style="1953" customWidth="1"/>
    <col min="6667" max="6912" width="9.140625" style="1953"/>
    <col min="6913" max="6913" width="29" style="1953" customWidth="1"/>
    <col min="6914" max="6914" width="1.85546875" style="1953" customWidth="1"/>
    <col min="6915" max="6915" width="14.42578125" style="1953" customWidth="1"/>
    <col min="6916" max="6916" width="1.85546875" style="1953" customWidth="1"/>
    <col min="6917" max="6917" width="14.42578125" style="1953" customWidth="1"/>
    <col min="6918" max="6918" width="1.85546875" style="1953" customWidth="1"/>
    <col min="6919" max="6919" width="14.42578125" style="1953" customWidth="1"/>
    <col min="6920" max="6920" width="1.85546875" style="1953" customWidth="1"/>
    <col min="6921" max="6921" width="14.42578125" style="1953" customWidth="1"/>
    <col min="6922" max="6922" width="1.85546875" style="1953" customWidth="1"/>
    <col min="6923" max="7168" width="9.140625" style="1953"/>
    <col min="7169" max="7169" width="29" style="1953" customWidth="1"/>
    <col min="7170" max="7170" width="1.85546875" style="1953" customWidth="1"/>
    <col min="7171" max="7171" width="14.42578125" style="1953" customWidth="1"/>
    <col min="7172" max="7172" width="1.85546875" style="1953" customWidth="1"/>
    <col min="7173" max="7173" width="14.42578125" style="1953" customWidth="1"/>
    <col min="7174" max="7174" width="1.85546875" style="1953" customWidth="1"/>
    <col min="7175" max="7175" width="14.42578125" style="1953" customWidth="1"/>
    <col min="7176" max="7176" width="1.85546875" style="1953" customWidth="1"/>
    <col min="7177" max="7177" width="14.42578125" style="1953" customWidth="1"/>
    <col min="7178" max="7178" width="1.85546875" style="1953" customWidth="1"/>
    <col min="7179" max="7424" width="9.140625" style="1953"/>
    <col min="7425" max="7425" width="29" style="1953" customWidth="1"/>
    <col min="7426" max="7426" width="1.85546875" style="1953" customWidth="1"/>
    <col min="7427" max="7427" width="14.42578125" style="1953" customWidth="1"/>
    <col min="7428" max="7428" width="1.85546875" style="1953" customWidth="1"/>
    <col min="7429" max="7429" width="14.42578125" style="1953" customWidth="1"/>
    <col min="7430" max="7430" width="1.85546875" style="1953" customWidth="1"/>
    <col min="7431" max="7431" width="14.42578125" style="1953" customWidth="1"/>
    <col min="7432" max="7432" width="1.85546875" style="1953" customWidth="1"/>
    <col min="7433" max="7433" width="14.42578125" style="1953" customWidth="1"/>
    <col min="7434" max="7434" width="1.85546875" style="1953" customWidth="1"/>
    <col min="7435" max="7680" width="9.140625" style="1953"/>
    <col min="7681" max="7681" width="29" style="1953" customWidth="1"/>
    <col min="7682" max="7682" width="1.85546875" style="1953" customWidth="1"/>
    <col min="7683" max="7683" width="14.42578125" style="1953" customWidth="1"/>
    <col min="7684" max="7684" width="1.85546875" style="1953" customWidth="1"/>
    <col min="7685" max="7685" width="14.42578125" style="1953" customWidth="1"/>
    <col min="7686" max="7686" width="1.85546875" style="1953" customWidth="1"/>
    <col min="7687" max="7687" width="14.42578125" style="1953" customWidth="1"/>
    <col min="7688" max="7688" width="1.85546875" style="1953" customWidth="1"/>
    <col min="7689" max="7689" width="14.42578125" style="1953" customWidth="1"/>
    <col min="7690" max="7690" width="1.85546875" style="1953" customWidth="1"/>
    <col min="7691" max="7936" width="9.140625" style="1953"/>
    <col min="7937" max="7937" width="29" style="1953" customWidth="1"/>
    <col min="7938" max="7938" width="1.85546875" style="1953" customWidth="1"/>
    <col min="7939" max="7939" width="14.42578125" style="1953" customWidth="1"/>
    <col min="7940" max="7940" width="1.85546875" style="1953" customWidth="1"/>
    <col min="7941" max="7941" width="14.42578125" style="1953" customWidth="1"/>
    <col min="7942" max="7942" width="1.85546875" style="1953" customWidth="1"/>
    <col min="7943" max="7943" width="14.42578125" style="1953" customWidth="1"/>
    <col min="7944" max="7944" width="1.85546875" style="1953" customWidth="1"/>
    <col min="7945" max="7945" width="14.42578125" style="1953" customWidth="1"/>
    <col min="7946" max="7946" width="1.85546875" style="1953" customWidth="1"/>
    <col min="7947" max="8192" width="9.140625" style="1953"/>
    <col min="8193" max="8193" width="29" style="1953" customWidth="1"/>
    <col min="8194" max="8194" width="1.85546875" style="1953" customWidth="1"/>
    <col min="8195" max="8195" width="14.42578125" style="1953" customWidth="1"/>
    <col min="8196" max="8196" width="1.85546875" style="1953" customWidth="1"/>
    <col min="8197" max="8197" width="14.42578125" style="1953" customWidth="1"/>
    <col min="8198" max="8198" width="1.85546875" style="1953" customWidth="1"/>
    <col min="8199" max="8199" width="14.42578125" style="1953" customWidth="1"/>
    <col min="8200" max="8200" width="1.85546875" style="1953" customWidth="1"/>
    <col min="8201" max="8201" width="14.42578125" style="1953" customWidth="1"/>
    <col min="8202" max="8202" width="1.85546875" style="1953" customWidth="1"/>
    <col min="8203" max="8448" width="9.140625" style="1953"/>
    <col min="8449" max="8449" width="29" style="1953" customWidth="1"/>
    <col min="8450" max="8450" width="1.85546875" style="1953" customWidth="1"/>
    <col min="8451" max="8451" width="14.42578125" style="1953" customWidth="1"/>
    <col min="8452" max="8452" width="1.85546875" style="1953" customWidth="1"/>
    <col min="8453" max="8453" width="14.42578125" style="1953" customWidth="1"/>
    <col min="8454" max="8454" width="1.85546875" style="1953" customWidth="1"/>
    <col min="8455" max="8455" width="14.42578125" style="1953" customWidth="1"/>
    <col min="8456" max="8456" width="1.85546875" style="1953" customWidth="1"/>
    <col min="8457" max="8457" width="14.42578125" style="1953" customWidth="1"/>
    <col min="8458" max="8458" width="1.85546875" style="1953" customWidth="1"/>
    <col min="8459" max="8704" width="9.140625" style="1953"/>
    <col min="8705" max="8705" width="29" style="1953" customWidth="1"/>
    <col min="8706" max="8706" width="1.85546875" style="1953" customWidth="1"/>
    <col min="8707" max="8707" width="14.42578125" style="1953" customWidth="1"/>
    <col min="8708" max="8708" width="1.85546875" style="1953" customWidth="1"/>
    <col min="8709" max="8709" width="14.42578125" style="1953" customWidth="1"/>
    <col min="8710" max="8710" width="1.85546875" style="1953" customWidth="1"/>
    <col min="8711" max="8711" width="14.42578125" style="1953" customWidth="1"/>
    <col min="8712" max="8712" width="1.85546875" style="1953" customWidth="1"/>
    <col min="8713" max="8713" width="14.42578125" style="1953" customWidth="1"/>
    <col min="8714" max="8714" width="1.85546875" style="1953" customWidth="1"/>
    <col min="8715" max="8960" width="9.140625" style="1953"/>
    <col min="8961" max="8961" width="29" style="1953" customWidth="1"/>
    <col min="8962" max="8962" width="1.85546875" style="1953" customWidth="1"/>
    <col min="8963" max="8963" width="14.42578125" style="1953" customWidth="1"/>
    <col min="8964" max="8964" width="1.85546875" style="1953" customWidth="1"/>
    <col min="8965" max="8965" width="14.42578125" style="1953" customWidth="1"/>
    <col min="8966" max="8966" width="1.85546875" style="1953" customWidth="1"/>
    <col min="8967" max="8967" width="14.42578125" style="1953" customWidth="1"/>
    <col min="8968" max="8968" width="1.85546875" style="1953" customWidth="1"/>
    <col min="8969" max="8969" width="14.42578125" style="1953" customWidth="1"/>
    <col min="8970" max="8970" width="1.85546875" style="1953" customWidth="1"/>
    <col min="8971" max="9216" width="9.140625" style="1953"/>
    <col min="9217" max="9217" width="29" style="1953" customWidth="1"/>
    <col min="9218" max="9218" width="1.85546875" style="1953" customWidth="1"/>
    <col min="9219" max="9219" width="14.42578125" style="1953" customWidth="1"/>
    <col min="9220" max="9220" width="1.85546875" style="1953" customWidth="1"/>
    <col min="9221" max="9221" width="14.42578125" style="1953" customWidth="1"/>
    <col min="9222" max="9222" width="1.85546875" style="1953" customWidth="1"/>
    <col min="9223" max="9223" width="14.42578125" style="1953" customWidth="1"/>
    <col min="9224" max="9224" width="1.85546875" style="1953" customWidth="1"/>
    <col min="9225" max="9225" width="14.42578125" style="1953" customWidth="1"/>
    <col min="9226" max="9226" width="1.85546875" style="1953" customWidth="1"/>
    <col min="9227" max="9472" width="9.140625" style="1953"/>
    <col min="9473" max="9473" width="29" style="1953" customWidth="1"/>
    <col min="9474" max="9474" width="1.85546875" style="1953" customWidth="1"/>
    <col min="9475" max="9475" width="14.42578125" style="1953" customWidth="1"/>
    <col min="9476" max="9476" width="1.85546875" style="1953" customWidth="1"/>
    <col min="9477" max="9477" width="14.42578125" style="1953" customWidth="1"/>
    <col min="9478" max="9478" width="1.85546875" style="1953" customWidth="1"/>
    <col min="9479" max="9479" width="14.42578125" style="1953" customWidth="1"/>
    <col min="9480" max="9480" width="1.85546875" style="1953" customWidth="1"/>
    <col min="9481" max="9481" width="14.42578125" style="1953" customWidth="1"/>
    <col min="9482" max="9482" width="1.85546875" style="1953" customWidth="1"/>
    <col min="9483" max="9728" width="9.140625" style="1953"/>
    <col min="9729" max="9729" width="29" style="1953" customWidth="1"/>
    <col min="9730" max="9730" width="1.85546875" style="1953" customWidth="1"/>
    <col min="9731" max="9731" width="14.42578125" style="1953" customWidth="1"/>
    <col min="9732" max="9732" width="1.85546875" style="1953" customWidth="1"/>
    <col min="9733" max="9733" width="14.42578125" style="1953" customWidth="1"/>
    <col min="9734" max="9734" width="1.85546875" style="1953" customWidth="1"/>
    <col min="9735" max="9735" width="14.42578125" style="1953" customWidth="1"/>
    <col min="9736" max="9736" width="1.85546875" style="1953" customWidth="1"/>
    <col min="9737" max="9737" width="14.42578125" style="1953" customWidth="1"/>
    <col min="9738" max="9738" width="1.85546875" style="1953" customWidth="1"/>
    <col min="9739" max="9984" width="9.140625" style="1953"/>
    <col min="9985" max="9985" width="29" style="1953" customWidth="1"/>
    <col min="9986" max="9986" width="1.85546875" style="1953" customWidth="1"/>
    <col min="9987" max="9987" width="14.42578125" style="1953" customWidth="1"/>
    <col min="9988" max="9988" width="1.85546875" style="1953" customWidth="1"/>
    <col min="9989" max="9989" width="14.42578125" style="1953" customWidth="1"/>
    <col min="9990" max="9990" width="1.85546875" style="1953" customWidth="1"/>
    <col min="9991" max="9991" width="14.42578125" style="1953" customWidth="1"/>
    <col min="9992" max="9992" width="1.85546875" style="1953" customWidth="1"/>
    <col min="9993" max="9993" width="14.42578125" style="1953" customWidth="1"/>
    <col min="9994" max="9994" width="1.85546875" style="1953" customWidth="1"/>
    <col min="9995" max="10240" width="9.140625" style="1953"/>
    <col min="10241" max="10241" width="29" style="1953" customWidth="1"/>
    <col min="10242" max="10242" width="1.85546875" style="1953" customWidth="1"/>
    <col min="10243" max="10243" width="14.42578125" style="1953" customWidth="1"/>
    <col min="10244" max="10244" width="1.85546875" style="1953" customWidth="1"/>
    <col min="10245" max="10245" width="14.42578125" style="1953" customWidth="1"/>
    <col min="10246" max="10246" width="1.85546875" style="1953" customWidth="1"/>
    <col min="10247" max="10247" width="14.42578125" style="1953" customWidth="1"/>
    <col min="10248" max="10248" width="1.85546875" style="1953" customWidth="1"/>
    <col min="10249" max="10249" width="14.42578125" style="1953" customWidth="1"/>
    <col min="10250" max="10250" width="1.85546875" style="1953" customWidth="1"/>
    <col min="10251" max="10496" width="9.140625" style="1953"/>
    <col min="10497" max="10497" width="29" style="1953" customWidth="1"/>
    <col min="10498" max="10498" width="1.85546875" style="1953" customWidth="1"/>
    <col min="10499" max="10499" width="14.42578125" style="1953" customWidth="1"/>
    <col min="10500" max="10500" width="1.85546875" style="1953" customWidth="1"/>
    <col min="10501" max="10501" width="14.42578125" style="1953" customWidth="1"/>
    <col min="10502" max="10502" width="1.85546875" style="1953" customWidth="1"/>
    <col min="10503" max="10503" width="14.42578125" style="1953" customWidth="1"/>
    <col min="10504" max="10504" width="1.85546875" style="1953" customWidth="1"/>
    <col min="10505" max="10505" width="14.42578125" style="1953" customWidth="1"/>
    <col min="10506" max="10506" width="1.85546875" style="1953" customWidth="1"/>
    <col min="10507" max="10752" width="9.140625" style="1953"/>
    <col min="10753" max="10753" width="29" style="1953" customWidth="1"/>
    <col min="10754" max="10754" width="1.85546875" style="1953" customWidth="1"/>
    <col min="10755" max="10755" width="14.42578125" style="1953" customWidth="1"/>
    <col min="10756" max="10756" width="1.85546875" style="1953" customWidth="1"/>
    <col min="10757" max="10757" width="14.42578125" style="1953" customWidth="1"/>
    <col min="10758" max="10758" width="1.85546875" style="1953" customWidth="1"/>
    <col min="10759" max="10759" width="14.42578125" style="1953" customWidth="1"/>
    <col min="10760" max="10760" width="1.85546875" style="1953" customWidth="1"/>
    <col min="10761" max="10761" width="14.42578125" style="1953" customWidth="1"/>
    <col min="10762" max="10762" width="1.85546875" style="1953" customWidth="1"/>
    <col min="10763" max="11008" width="9.140625" style="1953"/>
    <col min="11009" max="11009" width="29" style="1953" customWidth="1"/>
    <col min="11010" max="11010" width="1.85546875" style="1953" customWidth="1"/>
    <col min="11011" max="11011" width="14.42578125" style="1953" customWidth="1"/>
    <col min="11012" max="11012" width="1.85546875" style="1953" customWidth="1"/>
    <col min="11013" max="11013" width="14.42578125" style="1953" customWidth="1"/>
    <col min="11014" max="11014" width="1.85546875" style="1953" customWidth="1"/>
    <col min="11015" max="11015" width="14.42578125" style="1953" customWidth="1"/>
    <col min="11016" max="11016" width="1.85546875" style="1953" customWidth="1"/>
    <col min="11017" max="11017" width="14.42578125" style="1953" customWidth="1"/>
    <col min="11018" max="11018" width="1.85546875" style="1953" customWidth="1"/>
    <col min="11019" max="11264" width="9.140625" style="1953"/>
    <col min="11265" max="11265" width="29" style="1953" customWidth="1"/>
    <col min="11266" max="11266" width="1.85546875" style="1953" customWidth="1"/>
    <col min="11267" max="11267" width="14.42578125" style="1953" customWidth="1"/>
    <col min="11268" max="11268" width="1.85546875" style="1953" customWidth="1"/>
    <col min="11269" max="11269" width="14.42578125" style="1953" customWidth="1"/>
    <col min="11270" max="11270" width="1.85546875" style="1953" customWidth="1"/>
    <col min="11271" max="11271" width="14.42578125" style="1953" customWidth="1"/>
    <col min="11272" max="11272" width="1.85546875" style="1953" customWidth="1"/>
    <col min="11273" max="11273" width="14.42578125" style="1953" customWidth="1"/>
    <col min="11274" max="11274" width="1.85546875" style="1953" customWidth="1"/>
    <col min="11275" max="11520" width="9.140625" style="1953"/>
    <col min="11521" max="11521" width="29" style="1953" customWidth="1"/>
    <col min="11522" max="11522" width="1.85546875" style="1953" customWidth="1"/>
    <col min="11523" max="11523" width="14.42578125" style="1953" customWidth="1"/>
    <col min="11524" max="11524" width="1.85546875" style="1953" customWidth="1"/>
    <col min="11525" max="11525" width="14.42578125" style="1953" customWidth="1"/>
    <col min="11526" max="11526" width="1.85546875" style="1953" customWidth="1"/>
    <col min="11527" max="11527" width="14.42578125" style="1953" customWidth="1"/>
    <col min="11528" max="11528" width="1.85546875" style="1953" customWidth="1"/>
    <col min="11529" max="11529" width="14.42578125" style="1953" customWidth="1"/>
    <col min="11530" max="11530" width="1.85546875" style="1953" customWidth="1"/>
    <col min="11531" max="11776" width="9.140625" style="1953"/>
    <col min="11777" max="11777" width="29" style="1953" customWidth="1"/>
    <col min="11778" max="11778" width="1.85546875" style="1953" customWidth="1"/>
    <col min="11779" max="11779" width="14.42578125" style="1953" customWidth="1"/>
    <col min="11780" max="11780" width="1.85546875" style="1953" customWidth="1"/>
    <col min="11781" max="11781" width="14.42578125" style="1953" customWidth="1"/>
    <col min="11782" max="11782" width="1.85546875" style="1953" customWidth="1"/>
    <col min="11783" max="11783" width="14.42578125" style="1953" customWidth="1"/>
    <col min="11784" max="11784" width="1.85546875" style="1953" customWidth="1"/>
    <col min="11785" max="11785" width="14.42578125" style="1953" customWidth="1"/>
    <col min="11786" max="11786" width="1.85546875" style="1953" customWidth="1"/>
    <col min="11787" max="12032" width="9.140625" style="1953"/>
    <col min="12033" max="12033" width="29" style="1953" customWidth="1"/>
    <col min="12034" max="12034" width="1.85546875" style="1953" customWidth="1"/>
    <col min="12035" max="12035" width="14.42578125" style="1953" customWidth="1"/>
    <col min="12036" max="12036" width="1.85546875" style="1953" customWidth="1"/>
    <col min="12037" max="12037" width="14.42578125" style="1953" customWidth="1"/>
    <col min="12038" max="12038" width="1.85546875" style="1953" customWidth="1"/>
    <col min="12039" max="12039" width="14.42578125" style="1953" customWidth="1"/>
    <col min="12040" max="12040" width="1.85546875" style="1953" customWidth="1"/>
    <col min="12041" max="12041" width="14.42578125" style="1953" customWidth="1"/>
    <col min="12042" max="12042" width="1.85546875" style="1953" customWidth="1"/>
    <col min="12043" max="12288" width="9.140625" style="1953"/>
    <col min="12289" max="12289" width="29" style="1953" customWidth="1"/>
    <col min="12290" max="12290" width="1.85546875" style="1953" customWidth="1"/>
    <col min="12291" max="12291" width="14.42578125" style="1953" customWidth="1"/>
    <col min="12292" max="12292" width="1.85546875" style="1953" customWidth="1"/>
    <col min="12293" max="12293" width="14.42578125" style="1953" customWidth="1"/>
    <col min="12294" max="12294" width="1.85546875" style="1953" customWidth="1"/>
    <col min="12295" max="12295" width="14.42578125" style="1953" customWidth="1"/>
    <col min="12296" max="12296" width="1.85546875" style="1953" customWidth="1"/>
    <col min="12297" max="12297" width="14.42578125" style="1953" customWidth="1"/>
    <col min="12298" max="12298" width="1.85546875" style="1953" customWidth="1"/>
    <col min="12299" max="12544" width="9.140625" style="1953"/>
    <col min="12545" max="12545" width="29" style="1953" customWidth="1"/>
    <col min="12546" max="12546" width="1.85546875" style="1953" customWidth="1"/>
    <col min="12547" max="12547" width="14.42578125" style="1953" customWidth="1"/>
    <col min="12548" max="12548" width="1.85546875" style="1953" customWidth="1"/>
    <col min="12549" max="12549" width="14.42578125" style="1953" customWidth="1"/>
    <col min="12550" max="12550" width="1.85546875" style="1953" customWidth="1"/>
    <col min="12551" max="12551" width="14.42578125" style="1953" customWidth="1"/>
    <col min="12552" max="12552" width="1.85546875" style="1953" customWidth="1"/>
    <col min="12553" max="12553" width="14.42578125" style="1953" customWidth="1"/>
    <col min="12554" max="12554" width="1.85546875" style="1953" customWidth="1"/>
    <col min="12555" max="12800" width="9.140625" style="1953"/>
    <col min="12801" max="12801" width="29" style="1953" customWidth="1"/>
    <col min="12802" max="12802" width="1.85546875" style="1953" customWidth="1"/>
    <col min="12803" max="12803" width="14.42578125" style="1953" customWidth="1"/>
    <col min="12804" max="12804" width="1.85546875" style="1953" customWidth="1"/>
    <col min="12805" max="12805" width="14.42578125" style="1953" customWidth="1"/>
    <col min="12806" max="12806" width="1.85546875" style="1953" customWidth="1"/>
    <col min="12807" max="12807" width="14.42578125" style="1953" customWidth="1"/>
    <col min="12808" max="12808" width="1.85546875" style="1953" customWidth="1"/>
    <col min="12809" max="12809" width="14.42578125" style="1953" customWidth="1"/>
    <col min="12810" max="12810" width="1.85546875" style="1953" customWidth="1"/>
    <col min="12811" max="13056" width="9.140625" style="1953"/>
    <col min="13057" max="13057" width="29" style="1953" customWidth="1"/>
    <col min="13058" max="13058" width="1.85546875" style="1953" customWidth="1"/>
    <col min="13059" max="13059" width="14.42578125" style="1953" customWidth="1"/>
    <col min="13060" max="13060" width="1.85546875" style="1953" customWidth="1"/>
    <col min="13061" max="13061" width="14.42578125" style="1953" customWidth="1"/>
    <col min="13062" max="13062" width="1.85546875" style="1953" customWidth="1"/>
    <col min="13063" max="13063" width="14.42578125" style="1953" customWidth="1"/>
    <col min="13064" max="13064" width="1.85546875" style="1953" customWidth="1"/>
    <col min="13065" max="13065" width="14.42578125" style="1953" customWidth="1"/>
    <col min="13066" max="13066" width="1.85546875" style="1953" customWidth="1"/>
    <col min="13067" max="13312" width="9.140625" style="1953"/>
    <col min="13313" max="13313" width="29" style="1953" customWidth="1"/>
    <col min="13314" max="13314" width="1.85546875" style="1953" customWidth="1"/>
    <col min="13315" max="13315" width="14.42578125" style="1953" customWidth="1"/>
    <col min="13316" max="13316" width="1.85546875" style="1953" customWidth="1"/>
    <col min="13317" max="13317" width="14.42578125" style="1953" customWidth="1"/>
    <col min="13318" max="13318" width="1.85546875" style="1953" customWidth="1"/>
    <col min="13319" max="13319" width="14.42578125" style="1953" customWidth="1"/>
    <col min="13320" max="13320" width="1.85546875" style="1953" customWidth="1"/>
    <col min="13321" max="13321" width="14.42578125" style="1953" customWidth="1"/>
    <col min="13322" max="13322" width="1.85546875" style="1953" customWidth="1"/>
    <col min="13323" max="13568" width="9.140625" style="1953"/>
    <col min="13569" max="13569" width="29" style="1953" customWidth="1"/>
    <col min="13570" max="13570" width="1.85546875" style="1953" customWidth="1"/>
    <col min="13571" max="13571" width="14.42578125" style="1953" customWidth="1"/>
    <col min="13572" max="13572" width="1.85546875" style="1953" customWidth="1"/>
    <col min="13573" max="13573" width="14.42578125" style="1953" customWidth="1"/>
    <col min="13574" max="13574" width="1.85546875" style="1953" customWidth="1"/>
    <col min="13575" max="13575" width="14.42578125" style="1953" customWidth="1"/>
    <col min="13576" max="13576" width="1.85546875" style="1953" customWidth="1"/>
    <col min="13577" max="13577" width="14.42578125" style="1953" customWidth="1"/>
    <col min="13578" max="13578" width="1.85546875" style="1953" customWidth="1"/>
    <col min="13579" max="13824" width="9.140625" style="1953"/>
    <col min="13825" max="13825" width="29" style="1953" customWidth="1"/>
    <col min="13826" max="13826" width="1.85546875" style="1953" customWidth="1"/>
    <col min="13827" max="13827" width="14.42578125" style="1953" customWidth="1"/>
    <col min="13828" max="13828" width="1.85546875" style="1953" customWidth="1"/>
    <col min="13829" max="13829" width="14.42578125" style="1953" customWidth="1"/>
    <col min="13830" max="13830" width="1.85546875" style="1953" customWidth="1"/>
    <col min="13831" max="13831" width="14.42578125" style="1953" customWidth="1"/>
    <col min="13832" max="13832" width="1.85546875" style="1953" customWidth="1"/>
    <col min="13833" max="13833" width="14.42578125" style="1953" customWidth="1"/>
    <col min="13834" max="13834" width="1.85546875" style="1953" customWidth="1"/>
    <col min="13835" max="14080" width="9.140625" style="1953"/>
    <col min="14081" max="14081" width="29" style="1953" customWidth="1"/>
    <col min="14082" max="14082" width="1.85546875" style="1953" customWidth="1"/>
    <col min="14083" max="14083" width="14.42578125" style="1953" customWidth="1"/>
    <col min="14084" max="14084" width="1.85546875" style="1953" customWidth="1"/>
    <col min="14085" max="14085" width="14.42578125" style="1953" customWidth="1"/>
    <col min="14086" max="14086" width="1.85546875" style="1953" customWidth="1"/>
    <col min="14087" max="14087" width="14.42578125" style="1953" customWidth="1"/>
    <col min="14088" max="14088" width="1.85546875" style="1953" customWidth="1"/>
    <col min="14089" max="14089" width="14.42578125" style="1953" customWidth="1"/>
    <col min="14090" max="14090" width="1.85546875" style="1953" customWidth="1"/>
    <col min="14091" max="14336" width="9.140625" style="1953"/>
    <col min="14337" max="14337" width="29" style="1953" customWidth="1"/>
    <col min="14338" max="14338" width="1.85546875" style="1953" customWidth="1"/>
    <col min="14339" max="14339" width="14.42578125" style="1953" customWidth="1"/>
    <col min="14340" max="14340" width="1.85546875" style="1953" customWidth="1"/>
    <col min="14341" max="14341" width="14.42578125" style="1953" customWidth="1"/>
    <col min="14342" max="14342" width="1.85546875" style="1953" customWidth="1"/>
    <col min="14343" max="14343" width="14.42578125" style="1953" customWidth="1"/>
    <col min="14344" max="14344" width="1.85546875" style="1953" customWidth="1"/>
    <col min="14345" max="14345" width="14.42578125" style="1953" customWidth="1"/>
    <col min="14346" max="14346" width="1.85546875" style="1953" customWidth="1"/>
    <col min="14347" max="14592" width="9.140625" style="1953"/>
    <col min="14593" max="14593" width="29" style="1953" customWidth="1"/>
    <col min="14594" max="14594" width="1.85546875" style="1953" customWidth="1"/>
    <col min="14595" max="14595" width="14.42578125" style="1953" customWidth="1"/>
    <col min="14596" max="14596" width="1.85546875" style="1953" customWidth="1"/>
    <col min="14597" max="14597" width="14.42578125" style="1953" customWidth="1"/>
    <col min="14598" max="14598" width="1.85546875" style="1953" customWidth="1"/>
    <col min="14599" max="14599" width="14.42578125" style="1953" customWidth="1"/>
    <col min="14600" max="14600" width="1.85546875" style="1953" customWidth="1"/>
    <col min="14601" max="14601" width="14.42578125" style="1953" customWidth="1"/>
    <col min="14602" max="14602" width="1.85546875" style="1953" customWidth="1"/>
    <col min="14603" max="14848" width="9.140625" style="1953"/>
    <col min="14849" max="14849" width="29" style="1953" customWidth="1"/>
    <col min="14850" max="14850" width="1.85546875" style="1953" customWidth="1"/>
    <col min="14851" max="14851" width="14.42578125" style="1953" customWidth="1"/>
    <col min="14852" max="14852" width="1.85546875" style="1953" customWidth="1"/>
    <col min="14853" max="14853" width="14.42578125" style="1953" customWidth="1"/>
    <col min="14854" max="14854" width="1.85546875" style="1953" customWidth="1"/>
    <col min="14855" max="14855" width="14.42578125" style="1953" customWidth="1"/>
    <col min="14856" max="14856" width="1.85546875" style="1953" customWidth="1"/>
    <col min="14857" max="14857" width="14.42578125" style="1953" customWidth="1"/>
    <col min="14858" max="14858" width="1.85546875" style="1953" customWidth="1"/>
    <col min="14859" max="15104" width="9.140625" style="1953"/>
    <col min="15105" max="15105" width="29" style="1953" customWidth="1"/>
    <col min="15106" max="15106" width="1.85546875" style="1953" customWidth="1"/>
    <col min="15107" max="15107" width="14.42578125" style="1953" customWidth="1"/>
    <col min="15108" max="15108" width="1.85546875" style="1953" customWidth="1"/>
    <col min="15109" max="15109" width="14.42578125" style="1953" customWidth="1"/>
    <col min="15110" max="15110" width="1.85546875" style="1953" customWidth="1"/>
    <col min="15111" max="15111" width="14.42578125" style="1953" customWidth="1"/>
    <col min="15112" max="15112" width="1.85546875" style="1953" customWidth="1"/>
    <col min="15113" max="15113" width="14.42578125" style="1953" customWidth="1"/>
    <col min="15114" max="15114" width="1.85546875" style="1953" customWidth="1"/>
    <col min="15115" max="15360" width="9.140625" style="1953"/>
    <col min="15361" max="15361" width="29" style="1953" customWidth="1"/>
    <col min="15362" max="15362" width="1.85546875" style="1953" customWidth="1"/>
    <col min="15363" max="15363" width="14.42578125" style="1953" customWidth="1"/>
    <col min="15364" max="15364" width="1.85546875" style="1953" customWidth="1"/>
    <col min="15365" max="15365" width="14.42578125" style="1953" customWidth="1"/>
    <col min="15366" max="15366" width="1.85546875" style="1953" customWidth="1"/>
    <col min="15367" max="15367" width="14.42578125" style="1953" customWidth="1"/>
    <col min="15368" max="15368" width="1.85546875" style="1953" customWidth="1"/>
    <col min="15369" max="15369" width="14.42578125" style="1953" customWidth="1"/>
    <col min="15370" max="15370" width="1.85546875" style="1953" customWidth="1"/>
    <col min="15371" max="15616" width="9.140625" style="1953"/>
    <col min="15617" max="15617" width="29" style="1953" customWidth="1"/>
    <col min="15618" max="15618" width="1.85546875" style="1953" customWidth="1"/>
    <col min="15619" max="15619" width="14.42578125" style="1953" customWidth="1"/>
    <col min="15620" max="15620" width="1.85546875" style="1953" customWidth="1"/>
    <col min="15621" max="15621" width="14.42578125" style="1953" customWidth="1"/>
    <col min="15622" max="15622" width="1.85546875" style="1953" customWidth="1"/>
    <col min="15623" max="15623" width="14.42578125" style="1953" customWidth="1"/>
    <col min="15624" max="15624" width="1.85546875" style="1953" customWidth="1"/>
    <col min="15625" max="15625" width="14.42578125" style="1953" customWidth="1"/>
    <col min="15626" max="15626" width="1.85546875" style="1953" customWidth="1"/>
    <col min="15627" max="15872" width="9.140625" style="1953"/>
    <col min="15873" max="15873" width="29" style="1953" customWidth="1"/>
    <col min="15874" max="15874" width="1.85546875" style="1953" customWidth="1"/>
    <col min="15875" max="15875" width="14.42578125" style="1953" customWidth="1"/>
    <col min="15876" max="15876" width="1.85546875" style="1953" customWidth="1"/>
    <col min="15877" max="15877" width="14.42578125" style="1953" customWidth="1"/>
    <col min="15878" max="15878" width="1.85546875" style="1953" customWidth="1"/>
    <col min="15879" max="15879" width="14.42578125" style="1953" customWidth="1"/>
    <col min="15880" max="15880" width="1.85546875" style="1953" customWidth="1"/>
    <col min="15881" max="15881" width="14.42578125" style="1953" customWidth="1"/>
    <col min="15882" max="15882" width="1.85546875" style="1953" customWidth="1"/>
    <col min="15883" max="16128" width="9.140625" style="1953"/>
    <col min="16129" max="16129" width="29" style="1953" customWidth="1"/>
    <col min="16130" max="16130" width="1.85546875" style="1953" customWidth="1"/>
    <col min="16131" max="16131" width="14.42578125" style="1953" customWidth="1"/>
    <col min="16132" max="16132" width="1.85546875" style="1953" customWidth="1"/>
    <col min="16133" max="16133" width="14.42578125" style="1953" customWidth="1"/>
    <col min="16134" max="16134" width="1.85546875" style="1953" customWidth="1"/>
    <col min="16135" max="16135" width="14.42578125" style="1953" customWidth="1"/>
    <col min="16136" max="16136" width="1.85546875" style="1953" customWidth="1"/>
    <col min="16137" max="16137" width="14.42578125" style="1953" customWidth="1"/>
    <col min="16138" max="16138" width="1.85546875" style="1953" customWidth="1"/>
    <col min="16139" max="16384" width="9.140625" style="1953"/>
  </cols>
  <sheetData>
    <row r="1" spans="1:10" x14ac:dyDescent="0.2">
      <c r="A1" s="2407" t="s">
        <v>2095</v>
      </c>
      <c r="B1" s="2407"/>
      <c r="C1" s="2407"/>
      <c r="D1" s="2407"/>
      <c r="E1" s="2407"/>
      <c r="F1" s="2407"/>
      <c r="G1" s="2407"/>
      <c r="H1" s="2407"/>
      <c r="I1" s="2407"/>
      <c r="J1" s="2407"/>
    </row>
    <row r="2" spans="1:10" x14ac:dyDescent="0.2">
      <c r="A2" s="2407" t="s">
        <v>2142</v>
      </c>
      <c r="B2" s="2407"/>
      <c r="C2" s="2407"/>
      <c r="D2" s="2407"/>
      <c r="E2" s="2407"/>
      <c r="F2" s="2407"/>
      <c r="G2" s="2407"/>
      <c r="H2" s="2407"/>
      <c r="I2" s="2407"/>
      <c r="J2" s="2407"/>
    </row>
    <row r="3" spans="1:10" x14ac:dyDescent="0.2">
      <c r="A3" s="2407" t="s">
        <v>2143</v>
      </c>
      <c r="B3" s="2407"/>
      <c r="C3" s="2407"/>
      <c r="D3" s="2407"/>
      <c r="E3" s="2407"/>
      <c r="F3" s="2407"/>
      <c r="G3" s="2407"/>
      <c r="H3" s="2407"/>
      <c r="I3" s="2407"/>
      <c r="J3" s="2407"/>
    </row>
    <row r="4" spans="1:10" x14ac:dyDescent="0.2">
      <c r="A4" s="2408" t="s">
        <v>2186</v>
      </c>
      <c r="B4" s="2408"/>
      <c r="C4" s="2408"/>
      <c r="D4" s="2408"/>
      <c r="E4" s="2408"/>
      <c r="F4" s="2408"/>
      <c r="G4" s="2408"/>
      <c r="H4" s="2408"/>
      <c r="I4" s="2408"/>
      <c r="J4" s="2408"/>
    </row>
    <row r="5" spans="1:10" x14ac:dyDescent="0.2">
      <c r="A5" s="2407"/>
      <c r="B5" s="2407"/>
      <c r="C5" s="2407"/>
      <c r="D5" s="2407"/>
      <c r="E5" s="2407"/>
      <c r="F5" s="2407"/>
      <c r="G5" s="2407"/>
      <c r="H5" s="2407"/>
      <c r="I5" s="2407"/>
      <c r="J5" s="2407"/>
    </row>
    <row r="6" spans="1:10" x14ac:dyDescent="0.2">
      <c r="A6" s="1973"/>
      <c r="B6" s="1973"/>
      <c r="C6" s="1973"/>
      <c r="D6" s="1973"/>
      <c r="E6" s="1973"/>
      <c r="F6" s="1973"/>
      <c r="G6" s="1973"/>
      <c r="H6" s="1973"/>
      <c r="I6" s="1973"/>
      <c r="J6" s="1973"/>
    </row>
    <row r="7" spans="1:10" x14ac:dyDescent="0.2">
      <c r="C7" s="1972"/>
      <c r="D7" s="1972"/>
      <c r="E7" s="1972"/>
      <c r="F7" s="1972"/>
      <c r="G7" s="1972"/>
      <c r="H7" s="1972"/>
      <c r="I7" s="1972"/>
    </row>
    <row r="8" spans="1:10" x14ac:dyDescent="0.2">
      <c r="C8" s="1972" t="s">
        <v>2144</v>
      </c>
      <c r="D8" s="1972"/>
      <c r="E8" s="1972"/>
      <c r="F8" s="1972"/>
      <c r="G8" s="1972"/>
      <c r="H8" s="1972"/>
      <c r="I8" s="1972" t="s">
        <v>2144</v>
      </c>
    </row>
    <row r="9" spans="1:10" x14ac:dyDescent="0.2">
      <c r="C9" s="1974">
        <v>42917</v>
      </c>
      <c r="D9" s="1972"/>
      <c r="E9" s="1975" t="s">
        <v>2145</v>
      </c>
      <c r="F9" s="1976"/>
      <c r="G9" s="1975" t="s">
        <v>2146</v>
      </c>
      <c r="H9" s="1972"/>
      <c r="I9" s="1974">
        <v>43281</v>
      </c>
    </row>
    <row r="10" spans="1:10" x14ac:dyDescent="0.2">
      <c r="E10" s="1977"/>
      <c r="F10" s="1977"/>
      <c r="G10" s="1977"/>
    </row>
    <row r="11" spans="1:10" x14ac:dyDescent="0.2">
      <c r="A11" s="1978" t="s">
        <v>2147</v>
      </c>
      <c r="B11" s="1979"/>
      <c r="C11" s="1979"/>
      <c r="D11" s="1979"/>
      <c r="E11" s="1980"/>
      <c r="F11" s="1980"/>
      <c r="G11" s="1980"/>
      <c r="H11" s="1979"/>
      <c r="I11" s="1979"/>
    </row>
    <row r="12" spans="1:10" x14ac:dyDescent="0.2">
      <c r="A12" s="1979"/>
      <c r="B12" s="1979"/>
      <c r="C12" s="1981"/>
      <c r="D12" s="1981"/>
      <c r="E12" s="1982"/>
      <c r="F12" s="1982"/>
      <c r="G12" s="1982"/>
      <c r="H12" s="1981"/>
      <c r="I12" s="1981"/>
    </row>
    <row r="13" spans="1:10" ht="13.5" thickBot="1" x14ac:dyDescent="0.25">
      <c r="A13" s="1983" t="s">
        <v>2148</v>
      </c>
      <c r="B13" s="1979"/>
      <c r="C13" s="1984">
        <f>SUM(C18:C52)</f>
        <v>74973.649999999994</v>
      </c>
      <c r="D13" s="1985"/>
      <c r="E13" s="1984">
        <f>SUM(E18:E52)</f>
        <v>105380.03000000001</v>
      </c>
      <c r="F13" s="1986"/>
      <c r="G13" s="1984">
        <f>SUM(G18:G52)</f>
        <v>-108770.24000000001</v>
      </c>
      <c r="H13" s="1985"/>
      <c r="I13" s="1987">
        <f>SUM(C13:G13)</f>
        <v>71583.439999999988</v>
      </c>
    </row>
    <row r="14" spans="1:10" ht="13.5" thickTop="1" x14ac:dyDescent="0.2">
      <c r="A14" s="1979"/>
      <c r="B14" s="1979"/>
      <c r="C14" s="1979"/>
      <c r="D14" s="1979"/>
      <c r="E14" s="1980"/>
      <c r="F14" s="1980"/>
      <c r="G14" s="1980"/>
      <c r="H14" s="1979"/>
      <c r="I14" s="1979"/>
    </row>
    <row r="15" spans="1:10" x14ac:dyDescent="0.2">
      <c r="A15" s="1978" t="s">
        <v>2149</v>
      </c>
      <c r="B15" s="1979"/>
      <c r="C15" s="1979"/>
      <c r="D15" s="1979"/>
      <c r="E15" s="1980"/>
      <c r="F15" s="1980"/>
      <c r="G15" s="1980"/>
      <c r="H15" s="1979"/>
      <c r="I15" s="1979"/>
    </row>
    <row r="16" spans="1:10" x14ac:dyDescent="0.2">
      <c r="A16"/>
      <c r="B16"/>
      <c r="C16"/>
      <c r="D16"/>
      <c r="E16" s="8"/>
      <c r="F16" s="8"/>
      <c r="G16" s="8"/>
      <c r="H16"/>
      <c r="I16"/>
    </row>
    <row r="17" spans="1:12" x14ac:dyDescent="0.2">
      <c r="A17" s="1983" t="s">
        <v>2150</v>
      </c>
      <c r="B17" s="1979"/>
      <c r="C17" s="1979"/>
      <c r="D17" s="1979"/>
      <c r="E17" s="1980"/>
      <c r="F17" s="1980"/>
      <c r="G17" s="1980"/>
      <c r="H17" s="1979"/>
      <c r="I17" s="1979"/>
    </row>
    <row r="18" spans="1:12" x14ac:dyDescent="0.2">
      <c r="A18" s="1983" t="s">
        <v>2151</v>
      </c>
      <c r="B18" s="1979"/>
      <c r="C18" s="1988">
        <v>75.790000000000006</v>
      </c>
      <c r="D18" s="1989"/>
      <c r="E18" s="1990">
        <v>4086.58</v>
      </c>
      <c r="F18" s="1991"/>
      <c r="G18" s="1990">
        <v>-3878.3</v>
      </c>
      <c r="H18" s="1989"/>
      <c r="I18" s="1988">
        <f>SUM(C18:G18)</f>
        <v>284.06999999999971</v>
      </c>
      <c r="L18" s="1992"/>
    </row>
    <row r="19" spans="1:12" x14ac:dyDescent="0.2">
      <c r="A19" s="1983" t="s">
        <v>2152</v>
      </c>
      <c r="B19" s="1979"/>
      <c r="C19" s="1993">
        <v>5181.21</v>
      </c>
      <c r="D19" s="1994"/>
      <c r="E19" s="1995">
        <v>9389.6</v>
      </c>
      <c r="F19" s="1996"/>
      <c r="G19" s="1995">
        <v>-9389.01</v>
      </c>
      <c r="H19" s="1994"/>
      <c r="I19" s="1993">
        <f>SUM(C19:G19)</f>
        <v>5181.8000000000011</v>
      </c>
      <c r="L19" s="1992"/>
    </row>
    <row r="20" spans="1:12" x14ac:dyDescent="0.2">
      <c r="A20" s="1983" t="s">
        <v>2153</v>
      </c>
      <c r="B20" s="1979"/>
      <c r="C20" s="1993">
        <v>1543</v>
      </c>
      <c r="D20" s="1994"/>
      <c r="E20" s="1995">
        <v>1373.92</v>
      </c>
      <c r="F20" s="1996"/>
      <c r="G20" s="1995">
        <v>-1247.92</v>
      </c>
      <c r="H20" s="1994"/>
      <c r="I20" s="1993">
        <f t="shared" ref="I20:I52" si="0">SUM(C20:G20)</f>
        <v>1669</v>
      </c>
      <c r="L20" s="1992"/>
    </row>
    <row r="21" spans="1:12" x14ac:dyDescent="0.2">
      <c r="A21" s="1983" t="s">
        <v>2154</v>
      </c>
      <c r="B21" s="1979"/>
      <c r="C21" s="1993">
        <v>615.58000000000004</v>
      </c>
      <c r="D21" s="1994"/>
      <c r="E21" s="1995">
        <v>2888.71</v>
      </c>
      <c r="F21" s="1996"/>
      <c r="G21" s="1995">
        <f>-1520.78-3</f>
        <v>-1523.78</v>
      </c>
      <c r="H21" s="1994"/>
      <c r="I21" s="1993">
        <f t="shared" si="0"/>
        <v>1980.51</v>
      </c>
      <c r="L21" s="1992"/>
    </row>
    <row r="22" spans="1:12" x14ac:dyDescent="0.2">
      <c r="A22" s="1983" t="s">
        <v>2155</v>
      </c>
      <c r="B22" s="1979"/>
      <c r="C22" s="1993">
        <v>4056.33</v>
      </c>
      <c r="D22" s="1994"/>
      <c r="E22" s="1995">
        <v>1155</v>
      </c>
      <c r="F22" s="1996"/>
      <c r="G22" s="1995">
        <v>-4098.58</v>
      </c>
      <c r="H22" s="1994"/>
      <c r="I22" s="1993">
        <f t="shared" si="0"/>
        <v>1112.75</v>
      </c>
      <c r="L22" s="1992"/>
    </row>
    <row r="23" spans="1:12" x14ac:dyDescent="0.2">
      <c r="A23" s="1983" t="s">
        <v>2156</v>
      </c>
      <c r="B23" s="1979"/>
      <c r="C23" s="1993">
        <v>3384.96</v>
      </c>
      <c r="D23" s="1994"/>
      <c r="E23" s="1995">
        <v>12092.04</v>
      </c>
      <c r="F23" s="1996"/>
      <c r="G23" s="1995">
        <v>-8329.3700000000008</v>
      </c>
      <c r="H23" s="1994"/>
      <c r="I23" s="1993">
        <f t="shared" si="0"/>
        <v>7147.6299999999992</v>
      </c>
      <c r="L23" s="1992"/>
    </row>
    <row r="24" spans="1:12" x14ac:dyDescent="0.2">
      <c r="A24" s="1983" t="s">
        <v>2157</v>
      </c>
      <c r="B24" s="1979"/>
      <c r="C24" s="1993">
        <v>2063.54</v>
      </c>
      <c r="D24" s="1994"/>
      <c r="E24" s="1995">
        <v>6027.1</v>
      </c>
      <c r="F24" s="1996"/>
      <c r="G24" s="1995">
        <v>-6453.11</v>
      </c>
      <c r="H24" s="1994"/>
      <c r="I24" s="1993">
        <f t="shared" si="0"/>
        <v>1637.5300000000007</v>
      </c>
      <c r="L24" s="1992"/>
    </row>
    <row r="25" spans="1:12" x14ac:dyDescent="0.2">
      <c r="A25" s="1983" t="s">
        <v>2158</v>
      </c>
      <c r="B25" s="1979"/>
      <c r="C25" s="1993">
        <v>442.2</v>
      </c>
      <c r="D25" s="1994"/>
      <c r="E25" s="1995">
        <v>7550.79</v>
      </c>
      <c r="F25" s="1996"/>
      <c r="G25" s="1995">
        <v>-6248.26</v>
      </c>
      <c r="H25" s="1994"/>
      <c r="I25" s="1993">
        <f t="shared" si="0"/>
        <v>1744.7299999999996</v>
      </c>
      <c r="L25" s="1992"/>
    </row>
    <row r="26" spans="1:12" x14ac:dyDescent="0.2">
      <c r="A26" s="1983" t="s">
        <v>2159</v>
      </c>
      <c r="B26" s="1979"/>
      <c r="C26" s="1993">
        <v>2908.8</v>
      </c>
      <c r="D26" s="1994"/>
      <c r="E26" s="1995">
        <v>1703.37</v>
      </c>
      <c r="F26" s="1996"/>
      <c r="G26" s="1995">
        <v>-2974.15</v>
      </c>
      <c r="H26" s="1994"/>
      <c r="I26" s="1993">
        <f t="shared" si="0"/>
        <v>1638.02</v>
      </c>
      <c r="L26" s="1992"/>
    </row>
    <row r="27" spans="1:12" x14ac:dyDescent="0.2">
      <c r="A27" s="1983" t="s">
        <v>2160</v>
      </c>
      <c r="B27" s="1979"/>
      <c r="C27" s="1993">
        <v>206.51</v>
      </c>
      <c r="D27" s="1994"/>
      <c r="E27" s="1995">
        <v>0</v>
      </c>
      <c r="F27" s="1996"/>
      <c r="G27" s="1995">
        <v>0</v>
      </c>
      <c r="H27" s="1994"/>
      <c r="I27" s="1993">
        <f t="shared" si="0"/>
        <v>206.51</v>
      </c>
      <c r="L27" s="1992"/>
    </row>
    <row r="28" spans="1:12" x14ac:dyDescent="0.2">
      <c r="A28" s="1983" t="s">
        <v>2161</v>
      </c>
      <c r="B28" s="1979"/>
      <c r="C28" s="1993">
        <v>93.57</v>
      </c>
      <c r="D28" s="1994"/>
      <c r="E28" s="1995">
        <v>0</v>
      </c>
      <c r="F28" s="1996"/>
      <c r="G28" s="1995">
        <v>0</v>
      </c>
      <c r="H28" s="1994"/>
      <c r="I28" s="1993">
        <f t="shared" si="0"/>
        <v>93.57</v>
      </c>
      <c r="L28" s="1992"/>
    </row>
    <row r="29" spans="1:12" x14ac:dyDescent="0.2">
      <c r="A29" s="1983" t="s">
        <v>2162</v>
      </c>
      <c r="B29" s="1979"/>
      <c r="C29" s="1993">
        <v>114.35</v>
      </c>
      <c r="D29" s="1994"/>
      <c r="E29" s="1995">
        <v>0</v>
      </c>
      <c r="F29" s="1996"/>
      <c r="G29" s="1995">
        <v>0</v>
      </c>
      <c r="H29" s="1994"/>
      <c r="I29" s="1993">
        <f t="shared" si="0"/>
        <v>114.35</v>
      </c>
      <c r="L29" s="1992"/>
    </row>
    <row r="30" spans="1:12" x14ac:dyDescent="0.2">
      <c r="A30" s="1983" t="s">
        <v>2163</v>
      </c>
      <c r="B30" s="1979"/>
      <c r="C30" s="1993">
        <v>977.75</v>
      </c>
      <c r="D30" s="1994"/>
      <c r="E30" s="1995">
        <v>0</v>
      </c>
      <c r="F30" s="1996"/>
      <c r="G30" s="1995">
        <v>-259.05</v>
      </c>
      <c r="H30" s="1994"/>
      <c r="I30" s="1993">
        <f t="shared" si="0"/>
        <v>718.7</v>
      </c>
      <c r="L30" s="1992"/>
    </row>
    <row r="31" spans="1:12" x14ac:dyDescent="0.2">
      <c r="A31" s="1983" t="s">
        <v>2164</v>
      </c>
      <c r="B31" s="1979"/>
      <c r="C31" s="1993">
        <v>6087.41</v>
      </c>
      <c r="D31" s="1994"/>
      <c r="E31" s="1995">
        <v>6832.35</v>
      </c>
      <c r="F31" s="1996"/>
      <c r="G31" s="1995">
        <f>-8148.09-1092</f>
        <v>-9240.09</v>
      </c>
      <c r="H31" s="1994"/>
      <c r="I31" s="1993">
        <f t="shared" si="0"/>
        <v>3679.67</v>
      </c>
      <c r="L31" s="1992"/>
    </row>
    <row r="32" spans="1:12" x14ac:dyDescent="0.2">
      <c r="A32" s="1983" t="s">
        <v>2165</v>
      </c>
      <c r="B32" s="1979"/>
      <c r="C32" s="1993">
        <v>540.17999999999995</v>
      </c>
      <c r="D32" s="1994"/>
      <c r="E32" s="1995">
        <v>1175</v>
      </c>
      <c r="F32" s="1996"/>
      <c r="G32" s="1995">
        <v>-685.08</v>
      </c>
      <c r="H32" s="1994"/>
      <c r="I32" s="1993">
        <f t="shared" si="0"/>
        <v>1030.0999999999999</v>
      </c>
      <c r="L32" s="1992"/>
    </row>
    <row r="33" spans="1:12" x14ac:dyDescent="0.2">
      <c r="A33" s="1983" t="s">
        <v>2166</v>
      </c>
      <c r="B33" s="1979"/>
      <c r="C33" s="1993">
        <v>749.09</v>
      </c>
      <c r="D33" s="1994"/>
      <c r="E33" s="1995">
        <v>82</v>
      </c>
      <c r="F33" s="1996"/>
      <c r="G33" s="1995">
        <v>-24.61</v>
      </c>
      <c r="H33" s="1994"/>
      <c r="I33" s="1993">
        <f t="shared" si="0"/>
        <v>806.48</v>
      </c>
      <c r="L33" s="1992"/>
    </row>
    <row r="34" spans="1:12" x14ac:dyDescent="0.2">
      <c r="A34" s="1983" t="s">
        <v>2167</v>
      </c>
      <c r="B34" s="1979"/>
      <c r="C34" s="1993">
        <v>0</v>
      </c>
      <c r="D34" s="1994"/>
      <c r="E34" s="1995">
        <v>91.5</v>
      </c>
      <c r="F34" s="1996"/>
      <c r="G34" s="1995">
        <v>-66.5</v>
      </c>
      <c r="H34" s="1994"/>
      <c r="I34" s="1993">
        <f t="shared" si="0"/>
        <v>25</v>
      </c>
      <c r="L34" s="1992"/>
    </row>
    <row r="35" spans="1:12" x14ac:dyDescent="0.2">
      <c r="A35" s="1983" t="s">
        <v>2168</v>
      </c>
      <c r="B35" s="1979"/>
      <c r="C35" s="1993">
        <v>261.52</v>
      </c>
      <c r="D35" s="1994"/>
      <c r="E35" s="1995">
        <v>42.56</v>
      </c>
      <c r="F35" s="1996"/>
      <c r="G35" s="1995">
        <v>-48.35</v>
      </c>
      <c r="H35" s="1994"/>
      <c r="I35" s="1993">
        <f t="shared" si="0"/>
        <v>255.73</v>
      </c>
      <c r="L35" s="1992"/>
    </row>
    <row r="36" spans="1:12" x14ac:dyDescent="0.2">
      <c r="A36" s="1983" t="s">
        <v>2187</v>
      </c>
      <c r="B36" s="1979"/>
      <c r="C36" s="1993">
        <v>0</v>
      </c>
      <c r="D36" s="1994"/>
      <c r="E36" s="1995">
        <v>457.97</v>
      </c>
      <c r="F36" s="1996"/>
      <c r="G36" s="1995">
        <f>-219.02</f>
        <v>-219.02</v>
      </c>
      <c r="H36" s="1994"/>
      <c r="I36" s="1993">
        <f>+C36+E36+G36</f>
        <v>238.95000000000002</v>
      </c>
      <c r="L36" s="1992"/>
    </row>
    <row r="37" spans="1:12" x14ac:dyDescent="0.2">
      <c r="A37" s="1983" t="s">
        <v>2169</v>
      </c>
      <c r="B37" s="1979"/>
      <c r="C37" s="1993">
        <v>702</v>
      </c>
      <c r="D37" s="1994"/>
      <c r="E37" s="1995">
        <v>0</v>
      </c>
      <c r="F37" s="1996"/>
      <c r="G37" s="1995">
        <v>0</v>
      </c>
      <c r="H37" s="1994"/>
      <c r="I37" s="1993">
        <f t="shared" si="0"/>
        <v>702</v>
      </c>
    </row>
    <row r="38" spans="1:12" x14ac:dyDescent="0.2">
      <c r="A38" s="1983" t="s">
        <v>2170</v>
      </c>
      <c r="B38" s="1979"/>
      <c r="C38" s="1993">
        <v>702</v>
      </c>
      <c r="D38" s="1994"/>
      <c r="E38" s="1995">
        <v>0</v>
      </c>
      <c r="F38" s="1996"/>
      <c r="G38" s="1995">
        <v>0</v>
      </c>
      <c r="H38" s="1994"/>
      <c r="I38" s="1993">
        <f t="shared" si="0"/>
        <v>702</v>
      </c>
    </row>
    <row r="39" spans="1:12" x14ac:dyDescent="0.2">
      <c r="A39" s="1983" t="s">
        <v>2171</v>
      </c>
      <c r="B39" s="1979"/>
      <c r="C39" s="1993">
        <v>142.44</v>
      </c>
      <c r="D39" s="1994"/>
      <c r="E39" s="1995">
        <f>40.02+19.37</f>
        <v>59.39</v>
      </c>
      <c r="F39" s="1996"/>
      <c r="G39" s="1995">
        <v>0</v>
      </c>
      <c r="H39" s="1994"/>
      <c r="I39" s="1993">
        <f t="shared" si="0"/>
        <v>201.82999999999998</v>
      </c>
    </row>
    <row r="40" spans="1:12" x14ac:dyDescent="0.2">
      <c r="A40" s="1983" t="s">
        <v>2172</v>
      </c>
      <c r="B40" s="1979"/>
      <c r="C40" s="1993">
        <v>1998.38</v>
      </c>
      <c r="D40" s="1994"/>
      <c r="E40" s="1995">
        <v>18816.3</v>
      </c>
      <c r="F40" s="1996"/>
      <c r="G40" s="1995">
        <f>-19914.19+477</f>
        <v>-19437.189999999999</v>
      </c>
      <c r="H40" s="1994"/>
      <c r="I40" s="1993">
        <f t="shared" si="0"/>
        <v>1377.4900000000016</v>
      </c>
      <c r="L40" s="1992"/>
    </row>
    <row r="41" spans="1:12" x14ac:dyDescent="0.2">
      <c r="A41" s="1983" t="s">
        <v>2173</v>
      </c>
      <c r="B41" s="1979"/>
      <c r="C41" s="1993">
        <v>1612.89</v>
      </c>
      <c r="D41" s="1994"/>
      <c r="E41" s="1995">
        <v>0</v>
      </c>
      <c r="F41" s="1996"/>
      <c r="G41" s="1995">
        <f>-226.42-1386.47</f>
        <v>-1612.89</v>
      </c>
      <c r="H41" s="1994"/>
      <c r="I41" s="1993">
        <f t="shared" si="0"/>
        <v>0</v>
      </c>
    </row>
    <row r="42" spans="1:12" x14ac:dyDescent="0.2">
      <c r="A42" s="1983" t="s">
        <v>2174</v>
      </c>
      <c r="B42" s="1979"/>
      <c r="C42" s="1993">
        <v>1715.83</v>
      </c>
      <c r="D42" s="1994"/>
      <c r="E42" s="1995">
        <v>1209</v>
      </c>
      <c r="F42" s="1996"/>
      <c r="G42" s="1995">
        <v>-1508.45</v>
      </c>
      <c r="H42" s="1994"/>
      <c r="I42" s="1993">
        <f t="shared" si="0"/>
        <v>1416.3799999999999</v>
      </c>
      <c r="L42" s="1992"/>
    </row>
    <row r="43" spans="1:12" x14ac:dyDescent="0.2">
      <c r="A43" s="1983" t="s">
        <v>2175</v>
      </c>
      <c r="B43" s="1979"/>
      <c r="C43" s="1993">
        <v>1.34</v>
      </c>
      <c r="D43" s="1994"/>
      <c r="E43" s="1995">
        <v>0</v>
      </c>
      <c r="F43" s="1996"/>
      <c r="G43" s="1995">
        <v>0</v>
      </c>
      <c r="H43" s="1994"/>
      <c r="I43" s="1993">
        <f t="shared" si="0"/>
        <v>1.34</v>
      </c>
    </row>
    <row r="44" spans="1:12" x14ac:dyDescent="0.2">
      <c r="A44" s="1983" t="s">
        <v>2176</v>
      </c>
      <c r="B44" s="1979"/>
      <c r="C44" s="1993">
        <v>256.83999999999997</v>
      </c>
      <c r="D44" s="1994"/>
      <c r="E44" s="1995">
        <f>226.42+1386.47</f>
        <v>1612.89</v>
      </c>
      <c r="F44" s="1996"/>
      <c r="G44" s="1995">
        <v>-25.13</v>
      </c>
      <c r="H44" s="1994"/>
      <c r="I44" s="1993">
        <f t="shared" si="0"/>
        <v>1844.6</v>
      </c>
      <c r="L44" s="1992"/>
    </row>
    <row r="45" spans="1:12" x14ac:dyDescent="0.2">
      <c r="A45" s="1983" t="s">
        <v>2177</v>
      </c>
      <c r="B45" s="1979"/>
      <c r="C45" s="1993">
        <v>2</v>
      </c>
      <c r="D45" s="1994"/>
      <c r="E45" s="1995">
        <v>0</v>
      </c>
      <c r="F45" s="1996"/>
      <c r="G45" s="1995">
        <v>-2</v>
      </c>
      <c r="H45" s="1994"/>
      <c r="I45" s="1993">
        <f t="shared" si="0"/>
        <v>0</v>
      </c>
    </row>
    <row r="46" spans="1:12" x14ac:dyDescent="0.2">
      <c r="A46" s="1983" t="s">
        <v>2178</v>
      </c>
      <c r="B46" s="1979"/>
      <c r="C46" s="1993">
        <v>1273.6400000000001</v>
      </c>
      <c r="D46" s="1994"/>
      <c r="E46" s="1995">
        <v>494.1</v>
      </c>
      <c r="F46" s="1996"/>
      <c r="G46" s="1995">
        <f>-453.31+18</f>
        <v>-435.31</v>
      </c>
      <c r="H46" s="1994"/>
      <c r="I46" s="1993">
        <f t="shared" si="0"/>
        <v>1332.4300000000003</v>
      </c>
      <c r="L46" s="1992"/>
    </row>
    <row r="47" spans="1:12" x14ac:dyDescent="0.2">
      <c r="A47" s="1983" t="s">
        <v>2179</v>
      </c>
      <c r="B47" s="1979"/>
      <c r="C47" s="1993">
        <v>2</v>
      </c>
      <c r="D47" s="1994"/>
      <c r="E47" s="1995">
        <v>0</v>
      </c>
      <c r="F47" s="1996"/>
      <c r="G47" s="1995">
        <v>-2</v>
      </c>
      <c r="H47" s="1994"/>
      <c r="I47" s="1993">
        <f t="shared" si="0"/>
        <v>0</v>
      </c>
    </row>
    <row r="48" spans="1:12" x14ac:dyDescent="0.2">
      <c r="A48" s="1983" t="s">
        <v>2180</v>
      </c>
      <c r="B48" s="1979"/>
      <c r="C48" s="1993">
        <v>1567.88</v>
      </c>
      <c r="D48" s="1994"/>
      <c r="E48" s="1995">
        <v>17702</v>
      </c>
      <c r="F48" s="1996"/>
      <c r="G48" s="1995">
        <f>-13725.66-477</f>
        <v>-14202.66</v>
      </c>
      <c r="H48" s="1994"/>
      <c r="I48" s="1993">
        <f t="shared" si="0"/>
        <v>5067.2200000000012</v>
      </c>
      <c r="L48" s="1992"/>
    </row>
    <row r="49" spans="1:12" x14ac:dyDescent="0.2">
      <c r="A49" s="1983" t="s">
        <v>2181</v>
      </c>
      <c r="B49" s="1979"/>
      <c r="C49" s="1993">
        <v>15.37</v>
      </c>
      <c r="D49" s="1994"/>
      <c r="E49" s="1995">
        <v>0</v>
      </c>
      <c r="F49" s="1996"/>
      <c r="G49" s="1995">
        <v>-15.37</v>
      </c>
      <c r="H49" s="1994"/>
      <c r="I49" s="1993">
        <f t="shared" si="0"/>
        <v>0</v>
      </c>
    </row>
    <row r="50" spans="1:12" x14ac:dyDescent="0.2">
      <c r="A50" s="1983" t="s">
        <v>2182</v>
      </c>
      <c r="B50" s="1979"/>
      <c r="C50" s="1993">
        <v>25352.92</v>
      </c>
      <c r="D50" s="1994"/>
      <c r="E50" s="1995">
        <v>25.21</v>
      </c>
      <c r="F50" s="1996"/>
      <c r="G50" s="1995">
        <v>-1000</v>
      </c>
      <c r="H50" s="1994"/>
      <c r="I50" s="1993">
        <f t="shared" si="0"/>
        <v>24378.129999999997</v>
      </c>
    </row>
    <row r="51" spans="1:12" x14ac:dyDescent="0.2">
      <c r="A51" s="1983" t="s">
        <v>2183</v>
      </c>
      <c r="B51" s="1979"/>
      <c r="C51" s="1993">
        <v>3768.31</v>
      </c>
      <c r="D51" s="1994"/>
      <c r="E51" s="1995">
        <v>11.53</v>
      </c>
      <c r="F51" s="1996"/>
      <c r="G51" s="1995">
        <v>-300</v>
      </c>
      <c r="H51" s="1994"/>
      <c r="I51" s="1993">
        <f t="shared" si="0"/>
        <v>3479.84</v>
      </c>
      <c r="L51" s="1992"/>
    </row>
    <row r="52" spans="1:12" x14ac:dyDescent="0.2">
      <c r="A52" s="1983" t="s">
        <v>2184</v>
      </c>
      <c r="B52" s="1979"/>
      <c r="C52" s="1997">
        <v>6558.02</v>
      </c>
      <c r="D52" s="1994"/>
      <c r="E52" s="1998">
        <f>10500.59+0.53</f>
        <v>10501.12</v>
      </c>
      <c r="F52" s="1996"/>
      <c r="G52" s="1998">
        <f>-15579.85+35.79</f>
        <v>-15544.06</v>
      </c>
      <c r="H52" s="1994"/>
      <c r="I52" s="1998">
        <f t="shared" si="0"/>
        <v>1515.08</v>
      </c>
      <c r="K52" s="1992"/>
    </row>
    <row r="53" spans="1:12" x14ac:dyDescent="0.2">
      <c r="A53" s="1979"/>
      <c r="B53" s="1979"/>
      <c r="C53" s="1999"/>
      <c r="D53" s="1989"/>
      <c r="E53" s="2000"/>
      <c r="F53" s="1991"/>
      <c r="G53" s="2000"/>
      <c r="H53" s="1989"/>
      <c r="I53" s="1999"/>
    </row>
    <row r="54" spans="1:12" ht="13.5" thickBot="1" x14ac:dyDescent="0.25">
      <c r="A54" s="1983" t="s">
        <v>2185</v>
      </c>
      <c r="B54" s="1979"/>
      <c r="C54" s="2001">
        <f>SUM(C18:C52)</f>
        <v>74973.649999999994</v>
      </c>
      <c r="D54" s="1989"/>
      <c r="E54" s="2002">
        <f>SUM(E18:E52)</f>
        <v>105380.03000000001</v>
      </c>
      <c r="F54" s="1991"/>
      <c r="G54" s="2002">
        <f>SUM(G18:G52)</f>
        <v>-108770.24000000001</v>
      </c>
      <c r="H54" s="1989"/>
      <c r="I54" s="2001">
        <f>SUM(C54:G54)</f>
        <v>71583.439999999988</v>
      </c>
    </row>
    <row r="55" spans="1:12" ht="13.5" thickTop="1" x14ac:dyDescent="0.2">
      <c r="E55" s="1977"/>
      <c r="F55" s="1977"/>
      <c r="G55" s="1977"/>
    </row>
    <row r="56" spans="1:12" x14ac:dyDescent="0.2">
      <c r="E56" s="1977"/>
      <c r="F56" s="1977"/>
      <c r="G56" s="1977"/>
    </row>
  </sheetData>
  <mergeCells count="5">
    <mergeCell ref="A1:J1"/>
    <mergeCell ref="A2:J2"/>
    <mergeCell ref="A3:J3"/>
    <mergeCell ref="A4:J4"/>
    <mergeCell ref="A5:J5"/>
  </mergeCells>
  <printOptions horizontalCentered="1"/>
  <pageMargins left="1" right="0.75" top="1" bottom="0.5" header="1" footer="0.25"/>
  <pageSetup scale="91" orientation="portrait" r:id="rId1"/>
  <headerFooter>
    <oddFooter>&amp;CReference should be made to accountant's report regarding this information.
57</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09" t="s">
        <v>1790</v>
      </c>
      <c r="B1" s="2410"/>
      <c r="C1" s="2410"/>
      <c r="D1" s="2410"/>
      <c r="E1" s="2410"/>
      <c r="F1" s="2411"/>
    </row>
    <row r="2" spans="1:8" ht="45" customHeight="1" x14ac:dyDescent="0.2">
      <c r="A2" s="2419" t="s">
        <v>1791</v>
      </c>
      <c r="B2" s="2420"/>
      <c r="C2" s="2420"/>
      <c r="D2" s="2420"/>
      <c r="E2" s="2420"/>
      <c r="F2" s="2421"/>
      <c r="G2" s="1072"/>
      <c r="H2" s="1072"/>
    </row>
    <row r="3" spans="1:8" ht="57" customHeight="1" x14ac:dyDescent="0.2">
      <c r="A3" s="2422" t="s">
        <v>1786</v>
      </c>
      <c r="B3" s="2423"/>
      <c r="C3" s="2423"/>
      <c r="D3" s="2423"/>
      <c r="E3" s="2423"/>
      <c r="F3" s="2424"/>
      <c r="G3" s="1072"/>
      <c r="H3" s="1072"/>
    </row>
    <row r="4" spans="1:8" ht="14.25" customHeight="1" x14ac:dyDescent="0.2">
      <c r="A4" s="2428" t="s">
        <v>2054</v>
      </c>
      <c r="B4" s="2429"/>
      <c r="C4" s="2429"/>
      <c r="D4" s="2429"/>
      <c r="E4" s="2429"/>
      <c r="F4" s="2430"/>
      <c r="G4" s="1072"/>
      <c r="H4" s="1072"/>
    </row>
    <row r="5" spans="1:8" ht="14.25" customHeight="1" x14ac:dyDescent="0.2">
      <c r="A5" s="2431" t="s">
        <v>2055</v>
      </c>
      <c r="B5" s="2432"/>
      <c r="C5" s="2432"/>
      <c r="D5" s="2432"/>
      <c r="E5" s="2432"/>
      <c r="F5" s="2433"/>
      <c r="G5" s="1072"/>
      <c r="H5" s="1072"/>
    </row>
    <row r="6" spans="1:8" s="1073" customFormat="1" ht="41.25" customHeight="1" x14ac:dyDescent="0.2">
      <c r="A6" s="2425" t="s">
        <v>1792</v>
      </c>
      <c r="B6" s="2426"/>
      <c r="C6" s="2426"/>
      <c r="D6" s="2426"/>
      <c r="E6" s="2426"/>
      <c r="F6" s="2427"/>
    </row>
    <row r="7" spans="1:8" ht="42" customHeight="1" x14ac:dyDescent="0.2">
      <c r="A7" s="1074" t="s">
        <v>502</v>
      </c>
      <c r="B7" s="1075" t="s">
        <v>1576</v>
      </c>
      <c r="C7" s="1075" t="s">
        <v>1577</v>
      </c>
      <c r="D7" s="1075" t="s">
        <v>1575</v>
      </c>
      <c r="E7" s="1075" t="s">
        <v>1578</v>
      </c>
      <c r="F7" s="1075" t="s">
        <v>1434</v>
      </c>
    </row>
    <row r="8" spans="1:8" s="1077" customFormat="1" ht="14.25" customHeight="1" x14ac:dyDescent="0.2">
      <c r="A8" s="1076" t="s">
        <v>1435</v>
      </c>
      <c r="B8" s="1835">
        <f>'Acct Summary 7-8'!C8</f>
        <v>2706578</v>
      </c>
      <c r="C8" s="1835">
        <f>'Acct Summary 7-8'!D8</f>
        <v>215055</v>
      </c>
      <c r="D8" s="1835">
        <f>'Acct Summary 7-8'!F8</f>
        <v>182096</v>
      </c>
      <c r="E8" s="1835">
        <f>'Acct Summary 7-8'!I8</f>
        <v>21767</v>
      </c>
      <c r="F8" s="1835">
        <f>SUM(B8:E8)</f>
        <v>3125496</v>
      </c>
    </row>
    <row r="9" spans="1:8" s="1077" customFormat="1" ht="14.25" customHeight="1" thickBot="1" x14ac:dyDescent="0.25">
      <c r="A9" s="1076" t="s">
        <v>1436</v>
      </c>
      <c r="B9" s="1836">
        <f>'Acct Summary 7-8'!C17</f>
        <v>2517467</v>
      </c>
      <c r="C9" s="1836">
        <f>'Acct Summary 7-8'!D17</f>
        <v>249129</v>
      </c>
      <c r="D9" s="1836">
        <f>'Acct Summary 7-8'!F17</f>
        <v>189977</v>
      </c>
      <c r="E9" s="1835"/>
      <c r="F9" s="1835">
        <f>SUM(B9:E9)</f>
        <v>2956573</v>
      </c>
    </row>
    <row r="10" spans="1:8" s="1077" customFormat="1" ht="14.25" thickTop="1" thickBot="1" x14ac:dyDescent="0.25">
      <c r="A10" s="1078" t="s">
        <v>1437</v>
      </c>
      <c r="B10" s="1837">
        <f>(B8-B9)</f>
        <v>189111</v>
      </c>
      <c r="C10" s="1837">
        <f>(C8-C9)</f>
        <v>-34074</v>
      </c>
      <c r="D10" s="1837">
        <f>(D8-D9)</f>
        <v>-7881</v>
      </c>
      <c r="E10" s="1836">
        <f>(E8-E9)</f>
        <v>21767</v>
      </c>
      <c r="F10" s="1838">
        <f>SUM(F8-F9)</f>
        <v>168923</v>
      </c>
    </row>
    <row r="11" spans="1:8" s="1077" customFormat="1" ht="14.25" thickTop="1" thickBot="1" x14ac:dyDescent="0.25">
      <c r="A11" s="1079" t="s">
        <v>1785</v>
      </c>
      <c r="B11" s="1839">
        <f>'Acct Summary 7-8'!C81</f>
        <v>533722</v>
      </c>
      <c r="C11" s="1839">
        <f>'Acct Summary 7-8'!D81</f>
        <v>23378</v>
      </c>
      <c r="D11" s="1839">
        <f>'Acct Summary 7-8'!F81</f>
        <v>131424</v>
      </c>
      <c r="E11" s="1839">
        <f>'Acct Summary 7-8'!I81</f>
        <v>276972</v>
      </c>
      <c r="F11" s="1840">
        <f>SUM(B11:E11)</f>
        <v>965496</v>
      </c>
    </row>
    <row r="12" spans="1:8" ht="16.5" customHeight="1" thickTop="1" x14ac:dyDescent="0.2">
      <c r="A12" s="1080"/>
      <c r="B12" s="1081"/>
      <c r="C12" s="2413" t="str">
        <f>IF(AND(F10&lt;0,F11&gt;=0,ABS(F10*3)&gt;ABS(F11)),A16,IF(AND(F10&lt;0,F11&gt;0,ABS(F10*3)&lt;=ABS(F11)),A17,IF(AND(F10&lt;0,F11&lt;0),A16,IF(F11=0,A19,A18))))</f>
        <v>Balanced - no deficit reduction plan is required.</v>
      </c>
      <c r="D12" s="2414"/>
      <c r="E12" s="2414"/>
      <c r="F12" s="2415"/>
    </row>
    <row r="13" spans="1:8" ht="19.5" customHeight="1" x14ac:dyDescent="0.2">
      <c r="A13" s="1082"/>
      <c r="B13" s="1083"/>
      <c r="C13" s="2413"/>
      <c r="D13" s="2414"/>
      <c r="E13" s="2414"/>
      <c r="F13" s="2415"/>
      <c r="H13" s="1072"/>
    </row>
    <row r="14" spans="1:8" ht="19.5" customHeight="1" x14ac:dyDescent="0.2">
      <c r="A14" s="1082"/>
      <c r="B14" s="1083"/>
      <c r="C14" s="2413"/>
      <c r="D14" s="2414"/>
      <c r="E14" s="2414"/>
      <c r="F14" s="2415"/>
      <c r="H14" s="1072"/>
    </row>
    <row r="15" spans="1:8" ht="17.25" customHeight="1" x14ac:dyDescent="0.2">
      <c r="A15" s="1082"/>
      <c r="B15" s="1083"/>
      <c r="C15" s="2416"/>
      <c r="D15" s="2417"/>
      <c r="E15" s="2417"/>
      <c r="F15" s="2418"/>
      <c r="H15" s="1072"/>
    </row>
    <row r="16" spans="1:8" s="310" customFormat="1" ht="51.75" hidden="1" customHeight="1" x14ac:dyDescent="0.2">
      <c r="A16" s="2412" t="s">
        <v>1787</v>
      </c>
      <c r="B16" s="2412"/>
      <c r="C16" s="2412"/>
      <c r="D16" s="2412"/>
      <c r="E16" s="2412"/>
      <c r="F16" s="310" t="s">
        <v>1438</v>
      </c>
    </row>
    <row r="17" spans="1:6" hidden="1" x14ac:dyDescent="0.2">
      <c r="A17" s="316" t="s">
        <v>1788</v>
      </c>
      <c r="F17" s="1084"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5"/>
    </row>
    <row r="48" spans="3:3" x14ac:dyDescent="0.2">
      <c r="C48" s="1084"/>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38" colorId="8" zoomScale="110" zoomScaleNormal="110" workbookViewId="0">
      <selection activeCell="D69" sqref="D69"/>
    </sheetView>
  </sheetViews>
  <sheetFormatPr defaultColWidth="9.140625" defaultRowHeight="12" x14ac:dyDescent="0.2"/>
  <cols>
    <col min="1" max="1" width="2.7109375" style="1131" customWidth="1"/>
    <col min="2" max="2" width="3.140625" style="1131" customWidth="1"/>
    <col min="3" max="3" width="96.140625" style="1071" customWidth="1"/>
    <col min="4" max="4" width="42.140625" style="242"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919"/>
      <c r="B2" s="1920"/>
      <c r="C2" s="1921"/>
      <c r="D2" s="1922"/>
    </row>
    <row r="3" spans="1:4" ht="36" customHeight="1" x14ac:dyDescent="0.2">
      <c r="A3" s="2434" t="s">
        <v>686</v>
      </c>
      <c r="B3" s="2435"/>
      <c r="C3" s="2435"/>
      <c r="D3" s="2436"/>
    </row>
    <row r="4" spans="1:4" x14ac:dyDescent="0.2">
      <c r="A4" s="1150" t="s">
        <v>1793</v>
      </c>
      <c r="B4" s="1151"/>
      <c r="C4" s="1152"/>
      <c r="D4" s="1153"/>
    </row>
    <row r="5" spans="1:4" ht="21" customHeight="1" x14ac:dyDescent="0.2">
      <c r="A5" s="1146"/>
      <c r="B5" s="1147">
        <v>1</v>
      </c>
      <c r="C5" s="1148" t="s">
        <v>1945</v>
      </c>
      <c r="D5" s="1149"/>
    </row>
    <row r="6" spans="1:4" s="669" customFormat="1" ht="14.25" customHeight="1" x14ac:dyDescent="0.2">
      <c r="A6" s="1136"/>
      <c r="B6" s="1091">
        <f t="shared" ref="B6:B13" si="0">B5+1</f>
        <v>2</v>
      </c>
      <c r="C6" s="1092" t="s">
        <v>919</v>
      </c>
      <c r="D6" s="1093"/>
    </row>
    <row r="7" spans="1:4" s="669" customFormat="1" ht="12.75" x14ac:dyDescent="0.2">
      <c r="A7" s="1136"/>
      <c r="B7" s="1091">
        <f t="shared" si="0"/>
        <v>3</v>
      </c>
      <c r="C7" s="2445" t="s">
        <v>1584</v>
      </c>
      <c r="D7" s="2446"/>
    </row>
    <row r="8" spans="1:4" s="669" customFormat="1" ht="12.75" x14ac:dyDescent="0.2">
      <c r="A8" s="1136"/>
      <c r="B8" s="1091"/>
      <c r="C8" s="1094" t="s">
        <v>1583</v>
      </c>
      <c r="D8" s="1095"/>
    </row>
    <row r="9" spans="1:4" s="669" customFormat="1" ht="14.25" customHeight="1" x14ac:dyDescent="0.2">
      <c r="A9" s="1136"/>
      <c r="B9" s="1091">
        <f>B7+1</f>
        <v>4</v>
      </c>
      <c r="C9" s="1092" t="s">
        <v>2047</v>
      </c>
      <c r="D9" s="1093"/>
    </row>
    <row r="10" spans="1:4" s="669" customFormat="1" ht="14.25" customHeight="1" x14ac:dyDescent="0.2">
      <c r="A10" s="1136"/>
      <c r="B10" s="1091">
        <f t="shared" si="0"/>
        <v>5</v>
      </c>
      <c r="C10" s="1092" t="s">
        <v>660</v>
      </c>
      <c r="D10" s="1093"/>
    </row>
    <row r="11" spans="1:4" s="669" customFormat="1" ht="14.25" customHeight="1" x14ac:dyDescent="0.2">
      <c r="A11" s="1136"/>
      <c r="B11" s="1091">
        <f t="shared" si="0"/>
        <v>6</v>
      </c>
      <c r="C11" s="1092" t="s">
        <v>811</v>
      </c>
      <c r="D11" s="1093"/>
    </row>
    <row r="12" spans="1:4" s="669" customFormat="1" ht="14.25" customHeight="1" x14ac:dyDescent="0.2">
      <c r="A12" s="1136"/>
      <c r="B12" s="1091">
        <f t="shared" si="0"/>
        <v>7</v>
      </c>
      <c r="C12" s="1092" t="s">
        <v>1122</v>
      </c>
      <c r="D12" s="1093"/>
    </row>
    <row r="13" spans="1:4" s="669" customFormat="1" ht="14.25" customHeight="1" x14ac:dyDescent="0.2">
      <c r="A13" s="1136"/>
      <c r="B13" s="1091">
        <f t="shared" si="0"/>
        <v>8</v>
      </c>
      <c r="C13" s="1132" t="s">
        <v>812</v>
      </c>
      <c r="D13" s="1093"/>
    </row>
    <row r="14" spans="1:4" s="669" customFormat="1" ht="14.25" customHeight="1" x14ac:dyDescent="0.2">
      <c r="A14" s="1136"/>
      <c r="B14" s="1133">
        <v>9</v>
      </c>
      <c r="C14" s="1134" t="s">
        <v>1585</v>
      </c>
      <c r="D14" s="1135"/>
    </row>
    <row r="15" spans="1:4" s="669" customFormat="1" ht="21.75" customHeight="1" x14ac:dyDescent="0.2">
      <c r="A15" s="2437" t="s">
        <v>1065</v>
      </c>
      <c r="B15" s="2438"/>
      <c r="C15" s="2438"/>
      <c r="D15" s="2439"/>
    </row>
    <row r="16" spans="1:4" s="669" customFormat="1" ht="24" customHeight="1" x14ac:dyDescent="0.2">
      <c r="A16" s="2440" t="s">
        <v>684</v>
      </c>
      <c r="B16" s="2441"/>
      <c r="C16" s="2441"/>
      <c r="D16" s="2442"/>
    </row>
    <row r="17" spans="1:10" s="669" customFormat="1" ht="12.75" customHeight="1" x14ac:dyDescent="0.2">
      <c r="A17" s="1154" t="s">
        <v>1794</v>
      </c>
      <c r="B17" s="1155"/>
      <c r="C17" s="1156"/>
      <c r="D17" s="1157"/>
    </row>
    <row r="18" spans="1:10" s="669" customFormat="1" ht="12.75" customHeight="1" x14ac:dyDescent="0.2">
      <c r="A18" s="1158" t="s">
        <v>1795</v>
      </c>
      <c r="B18" s="1159"/>
      <c r="C18" s="1160"/>
      <c r="D18" s="1161"/>
    </row>
    <row r="19" spans="1:10" ht="6.75" customHeight="1" thickBot="1" x14ac:dyDescent="0.25">
      <c r="A19" s="1162"/>
      <c r="B19" s="1163"/>
      <c r="C19" s="1164"/>
      <c r="D19" s="1165"/>
    </row>
    <row r="20" spans="1:10" s="1169" customFormat="1" ht="12.75" thickTop="1" x14ac:dyDescent="0.2">
      <c r="A20" s="1166"/>
      <c r="B20" s="1167" t="s">
        <v>1796</v>
      </c>
      <c r="C20" s="1168"/>
      <c r="D20" s="1171" t="s">
        <v>734</v>
      </c>
    </row>
    <row r="21" spans="1:10" x14ac:dyDescent="0.2">
      <c r="A21" s="1096"/>
      <c r="B21" s="1097">
        <v>1</v>
      </c>
      <c r="C21" s="2449" t="s">
        <v>332</v>
      </c>
      <c r="D21" s="2450"/>
    </row>
    <row r="22" spans="1:10" ht="12.75" x14ac:dyDescent="0.2">
      <c r="A22" s="1137"/>
      <c r="B22" s="1138">
        <v>2</v>
      </c>
      <c r="C22" s="2447" t="s">
        <v>1605</v>
      </c>
      <c r="D22" s="2448"/>
    </row>
    <row r="23" spans="1:10" ht="12.2" customHeight="1" x14ac:dyDescent="0.2">
      <c r="A23" s="1137"/>
      <c r="B23" s="1138"/>
      <c r="C23" s="1139" t="s">
        <v>1011</v>
      </c>
      <c r="D23" s="1140" t="str">
        <f>IF(COVER!O11="X","CASH",IF(COVER!O12="X","ACCRUAL ","PLEASE CHECK AN ACCOUNTING BASIS."))</f>
        <v>CASH</v>
      </c>
    </row>
    <row r="24" spans="1:10" ht="12.2" customHeight="1" x14ac:dyDescent="0.2">
      <c r="A24" s="1137"/>
      <c r="B24" s="1138"/>
      <c r="C24" s="1139" t="s">
        <v>1399</v>
      </c>
      <c r="D24" s="1140" t="str">
        <f>IF(COVER!O11="X","OK",IF(AND('Aud Quest 2'!J90=0,'Aud Quest 2'!I77&lt;DATE(2017,12,31)),"ENTER ACCOUNTING INFO",IF(AND('Aud Quest 2'!J90&gt;0,'Aud Quest 2'!I77&lt;DATE(2017,12,31)),"OK")))</f>
        <v>OK</v>
      </c>
    </row>
    <row r="25" spans="1:10" x14ac:dyDescent="0.2">
      <c r="A25" s="1098"/>
      <c r="B25" s="1099"/>
      <c r="C25" s="1100" t="s">
        <v>1607</v>
      </c>
      <c r="D25" s="1101" t="str">
        <f>IF(AND(COVER!J29="X",COVER!J30="X",COVER!L30&lt;&gt;"X"),"OK",IF(AND(COVER!J29="X",COVER!J30&lt;&gt;"X",COVER!L30="X"),"OK",IF(AND(COVER!L29="X",COVER!J30&lt;&gt;"X"),"OK","PLEASE CHECK YES or NO.")))</f>
        <v>OK</v>
      </c>
    </row>
    <row r="26" spans="1:10" x14ac:dyDescent="0.2">
      <c r="A26" s="1098"/>
      <c r="B26" s="1141"/>
      <c r="C26" s="1102" t="s">
        <v>1606</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1032</v>
      </c>
      <c r="D27" s="1103" t="str">
        <f>IF(AND(COVER!J29="X",COVER!J31="X",COVER!L29&lt;&gt;"X"),"OK",IF(AND(COVER!J29="X",COVER!J31&lt;&gt;"X",COVER!L31="X"),"NO FINDINGS WERE ISSUED",IF(AND(COVER!L29="X",COVER!J31&lt;&gt;"X"),"OK","PLEASE CHECK YES or NO.")))</f>
        <v>PLEASE CHECK YES or NO.</v>
      </c>
    </row>
    <row r="28" spans="1:10" ht="24" hidden="1" customHeight="1" x14ac:dyDescent="0.2">
      <c r="A28" s="1104"/>
      <c r="B28" s="1141"/>
      <c r="C28" s="1100" t="s">
        <v>897</v>
      </c>
      <c r="D28" s="1105" t="b">
        <f>IF('Aud Quest 2'!B53="X",IF('Aud Quest 2'!F53&gt;"00/00/00 ","Enter Effective Date","ok"))</f>
        <v>0</v>
      </c>
    </row>
    <row r="29" spans="1:10" x14ac:dyDescent="0.2">
      <c r="A29" s="1098"/>
      <c r="B29" s="1141"/>
      <c r="C29" s="1102" t="s">
        <v>1440</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6"/>
      <c r="B30" s="1138">
        <f>B22+1</f>
        <v>3</v>
      </c>
      <c r="C30" s="1106" t="s">
        <v>879</v>
      </c>
      <c r="D30" s="1107"/>
    </row>
    <row r="31" spans="1:10" x14ac:dyDescent="0.2">
      <c r="A31" s="1098"/>
      <c r="B31" s="1108"/>
      <c r="C31" s="1142" t="s">
        <v>271</v>
      </c>
      <c r="D31" s="1109" t="str">
        <f>IF(SUM('FP Info 3'!J10:L10)&lt;=0.0999999,"OK","CORRECT THE TAX RATES BY MOVING THE DECIMAL TWO PLACES TO THE LEFT.")</f>
        <v>OK</v>
      </c>
      <c r="E31" s="359"/>
      <c r="F31" s="359"/>
      <c r="G31" s="359"/>
      <c r="H31" s="359"/>
      <c r="I31" s="359"/>
      <c r="J31" s="359"/>
    </row>
    <row r="32" spans="1:10" x14ac:dyDescent="0.2">
      <c r="A32" s="1098"/>
      <c r="B32" s="1143"/>
      <c r="C32" s="1110" t="s">
        <v>1035</v>
      </c>
      <c r="D32" s="1101" t="str">
        <f>IF(OR(COVER!B6="x",'FP Info 3'!B31="X",'FP Info 3'!B32="X"),"OK","ENTRY IS REQUIRED!")</f>
        <v>OK</v>
      </c>
    </row>
    <row r="33" spans="1:12" s="1114" customFormat="1" ht="12.75" customHeight="1" x14ac:dyDescent="0.2">
      <c r="A33" s="1111"/>
      <c r="B33" s="1138">
        <f>B30+1</f>
        <v>4</v>
      </c>
      <c r="C33" s="1112" t="s">
        <v>813</v>
      </c>
      <c r="D33" s="1113"/>
    </row>
    <row r="34" spans="1:12" s="1114" customFormat="1" x14ac:dyDescent="0.2">
      <c r="A34" s="1115"/>
      <c r="B34" s="1138"/>
      <c r="C34" s="1116" t="s">
        <v>880</v>
      </c>
      <c r="D34" s="1101" t="str">
        <f>IF('Assets-Liab 5-6'!C4&lt;-0.49, "ERROR!","OK")</f>
        <v>OK</v>
      </c>
    </row>
    <row r="35" spans="1:12" x14ac:dyDescent="0.2">
      <c r="A35" s="1115"/>
      <c r="B35" s="1138"/>
      <c r="C35" s="1116" t="s">
        <v>324</v>
      </c>
      <c r="D35" s="1101" t="str">
        <f>IF('Assets-Liab 5-6'!D4&lt;-0.49, "ERROR!","OK")</f>
        <v>OK</v>
      </c>
      <c r="L35" s="1170"/>
    </row>
    <row r="36" spans="1:12" x14ac:dyDescent="0.2">
      <c r="A36" s="1115"/>
      <c r="B36" s="1138"/>
      <c r="C36" s="1116" t="s">
        <v>814</v>
      </c>
      <c r="D36" s="1101" t="str">
        <f>IF('Assets-Liab 5-6'!E4&lt;-0.49, "ERROR!","OK")</f>
        <v>OK</v>
      </c>
    </row>
    <row r="37" spans="1:12" x14ac:dyDescent="0.2">
      <c r="A37" s="1115"/>
      <c r="B37" s="1138"/>
      <c r="C37" s="1116" t="s">
        <v>325</v>
      </c>
      <c r="D37" s="1101" t="str">
        <f>IF('Assets-Liab 5-6'!F4&lt;-0.49, "ERROR!","OK")</f>
        <v>OK</v>
      </c>
    </row>
    <row r="38" spans="1:12" x14ac:dyDescent="0.2">
      <c r="A38" s="1115"/>
      <c r="B38" s="1138"/>
      <c r="C38" s="1116" t="s">
        <v>326</v>
      </c>
      <c r="D38" s="1101" t="str">
        <f>IF('Assets-Liab 5-6'!G4&lt;-0.49, "ERROR!","OK")</f>
        <v>OK</v>
      </c>
    </row>
    <row r="39" spans="1:12" x14ac:dyDescent="0.2">
      <c r="A39" s="1115"/>
      <c r="B39" s="1138"/>
      <c r="C39" s="1116" t="s">
        <v>815</v>
      </c>
      <c r="D39" s="1101" t="str">
        <f>IF('Assets-Liab 5-6'!H4&lt;-0.49, "ERROR!","OK")</f>
        <v>OK</v>
      </c>
    </row>
    <row r="40" spans="1:12" x14ac:dyDescent="0.2">
      <c r="A40" s="1115"/>
      <c r="B40" s="1138"/>
      <c r="C40" s="1116" t="s">
        <v>327</v>
      </c>
      <c r="D40" s="1101" t="str">
        <f>IF('Assets-Liab 5-6'!I4&lt;-0.49, "ERROR!","OK")</f>
        <v>OK</v>
      </c>
    </row>
    <row r="41" spans="1:12" x14ac:dyDescent="0.2">
      <c r="A41" s="1115"/>
      <c r="B41" s="1138"/>
      <c r="C41" s="1116" t="s">
        <v>816</v>
      </c>
      <c r="D41" s="1101" t="str">
        <f>IF('Assets-Liab 5-6'!J4&lt;-0.49, "ERROR!","OK")</f>
        <v>OK</v>
      </c>
    </row>
    <row r="42" spans="1:12" x14ac:dyDescent="0.2">
      <c r="A42" s="1115"/>
      <c r="B42" s="1138"/>
      <c r="C42" s="1116" t="s">
        <v>328</v>
      </c>
      <c r="D42" s="1101" t="str">
        <f>IF('Assets-Liab 5-6'!K4&lt;-0.49, "ERROR!","OK")</f>
        <v>OK</v>
      </c>
    </row>
    <row r="43" spans="1:12" x14ac:dyDescent="0.2">
      <c r="A43" s="1117"/>
      <c r="B43" s="1118">
        <f>B33+1</f>
        <v>5</v>
      </c>
      <c r="C43" s="2451" t="s">
        <v>557</v>
      </c>
      <c r="D43" s="2452"/>
    </row>
    <row r="44" spans="1:12" x14ac:dyDescent="0.2">
      <c r="A44" s="1117"/>
      <c r="B44" s="1119"/>
      <c r="C44" s="1120" t="s">
        <v>1402</v>
      </c>
      <c r="D44" s="1121" t="str">
        <f>IF(SUM('Assets-Liab 5-6'!C13)&lt;&gt;SUM('Assets-Liab 5-6'!C41),"ERROR!","OK")</f>
        <v>OK</v>
      </c>
    </row>
    <row r="45" spans="1:12" x14ac:dyDescent="0.2">
      <c r="A45" s="1117"/>
      <c r="B45" s="1119"/>
      <c r="C45" s="1120" t="s">
        <v>1403</v>
      </c>
      <c r="D45" s="1121" t="str">
        <f>IF(SUM('Assets-Liab 5-6'!D13)&lt;&gt;SUM('Assets-Liab 5-6'!D41),"ERROR!","OK")</f>
        <v>OK</v>
      </c>
    </row>
    <row r="46" spans="1:12" x14ac:dyDescent="0.2">
      <c r="A46" s="1117"/>
      <c r="B46" s="1119"/>
      <c r="C46" s="1120" t="s">
        <v>1404</v>
      </c>
      <c r="D46" s="1121" t="str">
        <f>IF(SUM('Assets-Liab 5-6'!E13)&lt;&gt;SUM('Assets-Liab 5-6'!E41),"ERROR!","OK")</f>
        <v>OK</v>
      </c>
    </row>
    <row r="47" spans="1:12" x14ac:dyDescent="0.2">
      <c r="A47" s="1117"/>
      <c r="B47" s="1119"/>
      <c r="C47" s="1120" t="s">
        <v>1405</v>
      </c>
      <c r="D47" s="1121" t="str">
        <f>IF(SUM('Assets-Liab 5-6'!F13)&lt;&gt;SUM('Assets-Liab 5-6'!F41),"ERROR!","OK")</f>
        <v>OK</v>
      </c>
    </row>
    <row r="48" spans="1:12" x14ac:dyDescent="0.2">
      <c r="A48" s="1117"/>
      <c r="B48" s="1119"/>
      <c r="C48" s="1120" t="s">
        <v>1406</v>
      </c>
      <c r="D48" s="1121" t="str">
        <f>IF(SUM('Assets-Liab 5-6'!G13)&lt;&gt;SUM('Assets-Liab 5-6'!G41),"ERROR!","OK")</f>
        <v>OK</v>
      </c>
    </row>
    <row r="49" spans="1:4" x14ac:dyDescent="0.2">
      <c r="A49" s="1117"/>
      <c r="B49" s="1119"/>
      <c r="C49" s="1120" t="s">
        <v>1407</v>
      </c>
      <c r="D49" s="1121" t="str">
        <f>IF(SUM('Assets-Liab 5-6'!H13)&lt;&gt;SUM('Assets-Liab 5-6'!H41),"ERROR!","OK")</f>
        <v>OK</v>
      </c>
    </row>
    <row r="50" spans="1:4" x14ac:dyDescent="0.2">
      <c r="A50" s="1117"/>
      <c r="B50" s="1119"/>
      <c r="C50" s="1120" t="s">
        <v>1408</v>
      </c>
      <c r="D50" s="1121" t="str">
        <f>IF(SUM('Assets-Liab 5-6'!I13)&lt;&gt;SUM('Assets-Liab 5-6'!I41),"ERROR!","OK")</f>
        <v>OK</v>
      </c>
    </row>
    <row r="51" spans="1:4" x14ac:dyDescent="0.2">
      <c r="A51" s="1117"/>
      <c r="B51" s="1119"/>
      <c r="C51" s="1120" t="s">
        <v>1409</v>
      </c>
      <c r="D51" s="1121" t="str">
        <f>IF(SUM('Assets-Liab 5-6'!J13)&lt;&gt;SUM('Assets-Liab 5-6'!J41),"ERROR!","OK")</f>
        <v>OK</v>
      </c>
    </row>
    <row r="52" spans="1:4" x14ac:dyDescent="0.2">
      <c r="A52" s="1117"/>
      <c r="B52" s="1119"/>
      <c r="C52" s="1120" t="s">
        <v>1410</v>
      </c>
      <c r="D52" s="1121" t="str">
        <f>IF(SUM('Assets-Liab 5-6'!K13)&lt;&gt;SUM('Assets-Liab 5-6'!K41),"ERROR!","OK")</f>
        <v>OK</v>
      </c>
    </row>
    <row r="53" spans="1:4" x14ac:dyDescent="0.2">
      <c r="A53" s="1117"/>
      <c r="B53" s="1119"/>
      <c r="C53" s="1120" t="s">
        <v>1411</v>
      </c>
      <c r="D53" s="1121" t="str">
        <f>IF(SUM('Assets-Liab 5-6'!L13)&lt;&gt;('Assets-Liab 5-6'!L41),"ERROR!","OK")</f>
        <v>OK</v>
      </c>
    </row>
    <row r="54" spans="1:4" x14ac:dyDescent="0.2">
      <c r="A54" s="1117"/>
      <c r="B54" s="1119"/>
      <c r="C54" s="1120" t="s">
        <v>1412</v>
      </c>
      <c r="D54" s="1121" t="str">
        <f>IF(SUM('Assets-Liab 5-6'!M23)&lt;&gt;('Assets-Liab 5-6'!M41),"ERROR!","OK")</f>
        <v>OK</v>
      </c>
    </row>
    <row r="55" spans="1:4" x14ac:dyDescent="0.2">
      <c r="A55" s="1117"/>
      <c r="B55" s="1119"/>
      <c r="C55" s="1120" t="s">
        <v>1413</v>
      </c>
      <c r="D55" s="1121" t="str">
        <f>IF(SUM('Assets-Liab 5-6'!N23)&lt;&gt;('Assets-Liab 5-6'!N41),"ERROR!","OK")</f>
        <v>OK</v>
      </c>
    </row>
    <row r="56" spans="1:4" x14ac:dyDescent="0.2">
      <c r="A56" s="1098"/>
      <c r="B56" s="1118">
        <f>B43+1</f>
        <v>6</v>
      </c>
      <c r="C56" s="2443" t="s">
        <v>817</v>
      </c>
      <c r="D56" s="2444"/>
    </row>
    <row r="57" spans="1:4" s="1114" customFormat="1" x14ac:dyDescent="0.2">
      <c r="A57" s="1098"/>
      <c r="B57" s="1108"/>
      <c r="C57" s="1116" t="s">
        <v>1414</v>
      </c>
      <c r="D57" s="1122" t="str">
        <f>IF('Assets-Liab 5-6'!C38+'Assets-Liab 5-6'!C39='Acct Summary 7-8'!C81,"OK","ERROR!")</f>
        <v>OK</v>
      </c>
    </row>
    <row r="58" spans="1:4" x14ac:dyDescent="0.2">
      <c r="A58" s="1098"/>
      <c r="B58" s="1108"/>
      <c r="C58" s="1116" t="s">
        <v>1415</v>
      </c>
      <c r="D58" s="1122" t="str">
        <f>IF((('Assets-Liab 5-6'!D38+'Assets-Liab 5-6'!D39) ='Acct Summary 7-8'!D81), "OK", "ERROR!" )</f>
        <v>OK</v>
      </c>
    </row>
    <row r="59" spans="1:4" s="1114" customFormat="1" x14ac:dyDescent="0.2">
      <c r="A59" s="1098"/>
      <c r="B59" s="1108"/>
      <c r="C59" s="1116" t="s">
        <v>1416</v>
      </c>
      <c r="D59" s="1122" t="str">
        <f>IF((('Assets-Liab 5-6'!E38 + 'Assets-Liab 5-6'!E39) ='Acct Summary 7-8'!E81), "OK", "ERROR!" )</f>
        <v>OK</v>
      </c>
    </row>
    <row r="60" spans="1:4" x14ac:dyDescent="0.2">
      <c r="A60" s="1098"/>
      <c r="B60" s="1108"/>
      <c r="C60" s="1116" t="s">
        <v>1417</v>
      </c>
      <c r="D60" s="1122" t="str">
        <f>IF((('Assets-Liab 5-6'!F38 + 'Assets-Liab 5-6'!F39) ='Acct Summary 7-8'!F81), "OK", "ERROR!" )</f>
        <v>OK</v>
      </c>
    </row>
    <row r="61" spans="1:4" ht="12.75" customHeight="1" x14ac:dyDescent="0.2">
      <c r="A61" s="1098"/>
      <c r="B61" s="1108"/>
      <c r="C61" s="1116" t="s">
        <v>1430</v>
      </c>
      <c r="D61" s="1122" t="str">
        <f>IF((('Assets-Liab 5-6'!G38 + 'Assets-Liab 5-6'!G39) ='Acct Summary 7-8'!G81), "OK", "ERROR!" )</f>
        <v>OK</v>
      </c>
    </row>
    <row r="62" spans="1:4" x14ac:dyDescent="0.2">
      <c r="A62" s="1098"/>
      <c r="B62" s="1108"/>
      <c r="C62" s="1116" t="s">
        <v>1418</v>
      </c>
      <c r="D62" s="1122" t="str">
        <f>IF((('Assets-Liab 5-6'!H38 + 'Assets-Liab 5-6'!H39) ='Acct Summary 7-8'!H81), "OK", "ERROR!" )</f>
        <v>OK</v>
      </c>
    </row>
    <row r="63" spans="1:4" ht="12.75" customHeight="1" x14ac:dyDescent="0.2">
      <c r="A63" s="1098"/>
      <c r="B63" s="1108"/>
      <c r="C63" s="1116" t="s">
        <v>1419</v>
      </c>
      <c r="D63" s="1122" t="str">
        <f>IF((('Assets-Liab 5-6'!I38 + 'Assets-Liab 5-6'!I39) ='Acct Summary 7-8'!I81), "OK", "ERROR!" )</f>
        <v>OK</v>
      </c>
    </row>
    <row r="64" spans="1:4" x14ac:dyDescent="0.2">
      <c r="A64" s="1098"/>
      <c r="B64" s="1108"/>
      <c r="C64" s="1116" t="s">
        <v>1420</v>
      </c>
      <c r="D64" s="1122" t="str">
        <f>IF((('Assets-Liab 5-6'!J38 + 'Assets-Liab 5-6'!J39) ='Acct Summary 7-8'!J81), "OK", "ERROR!" )</f>
        <v>OK</v>
      </c>
    </row>
    <row r="65" spans="1:4" x14ac:dyDescent="0.2">
      <c r="A65" s="1115"/>
      <c r="B65" s="1108"/>
      <c r="C65" s="1116" t="s">
        <v>1431</v>
      </c>
      <c r="D65" s="1122" t="str">
        <f>IF((('Assets-Liab 5-6'!K38 + 'Assets-Liab 5-6'!K39) ='Acct Summary 7-8'!K81), "OK", "ERROR!" )</f>
        <v>OK</v>
      </c>
    </row>
    <row r="66" spans="1:4" x14ac:dyDescent="0.2">
      <c r="A66" s="1096"/>
      <c r="B66" s="1138">
        <f>B56+1+1</f>
        <v>8</v>
      </c>
      <c r="C66" s="1144" t="s">
        <v>2048</v>
      </c>
      <c r="D66" s="1123"/>
    </row>
    <row r="67" spans="1:4" x14ac:dyDescent="0.2">
      <c r="A67" s="1117"/>
      <c r="B67" s="1138"/>
      <c r="C67" s="1145" t="s">
        <v>1079</v>
      </c>
      <c r="D67" s="1123"/>
    </row>
    <row r="68" spans="1:4" x14ac:dyDescent="0.2">
      <c r="A68" s="1098"/>
      <c r="B68" s="1108"/>
      <c r="C68" s="1100" t="s">
        <v>2049</v>
      </c>
      <c r="D68" s="1122" t="str">
        <f>IF('Short-Term Long-Term Debt 24'!F49=SUM(,'Acct Summary 7-8'!C33:K33),"OK","ERROR!")</f>
        <v>OK</v>
      </c>
    </row>
    <row r="69" spans="1:4" x14ac:dyDescent="0.2">
      <c r="A69" s="1098"/>
      <c r="B69" s="1108"/>
      <c r="C69" s="1100" t="s">
        <v>2050</v>
      </c>
      <c r="D69" s="1122" t="str">
        <f>IF('Expenditures 15-22'!H170&lt;&gt;'Short-Term Long-Term Debt 24'!H49,"ERROR!","OK")</f>
        <v>ERROR!</v>
      </c>
    </row>
    <row r="70" spans="1:4" x14ac:dyDescent="0.2">
      <c r="A70" s="1096"/>
      <c r="B70" s="1118">
        <f>B66+1</f>
        <v>9</v>
      </c>
      <c r="C70" s="2443" t="s">
        <v>1797</v>
      </c>
      <c r="D70" s="2444"/>
    </row>
    <row r="71" spans="1:4" x14ac:dyDescent="0.2">
      <c r="A71" s="1096"/>
      <c r="B71" s="1118"/>
      <c r="C71" s="1100" t="s">
        <v>1421</v>
      </c>
      <c r="D71" s="1124" t="str">
        <f>IF(SUM('Acct Summary 7-8'!C27:K27) =SUM( 'Acct Summary 7-8'!C49:K49),"OK", "ERROR")</f>
        <v>OK</v>
      </c>
    </row>
    <row r="72" spans="1:4" x14ac:dyDescent="0.2">
      <c r="A72" s="1098"/>
      <c r="B72" s="1108"/>
      <c r="C72" s="1116" t="s">
        <v>1422</v>
      </c>
      <c r="D72" s="1122" t="str">
        <f>IF(SUM('Acct Summary 7-8'!C28:K28)=SUM('Acct Summary 7-8'!C50:K50),"OK","ERROR!")</f>
        <v>OK</v>
      </c>
    </row>
    <row r="73" spans="1:4" ht="24" x14ac:dyDescent="0.2">
      <c r="A73" s="1125"/>
      <c r="B73" s="1108"/>
      <c r="C73" s="1116" t="s">
        <v>1798</v>
      </c>
      <c r="D73" s="1124" t="str">
        <f>IF(SUM('Acct Summary 7-8'!C42:K42)&gt;=SUM( 'Acct Summary 7-8'!C74:K74),"OK", "ERROR")</f>
        <v>OK</v>
      </c>
    </row>
    <row r="74" spans="1:4" x14ac:dyDescent="0.2">
      <c r="A74" s="1096"/>
      <c r="B74" s="1118">
        <f>B70+1</f>
        <v>10</v>
      </c>
      <c r="C74" s="1112" t="s">
        <v>2051</v>
      </c>
      <c r="D74" s="1126"/>
    </row>
    <row r="75" spans="1:4" x14ac:dyDescent="0.2">
      <c r="A75" s="1098"/>
      <c r="B75" s="1108"/>
      <c r="C75" s="1116" t="s">
        <v>1444</v>
      </c>
      <c r="D75" s="1122" t="str">
        <f>IF(SUM('Assets-Liab 5-6'!C38:H38)&gt;=SUM('Rest Tax Levies-Tort Im 25'!G25:K25),"OK","ERROR")</f>
        <v>OK</v>
      </c>
    </row>
    <row r="76" spans="1:4" x14ac:dyDescent="0.2">
      <c r="A76" s="1098"/>
      <c r="B76" s="1108"/>
      <c r="C76" s="1116" t="s">
        <v>1490</v>
      </c>
      <c r="D76" s="1122" t="str">
        <f>IF(SUM('Assets-Liab 5-6'!C39:K39)&gt;0,"OK","ENTRY IS REQUIRED!")</f>
        <v>OK</v>
      </c>
    </row>
    <row r="77" spans="1:4" x14ac:dyDescent="0.2">
      <c r="A77" s="1098"/>
      <c r="B77" s="1127">
        <f>B74+1</f>
        <v>11</v>
      </c>
      <c r="C77" s="1172" t="s">
        <v>1445</v>
      </c>
      <c r="D77" s="1122"/>
    </row>
    <row r="78" spans="1:4" x14ac:dyDescent="0.2">
      <c r="A78" s="1098"/>
      <c r="B78" s="1108"/>
      <c r="C78" s="1116" t="s">
        <v>2052</v>
      </c>
      <c r="D78" s="1122" t="str">
        <f>IF(ISNUMBER('Acct Summary 7-8'!C9),"OK","ENTRY IS REQUIRED!")</f>
        <v>OK</v>
      </c>
    </row>
    <row r="79" spans="1:4" x14ac:dyDescent="0.2">
      <c r="A79" s="1117"/>
      <c r="B79" s="1118">
        <f>B74+1+1</f>
        <v>12</v>
      </c>
      <c r="C79" s="1128" t="s">
        <v>2018</v>
      </c>
      <c r="D79" s="1129" t="str">
        <f>IF(OR(COVER!$B$6="X",'PCTC-OEPP 27-28'!F78&gt;0),"OK","PLEASE ENTER 9 MO ADA.")</f>
        <v>OK</v>
      </c>
    </row>
    <row r="80" spans="1:4" x14ac:dyDescent="0.2">
      <c r="A80" s="1096"/>
      <c r="B80" s="1118">
        <v>13</v>
      </c>
      <c r="C80" s="1128" t="s">
        <v>2053</v>
      </c>
      <c r="D80" s="1129" t="str">
        <f>IF('Contracts Paid in CY 29'!D141&gt;0,"OK","PLEASE ENTER CONTRACTS PAID IN CURRENT YEAR.")</f>
        <v>PLEASE ENTER CONTRACTS PAID IN CURRENT YEAR.</v>
      </c>
    </row>
    <row r="81" spans="1:4" x14ac:dyDescent="0.2">
      <c r="A81" s="1096"/>
      <c r="B81" s="1118">
        <v>14</v>
      </c>
      <c r="C81" s="1128" t="s">
        <v>1496</v>
      </c>
      <c r="D81" s="1121" t="str">
        <f>IF('Shared Outsourced Services 31'!B8="X","OK",IF('Shared Outsourced Services 31'!K34&gt;0,"OK","ENTRY REQUIRED!"))</f>
        <v>OK</v>
      </c>
    </row>
    <row r="82" spans="1:4" x14ac:dyDescent="0.2">
      <c r="A82" s="1117"/>
      <c r="B82" s="1118">
        <v>15</v>
      </c>
      <c r="C82" s="1128" t="s">
        <v>1495</v>
      </c>
      <c r="D82" s="1130"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3011001026</v>
      </c>
    </row>
    <row r="3" spans="1:2" x14ac:dyDescent="0.2">
      <c r="A3" t="s">
        <v>1013</v>
      </c>
      <c r="B3" s="138" t="str">
        <f>COVER!A15</f>
        <v>Christian/Montgomery</v>
      </c>
    </row>
    <row r="4" spans="1:2" x14ac:dyDescent="0.2">
      <c r="A4" t="s">
        <v>1064</v>
      </c>
      <c r="B4" s="138" t="str">
        <f>COVER!A17</f>
        <v>Morrisonville CUSD 1</v>
      </c>
    </row>
    <row r="5" spans="1:2" x14ac:dyDescent="0.2">
      <c r="A5" t="s">
        <v>728</v>
      </c>
      <c r="B5" s="138" t="str">
        <f>COVER!A38</f>
        <v>Dave Meister</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f>IF(COVER!J30="x","Yes",IF(COVER!L30="x","No",0))</f>
        <v>0</v>
      </c>
    </row>
    <row r="14" spans="1:2" x14ac:dyDescent="0.2">
      <c r="A14" t="s">
        <v>497</v>
      </c>
      <c r="B14" s="138" t="str">
        <f>IF(COVER!J31="x","Yes",IF(COVER!L31="x","No",0))</f>
        <v>Yes</v>
      </c>
    </row>
    <row r="15" spans="1:2" x14ac:dyDescent="0.2">
      <c r="A15" t="s">
        <v>598</v>
      </c>
      <c r="B15" s="138" t="str">
        <f>COVER!T23</f>
        <v>066-003847</v>
      </c>
    </row>
    <row r="16" spans="1:2" x14ac:dyDescent="0.2">
      <c r="A16" t="s">
        <v>442</v>
      </c>
      <c r="B16" s="138" t="str">
        <f>COVER!T13</f>
        <v>LMHN, Ltd.</v>
      </c>
    </row>
    <row r="17" spans="1:2" x14ac:dyDescent="0.2">
      <c r="A17" t="s">
        <v>939</v>
      </c>
      <c r="B17" s="138" t="str">
        <f>COVER!T15</f>
        <v>M. Adam Mathias, CPA, PFS, CVA</v>
      </c>
    </row>
    <row r="18" spans="1:2" x14ac:dyDescent="0.2">
      <c r="A18" t="s">
        <v>1212</v>
      </c>
      <c r="B18" s="138" t="str">
        <f>COVER!T17</f>
        <v>900 N. Webster Street</v>
      </c>
    </row>
    <row r="19" spans="1:2" x14ac:dyDescent="0.2">
      <c r="A19" t="s">
        <v>941</v>
      </c>
      <c r="B19" s="138" t="str">
        <f>COVER!T25</f>
        <v>lmhncpas@yahoo.com</v>
      </c>
    </row>
    <row r="20" spans="1:2" x14ac:dyDescent="0.2">
      <c r="A20" t="s">
        <v>942</v>
      </c>
      <c r="B20" s="138" t="str">
        <f>COVER!T19</f>
        <v>Taylorville</v>
      </c>
    </row>
    <row r="21" spans="1:2" x14ac:dyDescent="0.2">
      <c r="A21" t="s">
        <v>500</v>
      </c>
      <c r="B21" s="138" t="str">
        <f>COVER!X19</f>
        <v>IL</v>
      </c>
    </row>
    <row r="22" spans="1:2" x14ac:dyDescent="0.2">
      <c r="A22" t="s">
        <v>943</v>
      </c>
      <c r="B22" s="138">
        <f>COVER!Z19</f>
        <v>62568</v>
      </c>
    </row>
    <row r="23" spans="1:2" x14ac:dyDescent="0.2">
      <c r="A23" t="s">
        <v>1214</v>
      </c>
      <c r="B23" s="138" t="str">
        <f>COVER!T21</f>
        <v>217-824-9661</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313284</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533722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533722</v>
      </c>
      <c r="D92" s="2" t="str">
        <f t="shared" si="0"/>
        <v>Error?</v>
      </c>
    </row>
    <row r="93" spans="1:4" x14ac:dyDescent="0.2">
      <c r="A93" s="5">
        <v>32</v>
      </c>
      <c r="B93" s="138">
        <f>'Assets-Liab 5-6'!C41</f>
        <v>533722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23378</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23378</v>
      </c>
      <c r="D123" s="2" t="str">
        <f t="shared" si="0"/>
        <v>Error?</v>
      </c>
    </row>
    <row r="124" spans="1:4" x14ac:dyDescent="0.2">
      <c r="A124" s="5">
        <v>63</v>
      </c>
      <c r="B124" s="138">
        <f>'Assets-Liab 5-6'!D41</f>
        <v>23378</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v>
      </c>
      <c r="D129" s="2" t="str">
        <f t="shared" si="1"/>
        <v>Error?</v>
      </c>
    </row>
    <row r="130" spans="1:4" x14ac:dyDescent="0.2">
      <c r="A130" s="5">
        <v>69</v>
      </c>
      <c r="B130" s="138">
        <f>'Assets-Liab 5-6'!E12</f>
        <v>0</v>
      </c>
      <c r="D130" s="2" t="str">
        <f t="shared" si="1"/>
        <v>Error?</v>
      </c>
    </row>
    <row r="131" spans="1:4" x14ac:dyDescent="0.2">
      <c r="A131" s="5">
        <v>70</v>
      </c>
      <c r="B131" s="138">
        <f>'Assets-Liab 5-6'!E13</f>
        <v>8857</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8857</v>
      </c>
      <c r="D140" s="2" t="str">
        <f t="shared" si="1"/>
        <v>Error?</v>
      </c>
    </row>
    <row r="141" spans="1:4" x14ac:dyDescent="0.2">
      <c r="A141" s="5">
        <v>80</v>
      </c>
      <c r="B141" s="138">
        <f>'Assets-Liab 5-6'!E41</f>
        <v>8857</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134</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131424</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131424</v>
      </c>
      <c r="D170" s="2" t="str">
        <f t="shared" si="1"/>
        <v>Error?</v>
      </c>
    </row>
    <row r="171" spans="1:4" x14ac:dyDescent="0.2">
      <c r="A171" s="5">
        <v>110</v>
      </c>
      <c r="B171" s="138">
        <f>'Assets-Liab 5-6'!F41</f>
        <v>131424</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186</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68535</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68535</v>
      </c>
      <c r="D189" s="2" t="str">
        <f t="shared" si="1"/>
        <v>Error?</v>
      </c>
    </row>
    <row r="190" spans="1:4" x14ac:dyDescent="0.2">
      <c r="A190" s="5">
        <v>129</v>
      </c>
      <c r="B190" s="138">
        <f>'Assets-Liab 5-6'!G41</f>
        <v>68535</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118750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118750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78982</v>
      </c>
      <c r="D273" s="2" t="str">
        <f t="shared" si="3"/>
        <v>Error?</v>
      </c>
    </row>
    <row r="274" spans="1:4" x14ac:dyDescent="0.2">
      <c r="A274" s="5">
        <v>213</v>
      </c>
      <c r="B274" s="138">
        <f>'Assets-Liab 5-6'!M17</f>
        <v>5389527</v>
      </c>
      <c r="D274" s="2" t="str">
        <f t="shared" si="3"/>
        <v>Error?</v>
      </c>
    </row>
    <row r="275" spans="1:4" x14ac:dyDescent="0.2">
      <c r="A275" s="5">
        <v>214</v>
      </c>
      <c r="B275" s="138">
        <f>'Assets-Liab 5-6'!M18</f>
        <v>156037</v>
      </c>
      <c r="D275" s="2" t="str">
        <f t="shared" si="3"/>
        <v>Error?</v>
      </c>
    </row>
    <row r="276" spans="1:4" x14ac:dyDescent="0.2">
      <c r="A276" s="5">
        <v>215</v>
      </c>
      <c r="B276" s="138">
        <f>'Assets-Liab 5-6'!M19</f>
        <v>587991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6214737</v>
      </c>
      <c r="C279" s="2" t="s">
        <v>594</v>
      </c>
      <c r="D279" s="2" t="str">
        <f t="shared" si="3"/>
        <v>Error?</v>
      </c>
    </row>
    <row r="280" spans="1:4" x14ac:dyDescent="0.2">
      <c r="A280" s="5">
        <v>219</v>
      </c>
      <c r="B280" s="138">
        <f>'Assets-Liab 5-6'!M40</f>
        <v>6214737</v>
      </c>
      <c r="D280" s="2" t="str">
        <f t="shared" si="3"/>
        <v>Error?</v>
      </c>
    </row>
    <row r="281" spans="1:4" x14ac:dyDescent="0.2">
      <c r="A281" s="5">
        <v>220</v>
      </c>
      <c r="B281" s="138">
        <f>'Assets-Liab 5-6'!M41</f>
        <v>6214737</v>
      </c>
      <c r="C281" s="2" t="s">
        <v>594</v>
      </c>
      <c r="D281" s="2" t="str">
        <f t="shared" si="3"/>
        <v>Error?</v>
      </c>
    </row>
    <row r="282" spans="1:4" x14ac:dyDescent="0.2">
      <c r="A282" s="5">
        <v>221</v>
      </c>
      <c r="B282" s="138">
        <f>'Assets-Liab 5-6'!N21</f>
        <v>8857</v>
      </c>
      <c r="D282" s="2" t="str">
        <f t="shared" si="3"/>
        <v>Error?</v>
      </c>
    </row>
    <row r="283" spans="1:4" x14ac:dyDescent="0.2">
      <c r="A283" s="5">
        <v>222</v>
      </c>
      <c r="B283" s="138">
        <f>'Assets-Liab 5-6'!N22</f>
        <v>1807214</v>
      </c>
      <c r="D283" s="2" t="str">
        <f t="shared" si="3"/>
        <v>Error?</v>
      </c>
    </row>
    <row r="284" spans="1:4" x14ac:dyDescent="0.2">
      <c r="A284" s="5">
        <v>223</v>
      </c>
      <c r="B284" s="138">
        <f>'Assets-Liab 5-6'!N23</f>
        <v>1816071</v>
      </c>
      <c r="C284" s="2" t="s">
        <v>594</v>
      </c>
      <c r="D284" s="2" t="str">
        <f t="shared" si="3"/>
        <v>Error?</v>
      </c>
    </row>
    <row r="285" spans="1:4" x14ac:dyDescent="0.2">
      <c r="A285" s="5">
        <v>224</v>
      </c>
      <c r="B285" s="138">
        <f>'Assets-Liab 5-6'!N36</f>
        <v>1816071</v>
      </c>
      <c r="D285" s="2" t="str">
        <f t="shared" si="3"/>
        <v>Error?</v>
      </c>
    </row>
    <row r="286" spans="1:4" x14ac:dyDescent="0.2">
      <c r="A286" s="10">
        <v>225</v>
      </c>
      <c r="D286" s="2" t="str">
        <f t="shared" si="3"/>
        <v>OK</v>
      </c>
    </row>
    <row r="287" spans="1:4" x14ac:dyDescent="0.2">
      <c r="A287" s="5">
        <v>226</v>
      </c>
      <c r="B287" s="138">
        <f>'Assets-Liab 5-6'!N37</f>
        <v>1816071</v>
      </c>
      <c r="C287" s="2" t="s">
        <v>594</v>
      </c>
      <c r="D287" s="2" t="str">
        <f t="shared" si="3"/>
        <v>Error?</v>
      </c>
    </row>
    <row r="288" spans="1:4" x14ac:dyDescent="0.2">
      <c r="A288" s="5">
        <v>227</v>
      </c>
      <c r="B288" s="138">
        <f>'Assets-Liab 5-6'!N41</f>
        <v>1816071</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916439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98729</v>
      </c>
      <c r="D717" s="2" t="str">
        <f t="shared" si="10"/>
        <v>Error?</v>
      </c>
    </row>
    <row r="718" spans="1:4" x14ac:dyDescent="0.2">
      <c r="A718" s="5">
        <v>657</v>
      </c>
      <c r="B718" s="138">
        <f>'Expenditures 15-22'!C14</f>
        <v>59423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1197116</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45371</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45371</v>
      </c>
      <c r="C727" s="2" t="s">
        <v>594</v>
      </c>
      <c r="D727" s="2" t="str">
        <f t="shared" si="10"/>
        <v>Error?</v>
      </c>
    </row>
    <row r="728" spans="1:4" x14ac:dyDescent="0.2">
      <c r="A728" s="5">
        <v>667</v>
      </c>
      <c r="B728" s="138">
        <f>'Expenditures 15-22'!C44</f>
        <v>1950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1950</v>
      </c>
      <c r="C731" s="2" t="s">
        <v>594</v>
      </c>
      <c r="D731" s="2" t="str">
        <f t="shared" si="10"/>
        <v>Error?</v>
      </c>
    </row>
    <row r="732" spans="1:4" x14ac:dyDescent="0.2">
      <c r="A732" s="5">
        <v>671</v>
      </c>
      <c r="B732" s="138">
        <f>'Expenditures 15-22'!C49</f>
        <v>4925</v>
      </c>
      <c r="D732" s="2" t="str">
        <f t="shared" si="10"/>
        <v>Error?</v>
      </c>
    </row>
    <row r="733" spans="1:4" x14ac:dyDescent="0.2">
      <c r="A733" s="5">
        <v>672</v>
      </c>
      <c r="B733" s="138">
        <f>'Expenditures 15-22'!C50</f>
        <v>80504</v>
      </c>
      <c r="D733" s="2" t="str">
        <f t="shared" si="10"/>
        <v>Error?</v>
      </c>
    </row>
    <row r="734" spans="1:4" x14ac:dyDescent="0.2">
      <c r="A734" s="5">
        <v>673</v>
      </c>
      <c r="B734" s="138">
        <f>'Expenditures 15-22'!C53</f>
        <v>85429</v>
      </c>
      <c r="C734" s="2" t="s">
        <v>594</v>
      </c>
      <c r="D734" s="2" t="str">
        <f t="shared" si="10"/>
        <v>Error?</v>
      </c>
    </row>
    <row r="735" spans="1:4" x14ac:dyDescent="0.2">
      <c r="A735" s="5">
        <v>674</v>
      </c>
      <c r="B735" s="138">
        <f>'Expenditures 15-22'!C55</f>
        <v>160186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160186</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37447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45009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82456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375392</v>
      </c>
      <c r="C755" s="2" t="s">
        <v>594</v>
      </c>
      <c r="D755" s="2" t="str">
        <f t="shared" si="10"/>
        <v>Error?</v>
      </c>
    </row>
    <row r="756" spans="1:4" x14ac:dyDescent="0.2">
      <c r="A756" s="5">
        <v>695</v>
      </c>
      <c r="B756" s="138">
        <f>'Expenditures 15-22'!C75</f>
        <v>18670</v>
      </c>
      <c r="D756" s="2" t="str">
        <f t="shared" si="10"/>
        <v>Error?</v>
      </c>
    </row>
    <row r="757" spans="1:4" x14ac:dyDescent="0.2">
      <c r="A757" s="5">
        <v>696</v>
      </c>
      <c r="B757" s="138">
        <f>'Expenditures 15-22'!C114</f>
        <v>1591178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154924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16094</v>
      </c>
      <c r="D775" s="2" t="str">
        <f t="shared" si="11"/>
        <v>Error?</v>
      </c>
    </row>
    <row r="776" spans="1:4" x14ac:dyDescent="0.2">
      <c r="A776" s="5">
        <v>715</v>
      </c>
      <c r="B776" s="138">
        <f>'Expenditures 15-22'!D14</f>
        <v>408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174950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7790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7790</v>
      </c>
      <c r="C785" s="2" t="s">
        <v>594</v>
      </c>
      <c r="D785" s="2" t="str">
        <f t="shared" si="11"/>
        <v>Error?</v>
      </c>
    </row>
    <row r="786" spans="1:4" x14ac:dyDescent="0.2">
      <c r="A786" s="5">
        <v>725</v>
      </c>
      <c r="B786" s="138">
        <f>'Expenditures 15-22'!D44</f>
        <v>206</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206</v>
      </c>
      <c r="C789" s="2" t="s">
        <v>594</v>
      </c>
      <c r="D789" s="2" t="str">
        <f t="shared" si="11"/>
        <v>Error?</v>
      </c>
    </row>
    <row r="790" spans="1:4" x14ac:dyDescent="0.2">
      <c r="A790" s="5">
        <v>729</v>
      </c>
      <c r="B790" s="138">
        <f>'Expenditures 15-22'!D49</f>
        <v>58</v>
      </c>
      <c r="D790" s="2" t="str">
        <f t="shared" si="11"/>
        <v>Error?</v>
      </c>
    </row>
    <row r="791" spans="1:4" x14ac:dyDescent="0.2">
      <c r="A791" s="5">
        <v>730</v>
      </c>
      <c r="B791" s="138">
        <f>'Expenditures 15-22'!D50</f>
        <v>1713</v>
      </c>
      <c r="D791" s="2" t="str">
        <f t="shared" si="11"/>
        <v>Error?</v>
      </c>
    </row>
    <row r="792" spans="1:4" x14ac:dyDescent="0.2">
      <c r="A792" s="5">
        <v>731</v>
      </c>
      <c r="B792" s="138">
        <f>'Expenditures 15-22'!D53</f>
        <v>1771</v>
      </c>
      <c r="C792" s="2" t="s">
        <v>594</v>
      </c>
      <c r="D792" s="2" t="str">
        <f t="shared" si="11"/>
        <v>Error?</v>
      </c>
    </row>
    <row r="793" spans="1:4" x14ac:dyDescent="0.2">
      <c r="A793" s="5">
        <v>732</v>
      </c>
      <c r="B793" s="138">
        <f>'Expenditures 15-22'!D55</f>
        <v>16811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16811</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7120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6919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14039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40617</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215567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7894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45</v>
      </c>
      <c r="D833" s="2" t="str">
        <f t="shared" si="12"/>
        <v>Error?</v>
      </c>
    </row>
    <row r="834" spans="1:4" x14ac:dyDescent="0.2">
      <c r="A834" s="5">
        <v>773</v>
      </c>
      <c r="B834" s="138">
        <f>'Expenditures 15-22'!E14</f>
        <v>16205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36405</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214</v>
      </c>
      <c r="D838" s="2" t="str">
        <f t="shared" si="12"/>
        <v>Error?</v>
      </c>
    </row>
    <row r="839" spans="1:4" x14ac:dyDescent="0.2">
      <c r="A839" s="5">
        <v>778</v>
      </c>
      <c r="B839" s="138">
        <f>'Expenditures 15-22'!E38</f>
        <v>2840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3054</v>
      </c>
      <c r="C843" s="2" t="s">
        <v>594</v>
      </c>
      <c r="D843" s="2" t="str">
        <f t="shared" si="12"/>
        <v>Error?</v>
      </c>
    </row>
    <row r="844" spans="1:4" x14ac:dyDescent="0.2">
      <c r="A844" s="5">
        <v>783</v>
      </c>
      <c r="B844" s="138">
        <f>'Expenditures 15-22'!E44</f>
        <v>6365</v>
      </c>
      <c r="D844" s="2" t="str">
        <f t="shared" si="12"/>
        <v>Error?</v>
      </c>
    </row>
    <row r="845" spans="1:4" x14ac:dyDescent="0.2">
      <c r="A845" s="5">
        <v>784</v>
      </c>
      <c r="B845" s="138">
        <f>'Expenditures 15-22'!E45</f>
        <v>54686</v>
      </c>
      <c r="D845" s="2" t="str">
        <f t="shared" si="12"/>
        <v>Error?</v>
      </c>
    </row>
    <row r="846" spans="1:4" x14ac:dyDescent="0.2">
      <c r="A846" s="5">
        <v>785</v>
      </c>
      <c r="B846" s="138">
        <f>'Expenditures 15-22'!E46</f>
        <v>3563</v>
      </c>
      <c r="D846" s="2" t="str">
        <f t="shared" si="12"/>
        <v>Error?</v>
      </c>
    </row>
    <row r="847" spans="1:4" x14ac:dyDescent="0.2">
      <c r="A847" s="5">
        <v>786</v>
      </c>
      <c r="B847" s="138">
        <f>'Expenditures 15-22'!E47</f>
        <v>64614</v>
      </c>
      <c r="C847" s="2" t="s">
        <v>594</v>
      </c>
      <c r="D847" s="2" t="str">
        <f t="shared" si="12"/>
        <v>Error?</v>
      </c>
    </row>
    <row r="848" spans="1:4" x14ac:dyDescent="0.2">
      <c r="A848" s="5">
        <v>787</v>
      </c>
      <c r="B848" s="138">
        <f>'Expenditures 15-22'!E49</f>
        <v>13028</v>
      </c>
      <c r="D848" s="2" t="str">
        <f t="shared" si="12"/>
        <v>Error?</v>
      </c>
    </row>
    <row r="849" spans="1:4" x14ac:dyDescent="0.2">
      <c r="A849" s="5">
        <v>788</v>
      </c>
      <c r="B849" s="138">
        <f>'Expenditures 15-22'!E50</f>
        <v>734</v>
      </c>
      <c r="D849" s="2" t="str">
        <f t="shared" si="12"/>
        <v>Error?</v>
      </c>
    </row>
    <row r="850" spans="1:4" x14ac:dyDescent="0.2">
      <c r="A850" s="5">
        <v>789</v>
      </c>
      <c r="B850" s="138">
        <f>'Expenditures 15-22'!E53</f>
        <v>13762</v>
      </c>
      <c r="C850" s="2" t="s">
        <v>594</v>
      </c>
      <c r="D850" s="2" t="str">
        <f t="shared" si="12"/>
        <v>Error?</v>
      </c>
    </row>
    <row r="851" spans="1:4" x14ac:dyDescent="0.2">
      <c r="A851" s="5">
        <v>790</v>
      </c>
      <c r="B851" s="138">
        <f>'Expenditures 15-22'!E55</f>
        <v>1926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1926</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4179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203</v>
      </c>
      <c r="D857" s="2" t="str">
        <f t="shared" si="12"/>
        <v>Error?</v>
      </c>
    </row>
    <row r="858" spans="1:4" x14ac:dyDescent="0.2">
      <c r="A858" s="5">
        <v>797</v>
      </c>
      <c r="B858" s="138">
        <f>'Expenditures 15-22'!E63</f>
        <v>2047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6429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89785</v>
      </c>
      <c r="C871" s="2" t="s">
        <v>594</v>
      </c>
      <c r="D871" s="2" t="str">
        <f t="shared" si="12"/>
        <v>Error?</v>
      </c>
    </row>
    <row r="872" spans="1:4" x14ac:dyDescent="0.2">
      <c r="A872" s="5">
        <v>811</v>
      </c>
      <c r="B872" s="138">
        <f>'Expenditures 15-22'!E75</f>
        <v>3971</v>
      </c>
      <c r="D872" s="2" t="str">
        <f t="shared" si="12"/>
        <v>Error?</v>
      </c>
    </row>
    <row r="873" spans="1:4" x14ac:dyDescent="0.2">
      <c r="A873" s="5">
        <v>812</v>
      </c>
      <c r="B873" s="138">
        <f>'Expenditures 15-22'!E114</f>
        <v>130161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13638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2782</v>
      </c>
      <c r="D891" s="2" t="str">
        <f t="shared" si="12"/>
        <v>Error?</v>
      </c>
    </row>
    <row r="892" spans="1:4" x14ac:dyDescent="0.2">
      <c r="A892" s="5">
        <v>831</v>
      </c>
      <c r="B892" s="138">
        <f>'Expenditures 15-22'!F14</f>
        <v>2639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38738</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141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141</v>
      </c>
      <c r="C901" s="2" t="s">
        <v>594</v>
      </c>
      <c r="D901" s="2" t="str">
        <f t="shared" si="13"/>
        <v>Error?</v>
      </c>
    </row>
    <row r="902" spans="1:4" x14ac:dyDescent="0.2">
      <c r="A902" s="5">
        <v>841</v>
      </c>
      <c r="B902" s="138">
        <f>'Expenditures 15-22'!F44</f>
        <v>696</v>
      </c>
      <c r="D902" s="2" t="str">
        <f t="shared" si="13"/>
        <v>Error?</v>
      </c>
    </row>
    <row r="903" spans="1:4" x14ac:dyDescent="0.2">
      <c r="A903" s="5">
        <v>842</v>
      </c>
      <c r="B903" s="138">
        <f>'Expenditures 15-22'!F45</f>
        <v>27218</v>
      </c>
      <c r="D903" s="2" t="str">
        <f t="shared" si="13"/>
        <v>Error?</v>
      </c>
    </row>
    <row r="904" spans="1:4" x14ac:dyDescent="0.2">
      <c r="A904" s="5">
        <v>843</v>
      </c>
      <c r="B904" s="138">
        <f>'Expenditures 15-22'!F46</f>
        <v>481</v>
      </c>
      <c r="D904" s="2" t="str">
        <f t="shared" si="13"/>
        <v>Error?</v>
      </c>
    </row>
    <row r="905" spans="1:4" x14ac:dyDescent="0.2">
      <c r="A905" s="5">
        <v>844</v>
      </c>
      <c r="B905" s="138">
        <f>'Expenditures 15-22'!F47</f>
        <v>28395</v>
      </c>
      <c r="C905" s="2" t="s">
        <v>594</v>
      </c>
      <c r="D905" s="2" t="str">
        <f t="shared" si="13"/>
        <v>Error?</v>
      </c>
    </row>
    <row r="906" spans="1:4" x14ac:dyDescent="0.2">
      <c r="A906" s="5">
        <v>845</v>
      </c>
      <c r="B906" s="138">
        <f>'Expenditures 15-22'!F49</f>
        <v>48</v>
      </c>
      <c r="D906" s="2" t="str">
        <f t="shared" si="13"/>
        <v>Error?</v>
      </c>
    </row>
    <row r="907" spans="1:4" x14ac:dyDescent="0.2">
      <c r="A907" s="5">
        <v>846</v>
      </c>
      <c r="B907" s="138">
        <f>'Expenditures 15-22'!F50</f>
        <v>0</v>
      </c>
      <c r="D907" s="2" t="str">
        <f t="shared" si="13"/>
        <v>Error?</v>
      </c>
    </row>
    <row r="908" spans="1:4" x14ac:dyDescent="0.2">
      <c r="A908" s="5">
        <v>847</v>
      </c>
      <c r="B908" s="138">
        <f>'Expenditures 15-22'!F53</f>
        <v>48</v>
      </c>
      <c r="C908" s="2" t="s">
        <v>594</v>
      </c>
      <c r="D908" s="2" t="str">
        <f t="shared" si="13"/>
        <v>Error?</v>
      </c>
    </row>
    <row r="909" spans="1:4" x14ac:dyDescent="0.2">
      <c r="A909" s="5">
        <v>848</v>
      </c>
      <c r="B909" s="138">
        <f>'Expenditures 15-22'!F55</f>
        <v>885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885</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1243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78064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79307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108776</v>
      </c>
      <c r="C929" s="2" t="s">
        <v>594</v>
      </c>
      <c r="D929" s="2" t="str">
        <f t="shared" si="13"/>
        <v>Error?</v>
      </c>
    </row>
    <row r="930" spans="1:4" x14ac:dyDescent="0.2">
      <c r="A930" s="5">
        <v>869</v>
      </c>
      <c r="B930" s="138">
        <f>'Expenditures 15-22'!F75</f>
        <v>4952</v>
      </c>
      <c r="D930" s="2" t="str">
        <f t="shared" si="13"/>
        <v>Error?</v>
      </c>
    </row>
    <row r="931" spans="1:4" x14ac:dyDescent="0.2">
      <c r="A931" s="5">
        <v>870</v>
      </c>
      <c r="B931" s="138">
        <f>'Expenditures 15-22'!F114</f>
        <v>152466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1104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2208</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16434</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1500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1500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1500</v>
      </c>
      <c r="C987" s="2" t="s">
        <v>594</v>
      </c>
      <c r="D987" s="2" t="str">
        <f t="shared" si="14"/>
        <v>Error?</v>
      </c>
    </row>
    <row r="988" spans="1:4" x14ac:dyDescent="0.2">
      <c r="A988" s="5">
        <v>927</v>
      </c>
      <c r="B988" s="138">
        <f>'Expenditures 15-22'!G75</f>
        <v>2314</v>
      </c>
      <c r="D988" s="2" t="str">
        <f t="shared" si="14"/>
        <v>Error?</v>
      </c>
    </row>
    <row r="989" spans="1:4" x14ac:dyDescent="0.2">
      <c r="A989" s="5">
        <v>928</v>
      </c>
      <c r="B989" s="138">
        <f>'Expenditures 15-22'!G114</f>
        <v>20248</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406</v>
      </c>
      <c r="D1007" s="2" t="str">
        <f t="shared" si="14"/>
        <v>Error?</v>
      </c>
    </row>
    <row r="1008" spans="1:4" x14ac:dyDescent="0.2">
      <c r="A1008" s="5">
        <v>947</v>
      </c>
      <c r="B1008" s="138">
        <f>'Expenditures 15-22'!H14</f>
        <v>1770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66296</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4156</v>
      </c>
      <c r="D1022" s="2" t="str">
        <f t="shared" si="14"/>
        <v>Error?</v>
      </c>
    </row>
    <row r="1023" spans="1:4" x14ac:dyDescent="0.2">
      <c r="A1023" s="5">
        <v>962</v>
      </c>
      <c r="B1023" s="138">
        <f>'Expenditures 15-22'!H50</f>
        <v>1335</v>
      </c>
      <c r="D1023" s="2" t="str">
        <f t="shared" ref="D1023:D1086" si="15">IF(ISBLANK(B1023),"OK",IF(A1023-B1023=0,"OK","Error?"))</f>
        <v>Error?</v>
      </c>
    </row>
    <row r="1024" spans="1:4" x14ac:dyDescent="0.2">
      <c r="A1024" s="5">
        <v>963</v>
      </c>
      <c r="B1024" s="138">
        <f>'Expenditures 15-22'!H53</f>
        <v>5491</v>
      </c>
      <c r="C1024" s="2" t="s">
        <v>594</v>
      </c>
      <c r="D1024" s="2" t="str">
        <f t="shared" si="15"/>
        <v>Error?</v>
      </c>
    </row>
    <row r="1025" spans="1:4" x14ac:dyDescent="0.2">
      <c r="A1025" s="5">
        <v>964</v>
      </c>
      <c r="B1025" s="138">
        <f>'Expenditures 15-22'!H55</f>
        <v>770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770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6261</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335290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407847</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1093999</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120264</v>
      </c>
      <c r="C1105" s="2" t="s">
        <v>594</v>
      </c>
      <c r="D1105" s="2" t="str">
        <f t="shared" si="16"/>
        <v>Error?</v>
      </c>
    </row>
    <row r="1106" spans="1:4" x14ac:dyDescent="0.2">
      <c r="A1106" s="5">
        <v>1045</v>
      </c>
      <c r="B1106" s="138">
        <f>'Expenditures 15-22'!K14</f>
        <v>80445</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1529939</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53375</v>
      </c>
      <c r="C1110" s="2" t="s">
        <v>594</v>
      </c>
      <c r="D1110" s="2" t="str">
        <f t="shared" si="16"/>
        <v>Error?</v>
      </c>
    </row>
    <row r="1111" spans="1:4" x14ac:dyDescent="0.2">
      <c r="A1111" s="5">
        <v>1050</v>
      </c>
      <c r="B1111" s="138">
        <f>'Expenditures 15-22'!K38</f>
        <v>2981</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56356</v>
      </c>
      <c r="C1115" s="2" t="s">
        <v>594</v>
      </c>
      <c r="D1115" s="2" t="str">
        <f t="shared" si="16"/>
        <v>Error?</v>
      </c>
    </row>
    <row r="1116" spans="1:4" x14ac:dyDescent="0.2">
      <c r="A1116" s="5">
        <v>1055</v>
      </c>
      <c r="B1116" s="138">
        <f>'Expenditures 15-22'!K44</f>
        <v>9217</v>
      </c>
      <c r="C1116" s="2" t="s">
        <v>594</v>
      </c>
      <c r="D1116" s="2" t="str">
        <f t="shared" si="16"/>
        <v>Error?</v>
      </c>
    </row>
    <row r="1117" spans="1:4" x14ac:dyDescent="0.2">
      <c r="A1117" s="5">
        <v>1056</v>
      </c>
      <c r="B1117" s="138">
        <f>'Expenditures 15-22'!K45</f>
        <v>81904</v>
      </c>
      <c r="C1117" s="2" t="s">
        <v>594</v>
      </c>
      <c r="D1117" s="2" t="str">
        <f t="shared" si="16"/>
        <v>Error?</v>
      </c>
    </row>
    <row r="1118" spans="1:4" x14ac:dyDescent="0.2">
      <c r="A1118" s="5">
        <v>1057</v>
      </c>
      <c r="B1118" s="138">
        <f>'Expenditures 15-22'!K46</f>
        <v>4044</v>
      </c>
      <c r="C1118" s="2" t="s">
        <v>594</v>
      </c>
      <c r="D1118" s="2" t="str">
        <f t="shared" si="16"/>
        <v>Error?</v>
      </c>
    </row>
    <row r="1119" spans="1:4" x14ac:dyDescent="0.2">
      <c r="A1119" s="5">
        <v>1058</v>
      </c>
      <c r="B1119" s="138">
        <f>'Expenditures 15-22'!K47</f>
        <v>95165</v>
      </c>
      <c r="C1119" s="2" t="s">
        <v>594</v>
      </c>
      <c r="D1119" s="2" t="str">
        <f t="shared" si="16"/>
        <v>Error?</v>
      </c>
    </row>
    <row r="1120" spans="1:4" x14ac:dyDescent="0.2">
      <c r="A1120" s="5">
        <v>1059</v>
      </c>
      <c r="B1120" s="138">
        <f>'Expenditures 15-22'!K49</f>
        <v>22215</v>
      </c>
      <c r="C1120" s="2" t="s">
        <v>594</v>
      </c>
      <c r="D1120" s="2" t="str">
        <f t="shared" si="16"/>
        <v>Error?</v>
      </c>
    </row>
    <row r="1121" spans="1:4" x14ac:dyDescent="0.2">
      <c r="A1121" s="5">
        <v>1060</v>
      </c>
      <c r="B1121" s="138">
        <f>'Expenditures 15-22'!K50</f>
        <v>84286</v>
      </c>
      <c r="C1121" s="2" t="s">
        <v>594</v>
      </c>
      <c r="D1121" s="2" t="str">
        <f t="shared" si="16"/>
        <v>Error?</v>
      </c>
    </row>
    <row r="1122" spans="1:4" x14ac:dyDescent="0.2">
      <c r="A1122" s="5">
        <v>1061</v>
      </c>
      <c r="B1122" s="138">
        <f>'Expenditures 15-22'!K53</f>
        <v>106501</v>
      </c>
      <c r="C1122" s="2" t="s">
        <v>594</v>
      </c>
      <c r="D1122" s="2" t="str">
        <f t="shared" si="16"/>
        <v>Error?</v>
      </c>
    </row>
    <row r="1123" spans="1:4" x14ac:dyDescent="0.2">
      <c r="A1123" s="5">
        <v>1062</v>
      </c>
      <c r="B1123" s="138">
        <f>'Expenditures 15-22'!K55</f>
        <v>182078</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182078</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49989</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203</v>
      </c>
      <c r="C1129" s="2" t="s">
        <v>594</v>
      </c>
      <c r="D1129" s="2" t="str">
        <f t="shared" si="16"/>
        <v>Error?</v>
      </c>
    </row>
    <row r="1130" spans="1:4" x14ac:dyDescent="0.2">
      <c r="A1130" s="5">
        <v>1069</v>
      </c>
      <c r="B1130" s="138">
        <f>'Expenditures 15-22'!K63</f>
        <v>132039</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182231</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622331</v>
      </c>
      <c r="C1143" s="2" t="s">
        <v>594</v>
      </c>
      <c r="D1143" s="2" t="str">
        <f t="shared" si="16"/>
        <v>Error?</v>
      </c>
    </row>
    <row r="1144" spans="1:4" x14ac:dyDescent="0.2">
      <c r="A1144" s="5">
        <v>1083</v>
      </c>
      <c r="B1144" s="138">
        <f>'Expenditures 15-22'!K75</f>
        <v>29907</v>
      </c>
      <c r="C1144" s="2" t="s">
        <v>594</v>
      </c>
      <c r="D1144" s="2" t="str">
        <f t="shared" si="16"/>
        <v>Error?</v>
      </c>
    </row>
    <row r="1145" spans="1:4" x14ac:dyDescent="0.2">
      <c r="A1145" s="5">
        <v>1084</v>
      </c>
      <c r="B1145" s="138">
        <f>'Expenditures 15-22'!K102</f>
        <v>335290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2517467</v>
      </c>
      <c r="C1152" s="2" t="s">
        <v>594</v>
      </c>
      <c r="D1152" s="2" t="str">
        <f t="shared" si="17"/>
        <v>Error?</v>
      </c>
    </row>
    <row r="1153" spans="1:4" x14ac:dyDescent="0.2">
      <c r="A1153" s="5">
        <v>1092</v>
      </c>
      <c r="B1153" s="138">
        <f>'Expenditures 15-22'!K115</f>
        <v>189111</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108967</v>
      </c>
      <c r="D1221" s="2" t="str">
        <f t="shared" si="18"/>
        <v>Error?</v>
      </c>
    </row>
    <row r="1222" spans="1:4" x14ac:dyDescent="0.2">
      <c r="A1222" s="10">
        <v>1161</v>
      </c>
      <c r="D1222" s="2" t="str">
        <f t="shared" si="18"/>
        <v>OK</v>
      </c>
    </row>
    <row r="1223" spans="1:4" x14ac:dyDescent="0.2">
      <c r="A1223" s="5">
        <v>1162</v>
      </c>
      <c r="B1223" s="138">
        <f>'Expenditures 15-22'!C127</f>
        <v>108967</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108967</v>
      </c>
      <c r="C1225" s="2" t="s">
        <v>594</v>
      </c>
      <c r="D1225" s="2" t="str">
        <f t="shared" si="18"/>
        <v>Error?</v>
      </c>
    </row>
    <row r="1226" spans="1:4" x14ac:dyDescent="0.2">
      <c r="A1226" s="5">
        <v>1165</v>
      </c>
      <c r="B1226" s="138">
        <f>'Expenditures 15-22'!C151</f>
        <v>108967</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29068</v>
      </c>
      <c r="D1229" s="2" t="str">
        <f t="shared" si="18"/>
        <v>Error?</v>
      </c>
    </row>
    <row r="1230" spans="1:4" x14ac:dyDescent="0.2">
      <c r="A1230" s="10">
        <v>1169</v>
      </c>
      <c r="D1230" s="2" t="str">
        <f t="shared" si="18"/>
        <v>OK</v>
      </c>
    </row>
    <row r="1231" spans="1:4" x14ac:dyDescent="0.2">
      <c r="A1231" s="5">
        <v>1170</v>
      </c>
      <c r="B1231" s="138">
        <f>'Expenditures 15-22'!D127</f>
        <v>29068</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29068</v>
      </c>
      <c r="C1233" s="2" t="s">
        <v>594</v>
      </c>
      <c r="D1233" s="2" t="str">
        <f t="shared" si="18"/>
        <v>Error?</v>
      </c>
    </row>
    <row r="1234" spans="1:4" x14ac:dyDescent="0.2">
      <c r="A1234" s="5">
        <v>1173</v>
      </c>
      <c r="B1234" s="138">
        <f>'Expenditures 15-22'!D151</f>
        <v>29068</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20841</v>
      </c>
      <c r="D1237" s="2" t="str">
        <f t="shared" si="18"/>
        <v>Error?</v>
      </c>
    </row>
    <row r="1238" spans="1:4" x14ac:dyDescent="0.2">
      <c r="A1238" s="10">
        <v>1177</v>
      </c>
      <c r="D1238" s="2" t="str">
        <f t="shared" si="18"/>
        <v>OK</v>
      </c>
    </row>
    <row r="1239" spans="1:4" x14ac:dyDescent="0.2">
      <c r="A1239" s="5">
        <v>1178</v>
      </c>
      <c r="B1239" s="138">
        <f>'Expenditures 15-22'!E127</f>
        <v>20841</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20841</v>
      </c>
      <c r="C1241" s="2" t="s">
        <v>594</v>
      </c>
      <c r="D1241" s="2" t="str">
        <f t="shared" si="18"/>
        <v>Error?</v>
      </c>
    </row>
    <row r="1242" spans="1:4" x14ac:dyDescent="0.2">
      <c r="A1242" s="5">
        <v>1181</v>
      </c>
      <c r="B1242" s="138">
        <f>'Expenditures 15-22'!E151</f>
        <v>20841</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84785</v>
      </c>
      <c r="D1245" s="2" t="str">
        <f t="shared" si="18"/>
        <v>Error?</v>
      </c>
    </row>
    <row r="1246" spans="1:4" x14ac:dyDescent="0.2">
      <c r="A1246" s="10">
        <v>1185</v>
      </c>
      <c r="D1246" s="2" t="str">
        <f t="shared" si="18"/>
        <v>OK</v>
      </c>
    </row>
    <row r="1247" spans="1:4" x14ac:dyDescent="0.2">
      <c r="A1247" s="5">
        <v>1186</v>
      </c>
      <c r="B1247" s="138">
        <f>'Expenditures 15-22'!F127</f>
        <v>84785</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84785</v>
      </c>
      <c r="C1249" s="2" t="s">
        <v>594</v>
      </c>
      <c r="D1249" s="2" t="str">
        <f t="shared" si="18"/>
        <v>Error?</v>
      </c>
    </row>
    <row r="1250" spans="1:4" x14ac:dyDescent="0.2">
      <c r="A1250" s="5">
        <v>1189</v>
      </c>
      <c r="B1250" s="138">
        <f>'Expenditures 15-22'!F151</f>
        <v>84785</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5468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5468</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5468</v>
      </c>
      <c r="C1258" s="2" t="s">
        <v>594</v>
      </c>
      <c r="D1258" s="2" t="str">
        <f t="shared" si="18"/>
        <v>Error?</v>
      </c>
    </row>
    <row r="1259" spans="1:4" x14ac:dyDescent="0.2">
      <c r="A1259" s="5">
        <v>1198</v>
      </c>
      <c r="B1259" s="138">
        <f>'Expenditures 15-22'!G151</f>
        <v>5468</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249129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249129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249129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249129</v>
      </c>
      <c r="C1288" s="2" t="s">
        <v>594</v>
      </c>
      <c r="D1288" s="2" t="str">
        <f t="shared" si="19"/>
        <v>Error?</v>
      </c>
    </row>
    <row r="1289" spans="1:4" x14ac:dyDescent="0.2">
      <c r="A1289" s="5">
        <v>1228</v>
      </c>
      <c r="B1289" s="138">
        <f>'Expenditures 15-22'!K152</f>
        <v>-34074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103014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195000</v>
      </c>
      <c r="D1315" s="2" t="str">
        <f t="shared" si="19"/>
        <v>Error?</v>
      </c>
    </row>
    <row r="1316" spans="1:4" x14ac:dyDescent="0.2">
      <c r="A1316" s="5">
        <v>1255</v>
      </c>
      <c r="B1316" s="138">
        <f>'Expenditures 15-22'!H171</f>
        <v>600</v>
      </c>
      <c r="D1316" s="2" t="str">
        <f t="shared" si="19"/>
        <v>Error?</v>
      </c>
    </row>
    <row r="1317" spans="1:4" x14ac:dyDescent="0.2">
      <c r="A1317" s="5">
        <v>1256</v>
      </c>
      <c r="B1317" s="138">
        <f>'Expenditures 15-22'!H172</f>
        <v>298614</v>
      </c>
      <c r="C1317" s="2" t="s">
        <v>594</v>
      </c>
      <c r="D1317" s="2" t="str">
        <f t="shared" si="19"/>
        <v>Error?</v>
      </c>
    </row>
    <row r="1318" spans="1:4" x14ac:dyDescent="0.2">
      <c r="A1318" s="5">
        <v>1257</v>
      </c>
      <c r="B1318" s="138">
        <f>'Expenditures 15-22'!H174</f>
        <v>298614</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103014</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195000</v>
      </c>
      <c r="C1329" s="2" t="s">
        <v>594</v>
      </c>
      <c r="D1329" s="2" t="str">
        <f t="shared" si="19"/>
        <v>Error?</v>
      </c>
    </row>
    <row r="1330" spans="1:4" x14ac:dyDescent="0.2">
      <c r="A1330" s="5">
        <v>1269</v>
      </c>
      <c r="B1330" s="138">
        <f>'Expenditures 15-22'!K171</f>
        <v>600</v>
      </c>
      <c r="C1330" s="2" t="s">
        <v>594</v>
      </c>
      <c r="D1330" s="2" t="str">
        <f t="shared" si="19"/>
        <v>Error?</v>
      </c>
    </row>
    <row r="1331" spans="1:4" x14ac:dyDescent="0.2">
      <c r="A1331" s="5">
        <v>1270</v>
      </c>
      <c r="B1331" s="138">
        <f>'Expenditures 15-22'!K172</f>
        <v>298614</v>
      </c>
      <c r="C1331" s="2" t="s">
        <v>594</v>
      </c>
      <c r="D1331" s="2" t="str">
        <f t="shared" si="19"/>
        <v>Error?</v>
      </c>
    </row>
    <row r="1332" spans="1:4" x14ac:dyDescent="0.2">
      <c r="A1332" s="5">
        <v>1271</v>
      </c>
      <c r="B1332" s="138">
        <f>'Expenditures 15-22'!K174</f>
        <v>298614</v>
      </c>
      <c r="C1332" s="2" t="s">
        <v>594</v>
      </c>
      <c r="D1332" s="2" t="str">
        <f t="shared" si="19"/>
        <v>Error?</v>
      </c>
    </row>
    <row r="1333" spans="1:4" x14ac:dyDescent="0.2">
      <c r="A1333" s="5">
        <v>1272</v>
      </c>
      <c r="B1333" s="138">
        <f>'Expenditures 15-22'!K175</f>
        <v>-10769</v>
      </c>
      <c r="C1333" s="2" t="s">
        <v>594</v>
      </c>
      <c r="D1333" s="2" t="str">
        <f t="shared" si="19"/>
        <v>Error?</v>
      </c>
    </row>
    <row r="1334" spans="1:4" x14ac:dyDescent="0.2">
      <c r="A1334" s="10">
        <v>1273</v>
      </c>
      <c r="D1334" s="2" t="str">
        <f t="shared" si="19"/>
        <v>OK</v>
      </c>
    </row>
    <row r="1335" spans="1:4" x14ac:dyDescent="0.2">
      <c r="A1335" s="5">
        <v>1274</v>
      </c>
      <c r="B1335" s="138">
        <f>'Expenditures 15-22'!C182</f>
        <v>103564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103564</v>
      </c>
      <c r="C1339" s="2" t="s">
        <v>594</v>
      </c>
      <c r="D1339" s="2" t="str">
        <f t="shared" si="19"/>
        <v>Error?</v>
      </c>
    </row>
    <row r="1340" spans="1:4" x14ac:dyDescent="0.2">
      <c r="A1340" s="5">
        <v>1279</v>
      </c>
      <c r="B1340" s="138">
        <f>'Expenditures 15-22'!C210</f>
        <v>103564</v>
      </c>
      <c r="C1340" s="2" t="s">
        <v>594</v>
      </c>
      <c r="D1340" s="2" t="str">
        <f t="shared" si="19"/>
        <v>Error?</v>
      </c>
    </row>
    <row r="1341" spans="1:4" x14ac:dyDescent="0.2">
      <c r="A1341" s="5">
        <v>1280</v>
      </c>
      <c r="B1341" s="138">
        <f>'Expenditures 15-22'!D182</f>
        <v>7710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7710</v>
      </c>
      <c r="C1345" s="2" t="s">
        <v>594</v>
      </c>
      <c r="D1345" s="2" t="str">
        <f t="shared" si="20"/>
        <v>Error?</v>
      </c>
    </row>
    <row r="1346" spans="1:4" x14ac:dyDescent="0.2">
      <c r="A1346" s="5">
        <v>1285</v>
      </c>
      <c r="B1346" s="138">
        <f>'Expenditures 15-22'!D210</f>
        <v>7710</v>
      </c>
      <c r="C1346" s="2" t="s">
        <v>594</v>
      </c>
      <c r="D1346" s="2" t="str">
        <f t="shared" si="20"/>
        <v>Error?</v>
      </c>
    </row>
    <row r="1347" spans="1:4" x14ac:dyDescent="0.2">
      <c r="A1347" s="5">
        <v>1286</v>
      </c>
      <c r="B1347" s="138">
        <f>'Expenditures 15-22'!E182</f>
        <v>28339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28339</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28339</v>
      </c>
      <c r="C1353" s="2" t="s">
        <v>594</v>
      </c>
      <c r="D1353" s="2" t="str">
        <f t="shared" si="20"/>
        <v>Error?</v>
      </c>
    </row>
    <row r="1354" spans="1:4" x14ac:dyDescent="0.2">
      <c r="A1354" s="5">
        <v>1293</v>
      </c>
      <c r="B1354" s="138">
        <f>'Expenditures 15-22'!F182</f>
        <v>32012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32012</v>
      </c>
      <c r="C1358" s="2" t="s">
        <v>594</v>
      </c>
      <c r="D1358" s="2" t="str">
        <f t="shared" si="20"/>
        <v>Error?</v>
      </c>
    </row>
    <row r="1359" spans="1:4" x14ac:dyDescent="0.2">
      <c r="A1359" s="5">
        <v>1298</v>
      </c>
      <c r="B1359" s="138">
        <f>'Expenditures 15-22'!F210</f>
        <v>32012</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18352</v>
      </c>
      <c r="C1375" s="2" t="s">
        <v>594</v>
      </c>
      <c r="D1375" s="2" t="str">
        <f t="shared" si="20"/>
        <v>Error?</v>
      </c>
    </row>
    <row r="1376" spans="1:4" x14ac:dyDescent="0.2">
      <c r="A1376" s="5">
        <v>1315</v>
      </c>
      <c r="B1376" s="138">
        <f>'Expenditures 15-22'!H210</f>
        <v>18352</v>
      </c>
      <c r="C1376" s="2" t="s">
        <v>594</v>
      </c>
      <c r="D1376" s="2" t="str">
        <f t="shared" si="20"/>
        <v>Error?</v>
      </c>
    </row>
    <row r="1377" spans="1:4" x14ac:dyDescent="0.2">
      <c r="A1377" s="5">
        <v>1316</v>
      </c>
      <c r="B1377" s="138">
        <f>'Expenditures 15-22'!K182</f>
        <v>171625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171625</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18352</v>
      </c>
      <c r="C1387" s="2" t="s">
        <v>594</v>
      </c>
      <c r="D1387" s="2" t="str">
        <f t="shared" si="20"/>
        <v>Error?</v>
      </c>
    </row>
    <row r="1388" spans="1:4" x14ac:dyDescent="0.2">
      <c r="A1388" s="5">
        <v>1327</v>
      </c>
      <c r="B1388" s="138">
        <f>'Expenditures 15-22'!K210</f>
        <v>189977</v>
      </c>
      <c r="C1388" s="2" t="s">
        <v>594</v>
      </c>
      <c r="D1388" s="2" t="str">
        <f t="shared" si="20"/>
        <v>Error?</v>
      </c>
    </row>
    <row r="1389" spans="1:4" x14ac:dyDescent="0.2">
      <c r="A1389" s="5">
        <v>1328</v>
      </c>
      <c r="B1389" s="138">
        <f>'Expenditures 15-22'!K211</f>
        <v>-7881</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1431</v>
      </c>
      <c r="D1407" s="2" t="str">
        <f t="shared" ref="D1407:D1470" si="21">IF(ISBLANK(B1407),"OK",IF(A1407-B1407=0,"OK","Error?"))</f>
        <v>Error?</v>
      </c>
    </row>
    <row r="1408" spans="1:4" x14ac:dyDescent="0.2">
      <c r="A1408" s="5">
        <v>1347</v>
      </c>
      <c r="B1408" s="138">
        <f>'Expenditures 15-22'!D223</f>
        <v>2362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28148</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658</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658</v>
      </c>
      <c r="C1417" s="2" t="s">
        <v>594</v>
      </c>
      <c r="D1417" s="2" t="str">
        <f t="shared" si="21"/>
        <v>Error?</v>
      </c>
    </row>
    <row r="1418" spans="1:4" x14ac:dyDescent="0.2">
      <c r="A1418" s="5">
        <v>1357</v>
      </c>
      <c r="B1418" s="138">
        <f>'Expenditures 15-22'!D240</f>
        <v>28</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28</v>
      </c>
      <c r="C1421" s="2" t="s">
        <v>594</v>
      </c>
      <c r="D1421" s="2" t="str">
        <f t="shared" si="21"/>
        <v>Error?</v>
      </c>
    </row>
    <row r="1422" spans="1:4" x14ac:dyDescent="0.2">
      <c r="A1422" s="5">
        <v>1361</v>
      </c>
      <c r="B1422" s="138">
        <f>'Expenditures 15-22'!D245</f>
        <v>232</v>
      </c>
      <c r="D1422" s="2" t="str">
        <f t="shared" si="21"/>
        <v>Error?</v>
      </c>
    </row>
    <row r="1423" spans="1:4" x14ac:dyDescent="0.2">
      <c r="A1423" s="5">
        <v>1362</v>
      </c>
      <c r="B1423" s="138">
        <f>'Expenditures 15-22'!D246</f>
        <v>1668</v>
      </c>
      <c r="D1423" s="2" t="str">
        <f t="shared" si="21"/>
        <v>Error?</v>
      </c>
    </row>
    <row r="1424" spans="1:4" x14ac:dyDescent="0.2">
      <c r="A1424" s="5">
        <v>1363</v>
      </c>
      <c r="B1424" s="138">
        <f>'Expenditures 15-22'!D257</f>
        <v>1900</v>
      </c>
      <c r="C1424" s="2" t="s">
        <v>594</v>
      </c>
      <c r="D1424" s="2" t="str">
        <f t="shared" si="21"/>
        <v>Error?</v>
      </c>
    </row>
    <row r="1425" spans="1:4" x14ac:dyDescent="0.2">
      <c r="A1425" s="5">
        <v>1364</v>
      </c>
      <c r="B1425" s="138">
        <f>'Expenditures 15-22'!D259</f>
        <v>9352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9352</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6788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22298</v>
      </c>
      <c r="D1431" s="2" t="str">
        <f t="shared" si="21"/>
        <v>Error?</v>
      </c>
    </row>
    <row r="1432" spans="1:4" x14ac:dyDescent="0.2">
      <c r="A1432" s="5">
        <v>1371</v>
      </c>
      <c r="B1432" s="138">
        <f>'Expenditures 15-22'!D267</f>
        <v>18637</v>
      </c>
      <c r="D1432" s="2" t="str">
        <f t="shared" si="21"/>
        <v>Error?</v>
      </c>
    </row>
    <row r="1433" spans="1:4" x14ac:dyDescent="0.2">
      <c r="A1433" s="5">
        <v>1372</v>
      </c>
      <c r="B1433" s="138">
        <f>'Expenditures 15-22'!D268</f>
        <v>7653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55376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67314</v>
      </c>
      <c r="C1446" s="2" t="s">
        <v>594</v>
      </c>
      <c r="D1446" s="2" t="str">
        <f t="shared" si="21"/>
        <v>Error?</v>
      </c>
    </row>
    <row r="1447" spans="1:4" x14ac:dyDescent="0.2">
      <c r="A1447" s="5">
        <v>1386</v>
      </c>
      <c r="B1447" s="138">
        <f>'Expenditures 15-22'!D280</f>
        <v>1429</v>
      </c>
      <c r="D1447" s="2" t="str">
        <f t="shared" si="21"/>
        <v>Error?</v>
      </c>
    </row>
    <row r="1448" spans="1:4" x14ac:dyDescent="0.2">
      <c r="A1448" s="5">
        <v>1387</v>
      </c>
      <c r="B1448" s="138">
        <f>'Expenditures 15-22'!D295</f>
        <v>96891</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1431</v>
      </c>
      <c r="C1471" s="2" t="s">
        <v>594</v>
      </c>
      <c r="D1471" s="2" t="str">
        <f t="shared" ref="D1471:D1534" si="22">IF(ISBLANK(B1471),"OK",IF(A1471-B1471=0,"OK","Error?"))</f>
        <v>Error?</v>
      </c>
    </row>
    <row r="1472" spans="1:4" x14ac:dyDescent="0.2">
      <c r="A1472" s="5">
        <v>1411</v>
      </c>
      <c r="B1472" s="138">
        <f>'Expenditures 15-22'!K223</f>
        <v>2362</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28148</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658</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658</v>
      </c>
      <c r="C1481" s="2" t="s">
        <v>594</v>
      </c>
      <c r="D1481" s="2" t="str">
        <f t="shared" si="22"/>
        <v>Error?</v>
      </c>
    </row>
    <row r="1482" spans="1:4" x14ac:dyDescent="0.2">
      <c r="A1482" s="5">
        <v>1421</v>
      </c>
      <c r="B1482" s="138">
        <f>'Expenditures 15-22'!K240</f>
        <v>28</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28</v>
      </c>
      <c r="C1485" s="2" t="s">
        <v>594</v>
      </c>
      <c r="D1485" s="2" t="str">
        <f t="shared" si="22"/>
        <v>Error?</v>
      </c>
    </row>
    <row r="1486" spans="1:4" x14ac:dyDescent="0.2">
      <c r="A1486" s="5">
        <v>1425</v>
      </c>
      <c r="B1486" s="138">
        <f>'Expenditures 15-22'!K245</f>
        <v>232</v>
      </c>
      <c r="C1486" s="2" t="s">
        <v>594</v>
      </c>
      <c r="D1486" s="2" t="str">
        <f t="shared" si="22"/>
        <v>Error?</v>
      </c>
    </row>
    <row r="1487" spans="1:4" x14ac:dyDescent="0.2">
      <c r="A1487" s="5">
        <v>1426</v>
      </c>
      <c r="B1487" s="138">
        <f>'Expenditures 15-22'!K246</f>
        <v>1668</v>
      </c>
      <c r="C1487" s="2" t="s">
        <v>594</v>
      </c>
      <c r="D1487" s="2" t="str">
        <f t="shared" si="22"/>
        <v>Error?</v>
      </c>
    </row>
    <row r="1488" spans="1:4" x14ac:dyDescent="0.2">
      <c r="A1488" s="5">
        <v>1427</v>
      </c>
      <c r="B1488" s="138">
        <f>'Expenditures 15-22'!K257</f>
        <v>1900</v>
      </c>
      <c r="C1488" s="2" t="s">
        <v>594</v>
      </c>
      <c r="D1488" s="2" t="str">
        <f t="shared" si="22"/>
        <v>Error?</v>
      </c>
    </row>
    <row r="1489" spans="1:4" x14ac:dyDescent="0.2">
      <c r="A1489" s="5">
        <v>1428</v>
      </c>
      <c r="B1489" s="138">
        <f>'Expenditures 15-22'!K259</f>
        <v>9352</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9352</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6788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22298</v>
      </c>
      <c r="C1495" s="2" t="s">
        <v>594</v>
      </c>
      <c r="D1495" s="2" t="str">
        <f t="shared" si="22"/>
        <v>Error?</v>
      </c>
    </row>
    <row r="1496" spans="1:4" x14ac:dyDescent="0.2">
      <c r="A1496" s="5">
        <v>1435</v>
      </c>
      <c r="B1496" s="138">
        <f>'Expenditures 15-22'!K267</f>
        <v>18637</v>
      </c>
      <c r="C1496" s="2" t="s">
        <v>594</v>
      </c>
      <c r="D1496" s="2" t="str">
        <f t="shared" si="22"/>
        <v>Error?</v>
      </c>
    </row>
    <row r="1497" spans="1:4" x14ac:dyDescent="0.2">
      <c r="A1497" s="5">
        <v>1436</v>
      </c>
      <c r="B1497" s="138">
        <f>'Expenditures 15-22'!K268</f>
        <v>7653</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55376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67314</v>
      </c>
      <c r="C1510" s="2" t="s">
        <v>594</v>
      </c>
      <c r="D1510" s="2" t="str">
        <f t="shared" si="22"/>
        <v>Error?</v>
      </c>
    </row>
    <row r="1511" spans="1:4" x14ac:dyDescent="0.2">
      <c r="A1511" s="5">
        <v>1450</v>
      </c>
      <c r="B1511" s="138">
        <f>'Expenditures 15-22'!K280</f>
        <v>1429</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96891</v>
      </c>
      <c r="C1517" s="2" t="s">
        <v>594</v>
      </c>
      <c r="D1517" s="2" t="str">
        <f t="shared" si="22"/>
        <v>Error?</v>
      </c>
    </row>
    <row r="1518" spans="1:4" x14ac:dyDescent="0.2">
      <c r="A1518" s="5">
        <v>1457</v>
      </c>
      <c r="B1518" s="138">
        <f>'Expenditures 15-22'!K296</f>
        <v>10920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18913</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18913</v>
      </c>
      <c r="C1535" s="2" t="s">
        <v>594</v>
      </c>
      <c r="D1535" s="2" t="str">
        <f t="shared" ref="D1535:D1598" si="23">IF(ISBLANK(B1535),"OK",IF(A1535-B1535=0,"OK","Error?"))</f>
        <v>Error?</v>
      </c>
    </row>
    <row r="1536" spans="1:4" x14ac:dyDescent="0.2">
      <c r="A1536" s="5">
        <v>1475</v>
      </c>
      <c r="B1536" s="138">
        <f>'Expenditures 15-22'!E312</f>
        <v>18913</v>
      </c>
      <c r="C1536" s="2" t="s">
        <v>594</v>
      </c>
      <c r="D1536" s="2" t="str">
        <f t="shared" si="23"/>
        <v>Error?</v>
      </c>
    </row>
    <row r="1537" spans="1:4" x14ac:dyDescent="0.2">
      <c r="A1537" s="5">
        <v>1476</v>
      </c>
      <c r="B1537" s="138">
        <f>'Expenditures 15-22'!F301</f>
        <v>15014</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15014</v>
      </c>
      <c r="C1541" s="2" t="s">
        <v>594</v>
      </c>
      <c r="D1541" s="2" t="str">
        <f t="shared" si="23"/>
        <v>Error?</v>
      </c>
    </row>
    <row r="1542" spans="1:4" x14ac:dyDescent="0.2">
      <c r="A1542" s="5">
        <v>1481</v>
      </c>
      <c r="B1542" s="138">
        <f>'Expenditures 15-22'!F312</f>
        <v>15014</v>
      </c>
      <c r="C1542" s="2" t="s">
        <v>594</v>
      </c>
      <c r="D1542" s="2" t="str">
        <f t="shared" si="23"/>
        <v>Error?</v>
      </c>
    </row>
    <row r="1543" spans="1:4" x14ac:dyDescent="0.2">
      <c r="A1543" s="5">
        <v>1482</v>
      </c>
      <c r="B1543" s="138">
        <f>'Expenditures 15-22'!G301</f>
        <v>2200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2200</v>
      </c>
      <c r="C1547" s="2" t="s">
        <v>594</v>
      </c>
      <c r="D1547" s="2" t="str">
        <f t="shared" si="23"/>
        <v>Error?</v>
      </c>
    </row>
    <row r="1548" spans="1:4" x14ac:dyDescent="0.2">
      <c r="A1548" s="5">
        <v>1487</v>
      </c>
      <c r="B1548" s="138">
        <f>'Expenditures 15-22'!G312</f>
        <v>2200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36127</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36127</v>
      </c>
      <c r="C1559" s="2" t="s">
        <v>594</v>
      </c>
      <c r="D1559" s="2" t="str">
        <f t="shared" si="23"/>
        <v>Error?</v>
      </c>
    </row>
    <row r="1560" spans="1:4" x14ac:dyDescent="0.2">
      <c r="A1560" s="5">
        <v>1499</v>
      </c>
      <c r="B1560" s="138">
        <f>'Expenditures 15-22'!K312</f>
        <v>36127</v>
      </c>
      <c r="C1560" s="2" t="s">
        <v>594</v>
      </c>
      <c r="D1560" s="2" t="str">
        <f t="shared" si="23"/>
        <v>Error?</v>
      </c>
    </row>
    <row r="1561" spans="1:4" x14ac:dyDescent="0.2">
      <c r="A1561" s="5">
        <v>1500</v>
      </c>
      <c r="B1561" s="138">
        <f>'Expenditures 15-22'!K313</f>
        <v>-36127</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344611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533722</v>
      </c>
      <c r="C1630" s="2" t="s">
        <v>594</v>
      </c>
      <c r="D1630" s="2" t="str">
        <f t="shared" si="24"/>
        <v>Error?</v>
      </c>
    </row>
    <row r="1631" spans="1:4" x14ac:dyDescent="0.2">
      <c r="A1631" s="5">
        <v>1570</v>
      </c>
      <c r="B1631" s="138">
        <f>'Acct Summary 7-8'!D79</f>
        <v>57452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23378</v>
      </c>
      <c r="C1644" s="2" t="s">
        <v>594</v>
      </c>
      <c r="D1644" s="2" t="str">
        <f t="shared" si="24"/>
        <v>Error?</v>
      </c>
    </row>
    <row r="1645" spans="1:4" x14ac:dyDescent="0.2">
      <c r="A1645" s="5">
        <v>1584</v>
      </c>
      <c r="B1645" s="138">
        <f>'Acct Summary 7-8'!E79</f>
        <v>9515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8857</v>
      </c>
      <c r="C1658" s="2" t="s">
        <v>594</v>
      </c>
      <c r="D1658" s="2" t="str">
        <f t="shared" si="24"/>
        <v>Error?</v>
      </c>
    </row>
    <row r="1659" spans="1:4" x14ac:dyDescent="0.2">
      <c r="A1659" s="5">
        <v>1598</v>
      </c>
      <c r="B1659" s="138">
        <f>'Acct Summary 7-8'!F79</f>
        <v>139305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131424</v>
      </c>
      <c r="C1672" s="2" t="s">
        <v>594</v>
      </c>
      <c r="D1672" s="2" t="str">
        <f t="shared" si="25"/>
        <v>Error?</v>
      </c>
    </row>
    <row r="1673" spans="1:4" x14ac:dyDescent="0.2">
      <c r="A1673" s="5">
        <v>1612</v>
      </c>
      <c r="B1673" s="138">
        <f>'Acct Summary 7-8'!G79</f>
        <v>57615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68535</v>
      </c>
      <c r="C1686" s="2" t="s">
        <v>594</v>
      </c>
      <c r="D1686" s="2" t="str">
        <f t="shared" si="25"/>
        <v>Error?</v>
      </c>
    </row>
    <row r="1687" spans="1:4" x14ac:dyDescent="0.2">
      <c r="A1687" s="5">
        <v>1626</v>
      </c>
      <c r="B1687" s="138">
        <f>'Acct Summary 7-8'!H79</f>
        <v>164988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118750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1283917</v>
      </c>
      <c r="C1744" s="2" t="s">
        <v>594</v>
      </c>
      <c r="D1744" s="2" t="str">
        <f t="shared" si="26"/>
        <v>Error?</v>
      </c>
    </row>
    <row r="1745" spans="1:5" x14ac:dyDescent="0.2">
      <c r="A1745" s="5">
        <v>1684</v>
      </c>
      <c r="B1745" s="138">
        <f>'Tax Sched 23'!B5</f>
        <v>213999</v>
      </c>
      <c r="C1745" s="2" t="s">
        <v>594</v>
      </c>
      <c r="D1745" s="2" t="str">
        <f t="shared" si="26"/>
        <v>Error?</v>
      </c>
    </row>
    <row r="1746" spans="1:5" x14ac:dyDescent="0.2">
      <c r="A1746" s="5">
        <v>1685</v>
      </c>
      <c r="B1746" s="138">
        <f>'Tax Sched 23'!B6</f>
        <v>157956</v>
      </c>
      <c r="C1746" s="2" t="s">
        <v>594</v>
      </c>
      <c r="D1746" s="2" t="str">
        <f t="shared" si="26"/>
        <v>Error?</v>
      </c>
    </row>
    <row r="1747" spans="1:5" x14ac:dyDescent="0.2">
      <c r="A1747" s="5">
        <v>1686</v>
      </c>
      <c r="B1747" s="138">
        <f>'Tax Sched 23'!B7</f>
        <v>85600</v>
      </c>
      <c r="C1747" s="2" t="s">
        <v>594</v>
      </c>
      <c r="D1747" s="2" t="str">
        <f t="shared" si="26"/>
        <v>Error?</v>
      </c>
    </row>
    <row r="1748" spans="1:5" x14ac:dyDescent="0.2">
      <c r="A1748" s="5">
        <v>1687</v>
      </c>
      <c r="B1748" s="138">
        <f>'Tax Sched 23'!B8</f>
        <v>29947</v>
      </c>
      <c r="C1748" s="2" t="s">
        <v>594</v>
      </c>
      <c r="D1748" s="2" t="str">
        <f t="shared" si="26"/>
        <v>Error?</v>
      </c>
    </row>
    <row r="1749" spans="1:5" x14ac:dyDescent="0.2">
      <c r="A1749" s="5">
        <v>1688</v>
      </c>
      <c r="B1749" s="138">
        <f>'Tax Sched 23'!B10</f>
        <v>21400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229563</v>
      </c>
      <c r="C1752" s="2" t="s">
        <v>594</v>
      </c>
      <c r="D1752" s="2" t="str">
        <f t="shared" si="26"/>
        <v>Error?</v>
      </c>
    </row>
    <row r="1753" spans="1:5" x14ac:dyDescent="0.2">
      <c r="A1753" s="5">
        <v>1692</v>
      </c>
      <c r="B1753" s="138">
        <f>'Tax Sched 23'!B12</f>
        <v>21400</v>
      </c>
      <c r="C1753" s="2" t="s">
        <v>594</v>
      </c>
      <c r="D1753" s="2" t="str">
        <f t="shared" si="26"/>
        <v>Error?</v>
      </c>
    </row>
    <row r="1754" spans="1:5" x14ac:dyDescent="0.2">
      <c r="A1754" s="5">
        <v>1693</v>
      </c>
      <c r="B1754" s="138">
        <f>'Tax Sched 23'!B14</f>
        <v>17120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2157704</v>
      </c>
      <c r="C1759" s="2" t="s">
        <v>594</v>
      </c>
      <c r="D1759" s="2" t="str">
        <f t="shared" si="26"/>
        <v>Error?</v>
      </c>
    </row>
    <row r="1760" spans="1:5" x14ac:dyDescent="0.2">
      <c r="A1760" s="5">
        <v>1699</v>
      </c>
      <c r="B1760" s="138">
        <f>'Tax Sched 23'!D4</f>
        <v>1283917</v>
      </c>
      <c r="C1760" s="2" t="s">
        <v>594</v>
      </c>
      <c r="D1760" s="2" t="str">
        <f t="shared" si="26"/>
        <v>Error?</v>
      </c>
    </row>
    <row r="1761" spans="1:5" x14ac:dyDescent="0.2">
      <c r="A1761" s="5">
        <v>1700</v>
      </c>
      <c r="B1761" s="138">
        <f>'Tax Sched 23'!D5</f>
        <v>213999</v>
      </c>
      <c r="C1761" s="2" t="s">
        <v>594</v>
      </c>
      <c r="D1761" s="2" t="str">
        <f t="shared" si="26"/>
        <v>Error?</v>
      </c>
    </row>
    <row r="1762" spans="1:5" s="8" customFormat="1" x14ac:dyDescent="0.2">
      <c r="A1762" s="5">
        <v>1701</v>
      </c>
      <c r="B1762" s="138">
        <f>'Tax Sched 23'!D6</f>
        <v>157956</v>
      </c>
      <c r="C1762" s="2" t="s">
        <v>594</v>
      </c>
      <c r="D1762" s="2" t="str">
        <f t="shared" si="26"/>
        <v>Error?</v>
      </c>
      <c r="E1762" s="9"/>
    </row>
    <row r="1763" spans="1:5" x14ac:dyDescent="0.2">
      <c r="A1763" s="5">
        <v>1702</v>
      </c>
      <c r="B1763" s="138">
        <f>'Tax Sched 23'!D7</f>
        <v>85600</v>
      </c>
      <c r="C1763" s="2" t="s">
        <v>594</v>
      </c>
      <c r="D1763" s="2" t="str">
        <f t="shared" si="26"/>
        <v>Error?</v>
      </c>
    </row>
    <row r="1764" spans="1:5" x14ac:dyDescent="0.2">
      <c r="A1764" s="5">
        <v>1703</v>
      </c>
      <c r="B1764" s="138">
        <f>'Tax Sched 23'!D8</f>
        <v>29947</v>
      </c>
      <c r="C1764" s="2" t="s">
        <v>594</v>
      </c>
      <c r="D1764" s="2" t="str">
        <f t="shared" si="26"/>
        <v>Error?</v>
      </c>
    </row>
    <row r="1765" spans="1:5" x14ac:dyDescent="0.2">
      <c r="A1765" s="5">
        <v>1704</v>
      </c>
      <c r="B1765" s="138">
        <f>'Tax Sched 23'!D10</f>
        <v>21400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229563</v>
      </c>
      <c r="C1768" s="2" t="s">
        <v>594</v>
      </c>
      <c r="D1768" s="2" t="str">
        <f t="shared" si="26"/>
        <v>Error?</v>
      </c>
    </row>
    <row r="1769" spans="1:5" x14ac:dyDescent="0.2">
      <c r="A1769" s="5">
        <v>1708</v>
      </c>
      <c r="B1769" s="138">
        <f>'Tax Sched 23'!D12</f>
        <v>21400</v>
      </c>
      <c r="C1769" s="2" t="s">
        <v>594</v>
      </c>
      <c r="D1769" s="2" t="str">
        <f t="shared" si="26"/>
        <v>Error?</v>
      </c>
    </row>
    <row r="1770" spans="1:5" x14ac:dyDescent="0.2">
      <c r="A1770" s="5">
        <v>1709</v>
      </c>
      <c r="B1770" s="138">
        <f>'Tax Sched 23'!D14</f>
        <v>17120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2157704</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1343122</v>
      </c>
      <c r="C1792" s="2" t="s">
        <v>594</v>
      </c>
      <c r="D1792" s="2" t="str">
        <f t="shared" si="27"/>
        <v>Error?</v>
      </c>
    </row>
    <row r="1793" spans="1:4" x14ac:dyDescent="0.2">
      <c r="A1793" s="5">
        <v>1732</v>
      </c>
      <c r="B1793" s="138">
        <f>'Tax Sched 23'!F5</f>
        <v>223854</v>
      </c>
      <c r="C1793" s="2" t="s">
        <v>594</v>
      </c>
      <c r="D1793" s="2" t="str">
        <f t="shared" si="27"/>
        <v>Error?</v>
      </c>
    </row>
    <row r="1794" spans="1:4" x14ac:dyDescent="0.2">
      <c r="A1794" s="5">
        <v>1733</v>
      </c>
      <c r="B1794" s="138">
        <f>'Tax Sched 23'!F6</f>
        <v>166064</v>
      </c>
      <c r="C1794" s="2" t="s">
        <v>594</v>
      </c>
      <c r="D1794" s="2" t="str">
        <f t="shared" si="27"/>
        <v>Error?</v>
      </c>
    </row>
    <row r="1795" spans="1:4" x14ac:dyDescent="0.2">
      <c r="A1795" s="5">
        <v>1734</v>
      </c>
      <c r="B1795" s="138">
        <f>'Tax Sched 23'!F7</f>
        <v>89542</v>
      </c>
      <c r="C1795" s="2" t="s">
        <v>594</v>
      </c>
      <c r="D1795" s="2" t="str">
        <f t="shared" si="27"/>
        <v>Error?</v>
      </c>
    </row>
    <row r="1796" spans="1:4" x14ac:dyDescent="0.2">
      <c r="A1796" s="5">
        <v>1735</v>
      </c>
      <c r="B1796" s="138">
        <f>'Tax Sched 23'!F8</f>
        <v>30001</v>
      </c>
      <c r="C1796" s="2" t="s">
        <v>594</v>
      </c>
      <c r="D1796" s="2" t="str">
        <f t="shared" si="27"/>
        <v>Error?</v>
      </c>
    </row>
    <row r="1797" spans="1:4" x14ac:dyDescent="0.2">
      <c r="A1797" s="5">
        <v>1736</v>
      </c>
      <c r="B1797" s="138">
        <f>'Tax Sched 23'!F10</f>
        <v>22385</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245003</v>
      </c>
      <c r="C1800" s="2" t="s">
        <v>594</v>
      </c>
      <c r="D1800" s="2" t="str">
        <f t="shared" si="27"/>
        <v>Error?</v>
      </c>
    </row>
    <row r="1801" spans="1:4" x14ac:dyDescent="0.2">
      <c r="A1801" s="5">
        <v>1740</v>
      </c>
      <c r="B1801" s="138">
        <f>'Tax Sched 23'!F12</f>
        <v>22385</v>
      </c>
      <c r="C1801" s="2" t="s">
        <v>594</v>
      </c>
      <c r="D1801" s="2" t="str">
        <f t="shared" si="27"/>
        <v>Error?</v>
      </c>
    </row>
    <row r="1802" spans="1:4" x14ac:dyDescent="0.2">
      <c r="A1802" s="5">
        <v>1741</v>
      </c>
      <c r="B1802" s="138">
        <f>'Tax Sched 23'!F14</f>
        <v>17908</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2257649</v>
      </c>
      <c r="C1807" s="2" t="s">
        <v>594</v>
      </c>
      <c r="D1807" s="2" t="str">
        <f t="shared" si="27"/>
        <v>Error?</v>
      </c>
    </row>
    <row r="1808" spans="1:4" x14ac:dyDescent="0.2">
      <c r="A1808" s="5">
        <v>1747</v>
      </c>
      <c r="B1808" s="138">
        <f>'Tax Sched 23'!E4</f>
        <v>1343122</v>
      </c>
      <c r="D1808" s="2" t="str">
        <f t="shared" si="27"/>
        <v>Error?</v>
      </c>
    </row>
    <row r="1809" spans="1:4" x14ac:dyDescent="0.2">
      <c r="A1809" s="5">
        <v>1748</v>
      </c>
      <c r="B1809" s="138">
        <f>'Tax Sched 23'!E5</f>
        <v>223854</v>
      </c>
      <c r="D1809" s="2" t="str">
        <f t="shared" si="27"/>
        <v>Error?</v>
      </c>
    </row>
    <row r="1810" spans="1:4" x14ac:dyDescent="0.2">
      <c r="A1810" s="5">
        <v>1749</v>
      </c>
      <c r="B1810" s="138">
        <f>'Tax Sched 23'!E6</f>
        <v>166064</v>
      </c>
      <c r="D1810" s="2" t="str">
        <f t="shared" si="27"/>
        <v>Error?</v>
      </c>
    </row>
    <row r="1811" spans="1:4" x14ac:dyDescent="0.2">
      <c r="A1811" s="5">
        <v>1750</v>
      </c>
      <c r="B1811" s="138">
        <f>'Tax Sched 23'!E7</f>
        <v>89542</v>
      </c>
      <c r="D1811" s="2" t="str">
        <f t="shared" si="27"/>
        <v>Error?</v>
      </c>
    </row>
    <row r="1812" spans="1:4" x14ac:dyDescent="0.2">
      <c r="A1812" s="5">
        <v>1751</v>
      </c>
      <c r="B1812" s="138">
        <f>'Tax Sched 23'!E8</f>
        <v>30001</v>
      </c>
      <c r="D1812" s="2" t="str">
        <f t="shared" si="27"/>
        <v>Error?</v>
      </c>
    </row>
    <row r="1813" spans="1:4" x14ac:dyDescent="0.2">
      <c r="A1813" s="5">
        <v>1752</v>
      </c>
      <c r="B1813" s="138">
        <f>'Tax Sched 23'!E10</f>
        <v>22385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245003</v>
      </c>
      <c r="D1816" s="2" t="str">
        <f t="shared" si="27"/>
        <v>Error?</v>
      </c>
    </row>
    <row r="1817" spans="1:4" x14ac:dyDescent="0.2">
      <c r="A1817" s="5">
        <v>1756</v>
      </c>
      <c r="B1817" s="138">
        <f>'Tax Sched 23'!E12</f>
        <v>22385</v>
      </c>
      <c r="D1817" s="2" t="str">
        <f t="shared" si="27"/>
        <v>Error?</v>
      </c>
    </row>
    <row r="1818" spans="1:4" x14ac:dyDescent="0.2">
      <c r="A1818" s="5">
        <v>1757</v>
      </c>
      <c r="B1818" s="138">
        <f>'Tax Sched 23'!E14</f>
        <v>17908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2257649</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2026848</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17120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17120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17120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78982</v>
      </c>
      <c r="D2008" s="2" t="str">
        <f t="shared" si="30"/>
        <v>Error?</v>
      </c>
    </row>
    <row r="2009" spans="1:4" x14ac:dyDescent="0.2">
      <c r="A2009" s="5">
        <v>1948</v>
      </c>
      <c r="B2009" s="138">
        <f>'Cap Outlay Deprec 26'!C8</f>
        <v>5389527</v>
      </c>
      <c r="D2009" s="2" t="str">
        <f t="shared" si="30"/>
        <v>Error?</v>
      </c>
    </row>
    <row r="2010" spans="1:4" x14ac:dyDescent="0.2">
      <c r="A2010" s="5">
        <v>1949</v>
      </c>
      <c r="B2010" s="138">
        <f>'Cap Outlay Deprec 26'!C10</f>
        <v>141381</v>
      </c>
      <c r="D2010" s="2" t="str">
        <f t="shared" si="30"/>
        <v>Error?</v>
      </c>
    </row>
    <row r="2011" spans="1:4" x14ac:dyDescent="0.2">
      <c r="A2011" s="5">
        <v>1950</v>
      </c>
      <c r="B2011" s="138">
        <f>'Cap Outlay Deprec 26'!C12</f>
        <v>444073</v>
      </c>
      <c r="D2011" s="2" t="str">
        <f t="shared" si="30"/>
        <v>Error?</v>
      </c>
    </row>
    <row r="2012" spans="1:4" x14ac:dyDescent="0.2">
      <c r="A2012" s="5">
        <v>1951</v>
      </c>
      <c r="B2012" s="138">
        <f>'Cap Outlay Deprec 26'!C13</f>
        <v>133914</v>
      </c>
      <c r="D2012" s="2" t="str">
        <f t="shared" si="30"/>
        <v>Error?</v>
      </c>
    </row>
    <row r="2013" spans="1:4" x14ac:dyDescent="0.2">
      <c r="A2013" s="5">
        <v>1952</v>
      </c>
      <c r="B2013" s="138">
        <f>'Cap Outlay Deprec 26'!C16</f>
        <v>6187877</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14656</v>
      </c>
      <c r="D2016" s="2" t="str">
        <f t="shared" si="30"/>
        <v>Error?</v>
      </c>
    </row>
    <row r="2017" spans="1:4" x14ac:dyDescent="0.2">
      <c r="A2017" s="5">
        <v>1956</v>
      </c>
      <c r="B2017" s="138">
        <f>'Cap Outlay Deprec 26'!D12</f>
        <v>4070</v>
      </c>
      <c r="D2017" s="2" t="str">
        <f t="shared" si="30"/>
        <v>Error?</v>
      </c>
    </row>
    <row r="2018" spans="1:4" x14ac:dyDescent="0.2">
      <c r="A2018" s="5">
        <v>1957</v>
      </c>
      <c r="B2018" s="138">
        <f>'Cap Outlay Deprec 26'!D13</f>
        <v>5934</v>
      </c>
      <c r="D2018" s="2" t="str">
        <f t="shared" si="30"/>
        <v>Error?</v>
      </c>
    </row>
    <row r="2019" spans="1:4" x14ac:dyDescent="0.2">
      <c r="A2019" s="5">
        <v>1958</v>
      </c>
      <c r="B2019" s="138">
        <f>'Cap Outlay Deprec 26'!D16</f>
        <v>26860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78982</v>
      </c>
      <c r="C2026" s="2" t="s">
        <v>594</v>
      </c>
      <c r="D2026" s="2" t="str">
        <f t="shared" si="30"/>
        <v>Error?</v>
      </c>
    </row>
    <row r="2027" spans="1:4" x14ac:dyDescent="0.2">
      <c r="A2027" s="5">
        <v>1966</v>
      </c>
      <c r="B2027" s="138">
        <f>'Cap Outlay Deprec 26'!F8</f>
        <v>5389527</v>
      </c>
      <c r="C2027" s="2" t="s">
        <v>594</v>
      </c>
      <c r="D2027" s="2" t="str">
        <f t="shared" si="30"/>
        <v>Error?</v>
      </c>
    </row>
    <row r="2028" spans="1:4" x14ac:dyDescent="0.2">
      <c r="A2028" s="5">
        <v>1967</v>
      </c>
      <c r="B2028" s="138">
        <f>'Cap Outlay Deprec 26'!F10</f>
        <v>156037</v>
      </c>
      <c r="C2028" s="2" t="s">
        <v>594</v>
      </c>
      <c r="D2028" s="2" t="str">
        <f t="shared" si="30"/>
        <v>Error?</v>
      </c>
    </row>
    <row r="2029" spans="1:4" x14ac:dyDescent="0.2">
      <c r="A2029" s="5">
        <v>1968</v>
      </c>
      <c r="B2029" s="138">
        <f>'Cap Outlay Deprec 26'!F12</f>
        <v>448143</v>
      </c>
      <c r="C2029" s="2" t="s">
        <v>594</v>
      </c>
      <c r="D2029" s="2" t="str">
        <f t="shared" si="30"/>
        <v>Error?</v>
      </c>
    </row>
    <row r="2030" spans="1:4" x14ac:dyDescent="0.2">
      <c r="A2030" s="5">
        <v>1969</v>
      </c>
      <c r="B2030" s="138">
        <f>'Cap Outlay Deprec 26'!F13</f>
        <v>139848</v>
      </c>
      <c r="C2030" s="2" t="s">
        <v>594</v>
      </c>
      <c r="D2030" s="2" t="str">
        <f t="shared" si="30"/>
        <v>Error?</v>
      </c>
    </row>
    <row r="2031" spans="1:4" x14ac:dyDescent="0.2">
      <c r="A2031" s="5">
        <v>1970</v>
      </c>
      <c r="B2031" s="138">
        <f>'Cap Outlay Deprec 26'!F16</f>
        <v>6214737</v>
      </c>
      <c r="C2031" s="2" t="s">
        <v>594</v>
      </c>
      <c r="D2031" s="2" t="str">
        <f t="shared" si="30"/>
        <v>Error?</v>
      </c>
    </row>
    <row r="2032" spans="1:4" x14ac:dyDescent="0.2">
      <c r="A2032" s="10">
        <v>1971</v>
      </c>
      <c r="D2032" s="2" t="str">
        <f t="shared" si="30"/>
        <v>OK</v>
      </c>
    </row>
    <row r="2033" spans="1:4" x14ac:dyDescent="0.2">
      <c r="A2033" s="5">
        <v>1972</v>
      </c>
      <c r="B2033" s="138">
        <f>'Cap Outlay Deprec 26'!H8</f>
        <v>2192986</v>
      </c>
      <c r="D2033" s="2" t="str">
        <f t="shared" si="30"/>
        <v>Error?</v>
      </c>
    </row>
    <row r="2034" spans="1:4" x14ac:dyDescent="0.2">
      <c r="A2034" s="5">
        <v>1973</v>
      </c>
      <c r="B2034" s="138">
        <f>'Cap Outlay Deprec 26'!H10</f>
        <v>19706</v>
      </c>
      <c r="D2034" s="2" t="str">
        <f t="shared" si="30"/>
        <v>Error?</v>
      </c>
    </row>
    <row r="2035" spans="1:4" x14ac:dyDescent="0.2">
      <c r="A2035" s="5">
        <v>1974</v>
      </c>
      <c r="B2035" s="138">
        <f>'Cap Outlay Deprec 26'!H12</f>
        <v>297338</v>
      </c>
      <c r="D2035" s="2" t="str">
        <f t="shared" si="30"/>
        <v>Error?</v>
      </c>
    </row>
    <row r="2036" spans="1:4" x14ac:dyDescent="0.2">
      <c r="A2036" s="5">
        <v>1975</v>
      </c>
      <c r="B2036" s="138">
        <f>'Cap Outlay Deprec 26'!H13</f>
        <v>121440</v>
      </c>
      <c r="D2036" s="2" t="str">
        <f t="shared" si="30"/>
        <v>Error?</v>
      </c>
    </row>
    <row r="2037" spans="1:4" x14ac:dyDescent="0.2">
      <c r="A2037" s="5">
        <v>1976</v>
      </c>
      <c r="B2037" s="138">
        <f>'Cap Outlay Deprec 26'!H16</f>
        <v>2631470</v>
      </c>
      <c r="C2037" s="2" t="s">
        <v>594</v>
      </c>
      <c r="D2037" s="2" t="str">
        <f t="shared" si="30"/>
        <v>Error?</v>
      </c>
    </row>
    <row r="2038" spans="1:4" x14ac:dyDescent="0.2">
      <c r="A2038" s="10">
        <v>1977</v>
      </c>
      <c r="D2038" s="2" t="str">
        <f t="shared" si="30"/>
        <v>OK</v>
      </c>
    </row>
    <row r="2039" spans="1:4" x14ac:dyDescent="0.2">
      <c r="A2039" s="5">
        <v>1978</v>
      </c>
      <c r="B2039" s="138">
        <f>'Cap Outlay Deprec 26'!I8</f>
        <v>108030</v>
      </c>
      <c r="D2039" s="2" t="str">
        <f t="shared" si="30"/>
        <v>Error?</v>
      </c>
    </row>
    <row r="2040" spans="1:4" x14ac:dyDescent="0.2">
      <c r="A2040" s="5">
        <v>1979</v>
      </c>
      <c r="B2040" s="138">
        <f>'Cap Outlay Deprec 26'!I10</f>
        <v>6856</v>
      </c>
      <c r="D2040" s="2" t="str">
        <f t="shared" si="30"/>
        <v>Error?</v>
      </c>
    </row>
    <row r="2041" spans="1:4" x14ac:dyDescent="0.2">
      <c r="A2041" s="5">
        <v>1980</v>
      </c>
      <c r="B2041" s="138">
        <f>'Cap Outlay Deprec 26'!I12</f>
        <v>20998</v>
      </c>
      <c r="D2041" s="2" t="str">
        <f t="shared" si="30"/>
        <v>Error?</v>
      </c>
    </row>
    <row r="2042" spans="1:4" x14ac:dyDescent="0.2">
      <c r="A2042" s="5">
        <v>1981</v>
      </c>
      <c r="B2042" s="138">
        <f>'Cap Outlay Deprec 26'!I13</f>
        <v>5464</v>
      </c>
      <c r="D2042" s="2" t="str">
        <f t="shared" si="30"/>
        <v>Error?</v>
      </c>
    </row>
    <row r="2043" spans="1:4" x14ac:dyDescent="0.2">
      <c r="A2043" s="5">
        <v>1982</v>
      </c>
      <c r="B2043" s="138">
        <f>'Cap Outlay Deprec 26'!I16</f>
        <v>141348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2301016</v>
      </c>
      <c r="C2051" s="2" t="s">
        <v>594</v>
      </c>
      <c r="D2051" s="2" t="str">
        <f t="shared" si="31"/>
        <v>Error?</v>
      </c>
    </row>
    <row r="2052" spans="1:4" x14ac:dyDescent="0.2">
      <c r="A2052" s="5">
        <v>1991</v>
      </c>
      <c r="B2052" s="138">
        <f>'Cap Outlay Deprec 26'!K10</f>
        <v>26562</v>
      </c>
      <c r="C2052" s="2" t="s">
        <v>594</v>
      </c>
      <c r="D2052" s="2" t="str">
        <f t="shared" si="31"/>
        <v>Error?</v>
      </c>
    </row>
    <row r="2053" spans="1:4" x14ac:dyDescent="0.2">
      <c r="A2053" s="5">
        <v>1992</v>
      </c>
      <c r="B2053" s="138">
        <f>'Cap Outlay Deprec 26'!K12</f>
        <v>318336</v>
      </c>
      <c r="C2053" s="2" t="s">
        <v>594</v>
      </c>
      <c r="D2053" s="2" t="str">
        <f t="shared" si="31"/>
        <v>Error?</v>
      </c>
    </row>
    <row r="2054" spans="1:4" x14ac:dyDescent="0.2">
      <c r="A2054" s="5">
        <v>1993</v>
      </c>
      <c r="B2054" s="138">
        <f>'Cap Outlay Deprec 26'!K13</f>
        <v>126904</v>
      </c>
      <c r="C2054" s="2" t="s">
        <v>594</v>
      </c>
      <c r="D2054" s="2" t="str">
        <f t="shared" si="31"/>
        <v>Error?</v>
      </c>
    </row>
    <row r="2055" spans="1:4" x14ac:dyDescent="0.2">
      <c r="A2055" s="5">
        <v>1994</v>
      </c>
      <c r="B2055" s="138">
        <f>'Cap Outlay Deprec 26'!K16</f>
        <v>2772818</v>
      </c>
      <c r="C2055" s="2" t="s">
        <v>594</v>
      </c>
      <c r="D2055" s="2" t="str">
        <f t="shared" si="31"/>
        <v>Error?</v>
      </c>
    </row>
    <row r="2056" spans="1:4" x14ac:dyDescent="0.2">
      <c r="A2056" s="5">
        <v>1995</v>
      </c>
      <c r="B2056" s="138">
        <f>'Cap Outlay Deprec 26'!L5</f>
        <v>78982</v>
      </c>
      <c r="C2056" s="2" t="s">
        <v>594</v>
      </c>
      <c r="D2056" s="2" t="str">
        <f t="shared" si="31"/>
        <v>Error?</v>
      </c>
    </row>
    <row r="2057" spans="1:4" x14ac:dyDescent="0.2">
      <c r="A2057" s="5">
        <v>1996</v>
      </c>
      <c r="B2057" s="138">
        <f>'Cap Outlay Deprec 26'!L8</f>
        <v>3088511</v>
      </c>
      <c r="C2057" s="2" t="s">
        <v>594</v>
      </c>
      <c r="D2057" s="2" t="str">
        <f t="shared" si="31"/>
        <v>Error?</v>
      </c>
    </row>
    <row r="2058" spans="1:4" x14ac:dyDescent="0.2">
      <c r="A2058" s="5">
        <v>1997</v>
      </c>
      <c r="B2058" s="138">
        <f>'Cap Outlay Deprec 26'!L10</f>
        <v>129475</v>
      </c>
      <c r="C2058" s="2" t="s">
        <v>594</v>
      </c>
      <c r="D2058" s="2" t="str">
        <f t="shared" si="31"/>
        <v>Error?</v>
      </c>
    </row>
    <row r="2059" spans="1:4" x14ac:dyDescent="0.2">
      <c r="A2059" s="5">
        <v>1998</v>
      </c>
      <c r="B2059" s="138">
        <f>'Cap Outlay Deprec 26'!L12</f>
        <v>129807</v>
      </c>
      <c r="C2059" s="2" t="s">
        <v>594</v>
      </c>
      <c r="D2059" s="2" t="str">
        <f t="shared" si="31"/>
        <v>Error?</v>
      </c>
    </row>
    <row r="2060" spans="1:4" x14ac:dyDescent="0.2">
      <c r="A2060" s="5">
        <v>1999</v>
      </c>
      <c r="B2060" s="138">
        <f>'Cap Outlay Deprec 26'!L13</f>
        <v>12944</v>
      </c>
      <c r="C2060" s="2" t="s">
        <v>594</v>
      </c>
      <c r="D2060" s="2" t="str">
        <f t="shared" si="31"/>
        <v>Error?</v>
      </c>
    </row>
    <row r="2061" spans="1:4" x14ac:dyDescent="0.2">
      <c r="A2061" s="5">
        <v>2000</v>
      </c>
      <c r="B2061" s="138">
        <f>'Cap Outlay Deprec 26'!L16</f>
        <v>3441919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335290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335290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118750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1487920</v>
      </c>
      <c r="C2551" s="2" t="s">
        <v>594</v>
      </c>
      <c r="D2551" s="2" t="str">
        <f t="shared" si="38"/>
        <v>Error?</v>
      </c>
    </row>
    <row r="2552" spans="1:4" x14ac:dyDescent="0.2">
      <c r="A2552" s="10">
        <v>2491</v>
      </c>
      <c r="D2552" s="2" t="str">
        <f t="shared" si="38"/>
        <v>OK</v>
      </c>
    </row>
    <row r="2553" spans="1:4" x14ac:dyDescent="0.2">
      <c r="A2553" s="5">
        <v>2492</v>
      </c>
      <c r="B2553" s="138">
        <f>'Acct Summary 7-8'!C6</f>
        <v>1096665</v>
      </c>
      <c r="C2553" s="2" t="s">
        <v>594</v>
      </c>
      <c r="D2553" s="2" t="str">
        <f t="shared" si="38"/>
        <v>Error?</v>
      </c>
    </row>
    <row r="2554" spans="1:4" x14ac:dyDescent="0.2">
      <c r="A2554" s="5">
        <v>2493</v>
      </c>
      <c r="B2554" s="138">
        <f>'Acct Summary 7-8'!C7</f>
        <v>121993</v>
      </c>
      <c r="C2554" s="2" t="s">
        <v>594</v>
      </c>
      <c r="D2554" s="2" t="str">
        <f t="shared" si="38"/>
        <v>Error?</v>
      </c>
    </row>
    <row r="2555" spans="1:4" x14ac:dyDescent="0.2">
      <c r="A2555" s="5">
        <v>2494</v>
      </c>
      <c r="B2555" s="138">
        <f>'Acct Summary 7-8'!C8</f>
        <v>2706578</v>
      </c>
      <c r="C2555" s="2" t="s">
        <v>594</v>
      </c>
      <c r="D2555" s="2" t="str">
        <f t="shared" si="38"/>
        <v>Error?</v>
      </c>
    </row>
    <row r="2556" spans="1:4" x14ac:dyDescent="0.2">
      <c r="A2556" s="5">
        <v>2495</v>
      </c>
      <c r="B2556" s="138">
        <f>'Acct Summary 7-8'!C12</f>
        <v>1529939</v>
      </c>
      <c r="C2556" s="2" t="s">
        <v>594</v>
      </c>
      <c r="D2556" s="2" t="str">
        <f t="shared" si="38"/>
        <v>Error?</v>
      </c>
    </row>
    <row r="2557" spans="1:4" x14ac:dyDescent="0.2">
      <c r="A2557" s="5">
        <v>2496</v>
      </c>
      <c r="B2557" s="138">
        <f>'Acct Summary 7-8'!C13</f>
        <v>622331</v>
      </c>
      <c r="C2557" s="2" t="s">
        <v>594</v>
      </c>
      <c r="D2557" s="2" t="str">
        <f t="shared" si="38"/>
        <v>Error?</v>
      </c>
    </row>
    <row r="2558" spans="1:4" x14ac:dyDescent="0.2">
      <c r="A2558" s="5">
        <v>2497</v>
      </c>
      <c r="B2558" s="138">
        <f>'Acct Summary 7-8'!C14</f>
        <v>29907</v>
      </c>
      <c r="C2558" s="2" t="s">
        <v>594</v>
      </c>
      <c r="D2558" s="2" t="str">
        <f t="shared" si="38"/>
        <v>Error?</v>
      </c>
    </row>
    <row r="2559" spans="1:4" x14ac:dyDescent="0.2">
      <c r="A2559" s="5">
        <v>2498</v>
      </c>
      <c r="B2559" s="138">
        <f>'Acct Summary 7-8'!C15</f>
        <v>335290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2517467</v>
      </c>
      <c r="C2561" s="2" t="s">
        <v>594</v>
      </c>
      <c r="D2561" s="2" t="str">
        <f t="shared" si="39"/>
        <v>Error?</v>
      </c>
    </row>
    <row r="2562" spans="1:4" x14ac:dyDescent="0.2">
      <c r="A2562" s="5">
        <v>2501</v>
      </c>
      <c r="B2562" s="138">
        <f>'Acct Summary 7-8'!C20</f>
        <v>189111</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215055</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215055</v>
      </c>
      <c r="C2568" s="2" t="s">
        <v>594</v>
      </c>
      <c r="D2568" s="2" t="str">
        <f t="shared" si="39"/>
        <v>Error?</v>
      </c>
    </row>
    <row r="2569" spans="1:4" x14ac:dyDescent="0.2">
      <c r="A2569" s="5">
        <v>2508</v>
      </c>
      <c r="B2569" s="138">
        <f>'Acct Summary 7-8'!D13</f>
        <v>249129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249129</v>
      </c>
      <c r="C2573" s="2" t="s">
        <v>594</v>
      </c>
      <c r="D2573" s="2" t="str">
        <f t="shared" si="39"/>
        <v>Error?</v>
      </c>
    </row>
    <row r="2574" spans="1:4" x14ac:dyDescent="0.2">
      <c r="A2574" s="5">
        <v>2513</v>
      </c>
      <c r="B2574" s="138">
        <f>'Acct Summary 7-8'!D20</f>
        <v>-34074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86651</v>
      </c>
      <c r="C2591" s="2" t="s">
        <v>594</v>
      </c>
      <c r="D2591" s="2" t="str">
        <f t="shared" si="39"/>
        <v>Error?</v>
      </c>
    </row>
    <row r="2592" spans="1:4" x14ac:dyDescent="0.2">
      <c r="A2592" s="10">
        <v>2531</v>
      </c>
      <c r="D2592" s="2" t="str">
        <f t="shared" si="39"/>
        <v>OK</v>
      </c>
    </row>
    <row r="2593" spans="1:4" x14ac:dyDescent="0.2">
      <c r="A2593" s="5">
        <v>2532</v>
      </c>
      <c r="B2593" s="138">
        <f>'Acct Summary 7-8'!F6</f>
        <v>95445</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182096</v>
      </c>
      <c r="C2595" s="2" t="s">
        <v>594</v>
      </c>
      <c r="D2595" s="2" t="str">
        <f t="shared" si="39"/>
        <v>Error?</v>
      </c>
    </row>
    <row r="2596" spans="1:4" x14ac:dyDescent="0.2">
      <c r="A2596" s="5">
        <v>2535</v>
      </c>
      <c r="B2596" s="138">
        <f>'Acct Summary 7-8'!F13</f>
        <v>171625</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18352</v>
      </c>
      <c r="C2599" s="2" t="s">
        <v>594</v>
      </c>
      <c r="D2599" s="2" t="str">
        <f t="shared" si="39"/>
        <v>Error?</v>
      </c>
    </row>
    <row r="2600" spans="1:4" x14ac:dyDescent="0.2">
      <c r="A2600" s="5">
        <v>2539</v>
      </c>
      <c r="B2600" s="138">
        <f>'Acct Summary 7-8'!F17</f>
        <v>189977</v>
      </c>
      <c r="C2600" s="2" t="s">
        <v>594</v>
      </c>
      <c r="D2600" s="2" t="str">
        <f t="shared" si="39"/>
        <v>Error?</v>
      </c>
    </row>
    <row r="2601" spans="1:4" x14ac:dyDescent="0.2">
      <c r="A2601" s="5">
        <v>2540</v>
      </c>
      <c r="B2601" s="138">
        <f>'Acct Summary 7-8'!F20</f>
        <v>-7881</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107811</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107811</v>
      </c>
      <c r="C2606" s="2" t="s">
        <v>594</v>
      </c>
      <c r="D2606" s="2" t="str">
        <f t="shared" si="39"/>
        <v>Error?</v>
      </c>
    </row>
    <row r="2607" spans="1:4" x14ac:dyDescent="0.2">
      <c r="A2607" s="5">
        <v>2546</v>
      </c>
      <c r="B2607" s="138">
        <f>'Acct Summary 7-8'!G12</f>
        <v>28148</v>
      </c>
      <c r="C2607" s="2" t="s">
        <v>594</v>
      </c>
      <c r="D2607" s="2" t="str">
        <f t="shared" si="39"/>
        <v>Error?</v>
      </c>
    </row>
    <row r="2608" spans="1:4" x14ac:dyDescent="0.2">
      <c r="A2608" s="5">
        <v>2547</v>
      </c>
      <c r="B2608" s="138">
        <f>'Acct Summary 7-8'!G13</f>
        <v>67314</v>
      </c>
      <c r="C2608" s="2" t="s">
        <v>594</v>
      </c>
      <c r="D2608" s="2" t="str">
        <f t="shared" si="39"/>
        <v>Error?</v>
      </c>
    </row>
    <row r="2609" spans="1:4" x14ac:dyDescent="0.2">
      <c r="A2609" s="5">
        <v>2548</v>
      </c>
      <c r="B2609" s="138">
        <f>'Acct Summary 7-8'!G14</f>
        <v>1429</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96891</v>
      </c>
      <c r="C2612" s="2" t="s">
        <v>594</v>
      </c>
      <c r="D2612" s="2" t="str">
        <f t="shared" si="39"/>
        <v>Error?</v>
      </c>
    </row>
    <row r="2613" spans="1:4" x14ac:dyDescent="0.2">
      <c r="A2613" s="5">
        <v>2552</v>
      </c>
      <c r="B2613" s="138">
        <f>'Acct Summary 7-8'!G20</f>
        <v>10920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287845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287845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298614</v>
      </c>
      <c r="C2634" s="2" t="s">
        <v>594</v>
      </c>
      <c r="D2634" s="2" t="str">
        <f t="shared" si="40"/>
        <v>Error?</v>
      </c>
    </row>
    <row r="2635" spans="1:4" x14ac:dyDescent="0.2">
      <c r="A2635" s="5">
        <v>2574</v>
      </c>
      <c r="B2635" s="138">
        <f>'Acct Summary 7-8'!E17</f>
        <v>298614</v>
      </c>
      <c r="C2635" s="2" t="s">
        <v>594</v>
      </c>
      <c r="D2635" s="2" t="str">
        <f t="shared" si="40"/>
        <v>Error?</v>
      </c>
    </row>
    <row r="2636" spans="1:4" x14ac:dyDescent="0.2">
      <c r="A2636" s="5">
        <v>2575</v>
      </c>
      <c r="B2636" s="138">
        <f>'Acct Summary 7-8'!E20</f>
        <v>-10769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36127</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36127</v>
      </c>
      <c r="C2661" s="2" t="s">
        <v>594</v>
      </c>
      <c r="D2661" s="2" t="str">
        <f t="shared" si="40"/>
        <v>Error?</v>
      </c>
    </row>
    <row r="2662" spans="1:4" x14ac:dyDescent="0.2">
      <c r="A2662" s="5">
        <v>2601</v>
      </c>
      <c r="B2662" s="138">
        <f>'Acct Summary 7-8'!H20</f>
        <v>-36127</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2200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211968</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276972</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3480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71583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276972</v>
      </c>
      <c r="D2912" s="2" t="str">
        <f t="shared" si="44"/>
        <v>Error?</v>
      </c>
    </row>
    <row r="2913" spans="1:4" x14ac:dyDescent="0.2">
      <c r="A2913" s="5">
        <v>2852</v>
      </c>
      <c r="B2913" s="138">
        <f>'Assets-Liab 5-6'!I41</f>
        <v>276972</v>
      </c>
      <c r="C2913" s="2" t="s">
        <v>594</v>
      </c>
      <c r="D2913" s="2" t="str">
        <f t="shared" si="44"/>
        <v>Error?</v>
      </c>
    </row>
    <row r="2914" spans="1:4" x14ac:dyDescent="0.2">
      <c r="A2914" s="5">
        <v>2853</v>
      </c>
      <c r="B2914" s="138">
        <f>'Assets-Liab 5-6'!L33</f>
        <v>71583</v>
      </c>
      <c r="D2914" s="2" t="str">
        <f t="shared" si="44"/>
        <v>Error?</v>
      </c>
    </row>
    <row r="2915" spans="1:4" x14ac:dyDescent="0.2">
      <c r="A2915" s="10">
        <v>2854</v>
      </c>
      <c r="D2915" s="2" t="str">
        <f t="shared" si="44"/>
        <v>OK</v>
      </c>
    </row>
    <row r="2916" spans="1:4" x14ac:dyDescent="0.2">
      <c r="A2916" s="5">
        <v>2855</v>
      </c>
      <c r="B2916" s="138">
        <f>'Assets-Liab 5-6'!L34</f>
        <v>71583</v>
      </c>
      <c r="C2916" s="2" t="s">
        <v>594</v>
      </c>
      <c r="D2916" s="2" t="str">
        <f t="shared" si="44"/>
        <v>Error?</v>
      </c>
    </row>
    <row r="2917" spans="1:4" x14ac:dyDescent="0.2">
      <c r="A2917" s="5">
        <v>2856</v>
      </c>
      <c r="B2917" s="138">
        <f>'Assets-Liab 5-6'!L41</f>
        <v>71583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335290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335290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32926</v>
      </c>
      <c r="D3055" s="2" t="str">
        <f t="shared" si="46"/>
        <v>Error?</v>
      </c>
    </row>
    <row r="3056" spans="1:4" x14ac:dyDescent="0.2">
      <c r="A3056" s="5">
        <v>2995</v>
      </c>
      <c r="B3056" s="138">
        <f>'Expenditures 15-22'!D10</f>
        <v>2742</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35668</v>
      </c>
      <c r="C3062" s="2" t="s">
        <v>594</v>
      </c>
      <c r="D3062" s="2" t="str">
        <f t="shared" si="46"/>
        <v>Error?</v>
      </c>
    </row>
    <row r="3063" spans="1:4" x14ac:dyDescent="0.2">
      <c r="A3063" s="10">
        <v>3002</v>
      </c>
      <c r="D3063" s="2" t="str">
        <f t="shared" si="46"/>
        <v>OK</v>
      </c>
    </row>
    <row r="3064" spans="1:4" x14ac:dyDescent="0.2">
      <c r="A3064" s="5">
        <v>3003</v>
      </c>
      <c r="B3064" s="138">
        <f>'Expenditures 15-22'!D219</f>
        <v>2033</v>
      </c>
      <c r="D3064" s="2" t="str">
        <f t="shared" si="46"/>
        <v>Error?</v>
      </c>
    </row>
    <row r="3065" spans="1:4" x14ac:dyDescent="0.2">
      <c r="A3065" s="5">
        <v>3004</v>
      </c>
      <c r="B3065" s="138">
        <f>'Expenditures 15-22'!K219</f>
        <v>2033</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21767</v>
      </c>
      <c r="C3225" s="2" t="s">
        <v>594</v>
      </c>
      <c r="D3225" s="2" t="str">
        <f t="shared" si="49"/>
        <v>Error?</v>
      </c>
    </row>
    <row r="3226" spans="1:4" x14ac:dyDescent="0.2">
      <c r="A3226" s="5">
        <v>3165</v>
      </c>
      <c r="B3226" s="138">
        <f>'Acct Summary 7-8'!I8</f>
        <v>21767</v>
      </c>
      <c r="C3226" s="2" t="s">
        <v>594</v>
      </c>
      <c r="D3226" s="2" t="str">
        <f t="shared" si="49"/>
        <v>Error?</v>
      </c>
    </row>
    <row r="3227" spans="1:4" x14ac:dyDescent="0.2">
      <c r="A3227" s="5">
        <v>3166</v>
      </c>
      <c r="B3227" s="138">
        <f>'Acct Summary 7-8'!I20</f>
        <v>21767</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189111</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-34074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-7881</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10920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10111</v>
      </c>
      <c r="D3273" s="2" t="str">
        <f t="shared" si="50"/>
        <v>Error?</v>
      </c>
    </row>
    <row r="3274" spans="1:4" x14ac:dyDescent="0.2">
      <c r="A3274" s="5">
        <v>3213</v>
      </c>
      <c r="B3274" s="138">
        <f>'Acct Summary 7-8'!E44</f>
        <v>10111</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10111</v>
      </c>
      <c r="C3277" s="2" t="s">
        <v>594</v>
      </c>
      <c r="D3277" s="2" t="str">
        <f t="shared" si="50"/>
        <v>Error?</v>
      </c>
    </row>
    <row r="3278" spans="1:4" x14ac:dyDescent="0.2">
      <c r="A3278" s="5">
        <v>3217</v>
      </c>
      <c r="B3278" s="138">
        <f>'Acct Summary 7-8'!E78</f>
        <v>-658</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10111</v>
      </c>
      <c r="D3297" s="2" t="str">
        <f t="shared" si="50"/>
        <v>Error?</v>
      </c>
    </row>
    <row r="3298" spans="1:4" x14ac:dyDescent="0.2">
      <c r="A3298" s="5">
        <v>3237</v>
      </c>
      <c r="B3298" s="138">
        <f>'Acct Summary 7-8'!H76</f>
        <v>10111</v>
      </c>
      <c r="C3298" s="2" t="s">
        <v>594</v>
      </c>
      <c r="D3298" s="2" t="str">
        <f t="shared" si="50"/>
        <v>Error?</v>
      </c>
    </row>
    <row r="3299" spans="1:4" x14ac:dyDescent="0.2">
      <c r="A3299" s="5">
        <v>3238</v>
      </c>
      <c r="B3299" s="138">
        <f>'Acct Summary 7-8'!H77</f>
        <v>-10111</v>
      </c>
      <c r="C3299" s="2" t="s">
        <v>594</v>
      </c>
      <c r="D3299" s="2" t="str">
        <f t="shared" si="50"/>
        <v>Error?</v>
      </c>
    </row>
    <row r="3300" spans="1:4" x14ac:dyDescent="0.2">
      <c r="A3300" s="5">
        <v>3239</v>
      </c>
      <c r="B3300" s="138">
        <f>'Acct Summary 7-8'!H78</f>
        <v>-46238</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21767</v>
      </c>
      <c r="C3320" s="2" t="s">
        <v>594</v>
      </c>
      <c r="D3320" s="2" t="str">
        <f t="shared" si="50"/>
        <v>Error?</v>
      </c>
    </row>
    <row r="3321" spans="1:4" x14ac:dyDescent="0.2">
      <c r="A3321" s="5">
        <v>3260</v>
      </c>
      <c r="B3321" s="138">
        <f>'Acct Summary 7-8'!I79</f>
        <v>255205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276972</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11596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147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217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120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1632</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13712</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18409</v>
      </c>
      <c r="D3387" s="2" t="str">
        <f t="shared" si="51"/>
        <v>Error?</v>
      </c>
    </row>
    <row r="3388" spans="1:4" x14ac:dyDescent="0.2">
      <c r="A3388" s="5">
        <v>3327</v>
      </c>
      <c r="B3388" s="138">
        <f>'Expenditures 15-22'!D217</f>
        <v>250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18409</v>
      </c>
      <c r="C3390" s="2" t="s">
        <v>594</v>
      </c>
      <c r="D3390" s="2" t="str">
        <f t="shared" si="51"/>
        <v>Error?</v>
      </c>
    </row>
    <row r="3391" spans="1:4" x14ac:dyDescent="0.2">
      <c r="A3391" s="5">
        <v>3330</v>
      </c>
      <c r="B3391" s="138">
        <f>'Expenditures 15-22'!K217</f>
        <v>250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220438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23378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8856</v>
      </c>
      <c r="D3417" s="2" t="str">
        <f t="shared" si="52"/>
        <v>Error?</v>
      </c>
    </row>
    <row r="3418" spans="1:4" x14ac:dyDescent="0.2">
      <c r="A3418" s="10">
        <v>3357</v>
      </c>
      <c r="D3418" s="2" t="str">
        <f t="shared" si="52"/>
        <v>OK</v>
      </c>
    </row>
    <row r="3419" spans="1:4" x14ac:dyDescent="0.2">
      <c r="A3419" s="5">
        <v>3358</v>
      </c>
      <c r="B3419" s="138">
        <f>'Assets-Liab 5-6'!F4</f>
        <v>131290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68349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118750</v>
      </c>
      <c r="D3425" s="2" t="str">
        <f t="shared" si="52"/>
        <v>Error?</v>
      </c>
    </row>
    <row r="3426" spans="1:4" x14ac:dyDescent="0.2">
      <c r="A3426" s="10">
        <v>3365</v>
      </c>
      <c r="D3426" s="2" t="str">
        <f t="shared" si="52"/>
        <v>OK</v>
      </c>
    </row>
    <row r="3427" spans="1:4" x14ac:dyDescent="0.2">
      <c r="A3427" s="5">
        <v>3366</v>
      </c>
      <c r="B3427" s="138">
        <f>'Assets-Liab 5-6'!I4</f>
        <v>65004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68103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74861</v>
      </c>
      <c r="C3446" s="2" t="s">
        <v>594</v>
      </c>
      <c r="D3446" s="2" t="str">
        <f t="shared" si="52"/>
        <v>Error?</v>
      </c>
    </row>
    <row r="3447" spans="1:4" x14ac:dyDescent="0.2">
      <c r="A3447" s="5">
        <v>3386</v>
      </c>
      <c r="B3447" s="138">
        <f>'Tax Sched 23'!D16</f>
        <v>74861</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75000</v>
      </c>
      <c r="C3449" s="2" t="s">
        <v>594</v>
      </c>
      <c r="D3449" s="2" t="str">
        <f t="shared" si="52"/>
        <v>Error?</v>
      </c>
    </row>
    <row r="3450" spans="1:4" x14ac:dyDescent="0.2">
      <c r="A3450" s="5">
        <v>3389</v>
      </c>
      <c r="B3450" s="138">
        <f>'Tax Sched 23'!E16</f>
        <v>75000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2200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2200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2200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15695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11747</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27442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27442</v>
      </c>
      <c r="D3567" s="2" t="str">
        <f t="shared" si="54"/>
        <v>Error?</v>
      </c>
    </row>
    <row r="3568" spans="1:4" x14ac:dyDescent="0.2">
      <c r="A3568" s="5">
        <v>3507</v>
      </c>
      <c r="B3568" s="138">
        <f>'Assets-Liab 5-6'!K41</f>
        <v>27442</v>
      </c>
      <c r="C3568" s="2" t="s">
        <v>594</v>
      </c>
      <c r="D3568" s="2" t="str">
        <f t="shared" si="54"/>
        <v>Error?</v>
      </c>
    </row>
    <row r="3569" spans="1:4" x14ac:dyDescent="0.2">
      <c r="A3569" s="5">
        <v>3508</v>
      </c>
      <c r="B3569" s="138">
        <f>'Acct Summary 7-8'!K4</f>
        <v>21497</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21497</v>
      </c>
      <c r="C3571" s="2" t="s">
        <v>594</v>
      </c>
      <c r="D3571" s="2" t="str">
        <f t="shared" si="54"/>
        <v>Error?</v>
      </c>
    </row>
    <row r="3572" spans="1:4" x14ac:dyDescent="0.2">
      <c r="A3572" s="5">
        <v>3511</v>
      </c>
      <c r="B3572" s="138">
        <f>'Acct Summary 7-8'!K13</f>
        <v>9383</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9383</v>
      </c>
      <c r="C3575" s="2" t="s">
        <v>594</v>
      </c>
      <c r="D3575" s="2" t="str">
        <f t="shared" si="54"/>
        <v>Error?</v>
      </c>
    </row>
    <row r="3576" spans="1:4" x14ac:dyDescent="0.2">
      <c r="A3576" s="5">
        <v>3515</v>
      </c>
      <c r="B3576" s="138">
        <f>'Acct Summary 7-8'!K20</f>
        <v>12114</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12114</v>
      </c>
      <c r="C3588" s="2" t="s">
        <v>594</v>
      </c>
      <c r="D3588" s="2" t="str">
        <f t="shared" si="55"/>
        <v>Error?</v>
      </c>
    </row>
    <row r="3589" spans="1:4" x14ac:dyDescent="0.2">
      <c r="A3589" s="5">
        <v>3528</v>
      </c>
      <c r="B3589" s="138">
        <f>'Acct Summary 7-8'!K79</f>
        <v>15328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27442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8590</v>
      </c>
      <c r="D3632" s="2" t="str">
        <f t="shared" si="55"/>
        <v>Error?</v>
      </c>
    </row>
    <row r="3633" spans="1:4" x14ac:dyDescent="0.2">
      <c r="A3633" s="5">
        <v>3572</v>
      </c>
      <c r="B3633" s="138">
        <f>'Expenditures 15-22'!E350</f>
        <v>8590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8590</v>
      </c>
      <c r="C3635" s="2" t="s">
        <v>594</v>
      </c>
      <c r="D3635" s="2" t="str">
        <f t="shared" si="55"/>
        <v>Error?</v>
      </c>
    </row>
    <row r="3636" spans="1:4" x14ac:dyDescent="0.2">
      <c r="A3636" s="5">
        <v>3575</v>
      </c>
      <c r="B3636" s="138">
        <f>'Expenditures 15-22'!E367</f>
        <v>8590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793</v>
      </c>
      <c r="D3639" s="2" t="str">
        <f t="shared" si="55"/>
        <v>Error?</v>
      </c>
    </row>
    <row r="3640" spans="1:4" x14ac:dyDescent="0.2">
      <c r="A3640" s="5">
        <v>3579</v>
      </c>
      <c r="B3640" s="138">
        <f>'Expenditures 15-22'!F350</f>
        <v>793</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793</v>
      </c>
      <c r="C3642" s="2" t="s">
        <v>594</v>
      </c>
      <c r="D3642" s="2" t="str">
        <f t="shared" si="55"/>
        <v>Error?</v>
      </c>
    </row>
    <row r="3643" spans="1:4" x14ac:dyDescent="0.2">
      <c r="A3643" s="5">
        <v>3582</v>
      </c>
      <c r="B3643" s="138">
        <f>'Expenditures 15-22'!F367</f>
        <v>793</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9383</v>
      </c>
      <c r="C3669" s="2" t="s">
        <v>594</v>
      </c>
      <c r="D3669" s="2" t="str">
        <f t="shared" si="56"/>
        <v>Error?</v>
      </c>
    </row>
    <row r="3670" spans="1:4" x14ac:dyDescent="0.2">
      <c r="A3670" s="5">
        <v>3609</v>
      </c>
      <c r="B3670" s="138">
        <f>'Expenditures 15-22'!K350</f>
        <v>9383</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9383</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9383</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12114</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21941</v>
      </c>
      <c r="C3725" s="2" t="s">
        <v>594</v>
      </c>
      <c r="D3725" s="2" t="str">
        <f t="shared" si="57"/>
        <v>Error?</v>
      </c>
    </row>
    <row r="3726" spans="1:4" x14ac:dyDescent="0.2">
      <c r="A3726" s="5">
        <v>3665</v>
      </c>
      <c r="B3726" s="138">
        <f>'Tax Sched 23'!D13</f>
        <v>21941</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22385</v>
      </c>
      <c r="C3728" s="2" t="s">
        <v>594</v>
      </c>
      <c r="D3728" s="2" t="str">
        <f t="shared" si="57"/>
        <v>Error?</v>
      </c>
    </row>
    <row r="3729" spans="1:4" x14ac:dyDescent="0.2">
      <c r="A3729" s="5">
        <v>3668</v>
      </c>
      <c r="B3729" s="138">
        <f>'Tax Sched 23'!E13</f>
        <v>22385</v>
      </c>
      <c r="D3729" s="2" t="str">
        <f t="shared" si="57"/>
        <v>Error?</v>
      </c>
    </row>
    <row r="3730" spans="1:4" x14ac:dyDescent="0.2">
      <c r="A3730" s="5">
        <v>3669</v>
      </c>
      <c r="B3730" s="138">
        <f>'ICR Computation 30'!E10</f>
        <v>77368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1038391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3744969</v>
      </c>
      <c r="C4122" s="2" t="s">
        <v>594</v>
      </c>
      <c r="D4122" s="2" t="str">
        <f t="shared" si="63"/>
        <v>Error?</v>
      </c>
    </row>
    <row r="4123" spans="1:4" x14ac:dyDescent="0.2">
      <c r="A4123" s="5">
        <v>4062</v>
      </c>
      <c r="B4123" s="138">
        <f>'Acct Summary 7-8'!D10</f>
        <v>215055</v>
      </c>
      <c r="C4123" s="2" t="s">
        <v>594</v>
      </c>
      <c r="D4123" s="2" t="str">
        <f t="shared" si="63"/>
        <v>Error?</v>
      </c>
    </row>
    <row r="4124" spans="1:4" x14ac:dyDescent="0.2">
      <c r="A4124" s="5">
        <v>4063</v>
      </c>
      <c r="B4124" s="138">
        <f>'Acct Summary 7-8'!E10</f>
        <v>287845</v>
      </c>
      <c r="C4124" s="2" t="s">
        <v>594</v>
      </c>
      <c r="D4124" s="2" t="str">
        <f t="shared" si="63"/>
        <v>Error?</v>
      </c>
    </row>
    <row r="4125" spans="1:4" x14ac:dyDescent="0.2">
      <c r="A4125" s="5">
        <v>4064</v>
      </c>
      <c r="B4125" s="138">
        <f>'Acct Summary 7-8'!F10</f>
        <v>182096</v>
      </c>
      <c r="C4125" s="2" t="s">
        <v>594</v>
      </c>
      <c r="D4125" s="2" t="str">
        <f t="shared" si="63"/>
        <v>Error?</v>
      </c>
    </row>
    <row r="4126" spans="1:4" x14ac:dyDescent="0.2">
      <c r="A4126" s="5">
        <v>4065</v>
      </c>
      <c r="B4126" s="138">
        <f>'Acct Summary 7-8'!G10</f>
        <v>107811</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21767</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21497</v>
      </c>
      <c r="C4130" s="2" t="s">
        <v>594</v>
      </c>
      <c r="D4130" s="2" t="str">
        <f t="shared" si="63"/>
        <v>Error?</v>
      </c>
    </row>
    <row r="4131" spans="1:4" x14ac:dyDescent="0.2">
      <c r="A4131" s="5">
        <v>4070</v>
      </c>
      <c r="B4131" s="138">
        <f>'Acct Summary 7-8'!C18</f>
        <v>1038391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3555858</v>
      </c>
      <c r="C4136" s="2" t="s">
        <v>594</v>
      </c>
      <c r="D4136" s="2" t="str">
        <f t="shared" si="63"/>
        <v>Error?</v>
      </c>
    </row>
    <row r="4137" spans="1:4" x14ac:dyDescent="0.2">
      <c r="A4137" s="5">
        <v>4076</v>
      </c>
      <c r="B4137" s="138">
        <f>'Acct Summary 7-8'!D19</f>
        <v>249129</v>
      </c>
      <c r="C4137" s="2" t="s">
        <v>594</v>
      </c>
      <c r="D4137" s="2" t="str">
        <f t="shared" si="63"/>
        <v>Error?</v>
      </c>
    </row>
    <row r="4138" spans="1:4" x14ac:dyDescent="0.2">
      <c r="A4138" s="5">
        <v>4077</v>
      </c>
      <c r="B4138" s="138">
        <f>'Acct Summary 7-8'!E19</f>
        <v>298614</v>
      </c>
      <c r="C4138" s="2" t="s">
        <v>594</v>
      </c>
      <c r="D4138" s="2" t="str">
        <f t="shared" si="63"/>
        <v>Error?</v>
      </c>
    </row>
    <row r="4139" spans="1:4" x14ac:dyDescent="0.2">
      <c r="A4139" s="5">
        <v>4078</v>
      </c>
      <c r="B4139" s="138">
        <f>'Acct Summary 7-8'!F19</f>
        <v>189977</v>
      </c>
      <c r="C4139" s="2" t="s">
        <v>594</v>
      </c>
      <c r="D4139" s="2" t="str">
        <f t="shared" si="63"/>
        <v>Error?</v>
      </c>
    </row>
    <row r="4140" spans="1:4" x14ac:dyDescent="0.2">
      <c r="A4140" s="5">
        <v>4079</v>
      </c>
      <c r="B4140" s="138">
        <f>'Acct Summary 7-8'!G19</f>
        <v>96891</v>
      </c>
      <c r="C4140" s="2" t="s">
        <v>594</v>
      </c>
      <c r="D4140" s="2" t="str">
        <f t="shared" si="63"/>
        <v>Error?</v>
      </c>
    </row>
    <row r="4141" spans="1:4" x14ac:dyDescent="0.2">
      <c r="A4141" s="5">
        <v>4080</v>
      </c>
      <c r="B4141" s="138">
        <f>'Acct Summary 7-8'!H19</f>
        <v>36127</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9383</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1816071</v>
      </c>
      <c r="C4171" s="2" t="s">
        <v>594</v>
      </c>
      <c r="D4171" s="2" t="str">
        <f t="shared" si="64"/>
        <v>Error?</v>
      </c>
    </row>
    <row r="4172" spans="1:4" x14ac:dyDescent="0.2">
      <c r="A4172" s="5">
        <v>4111</v>
      </c>
      <c r="B4172" s="138">
        <f>'Short-Term Long-Term Debt 24'!J49</f>
        <v>1807214</v>
      </c>
      <c r="C4172" s="2" t="s">
        <v>594</v>
      </c>
      <c r="D4172" s="2" t="str">
        <f t="shared" si="64"/>
        <v>Error?</v>
      </c>
    </row>
    <row r="4173" spans="1:4" x14ac:dyDescent="0.2">
      <c r="A4173" s="5">
        <v>4112</v>
      </c>
      <c r="B4173" s="138">
        <f>'Short-Term Long-Term Debt 24'!H49</f>
        <v>210777</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15777</v>
      </c>
      <c r="D4210" s="2" t="str">
        <f t="shared" si="64"/>
        <v>Error?</v>
      </c>
    </row>
    <row r="4211" spans="1:4" x14ac:dyDescent="0.2">
      <c r="A4211" s="5">
        <v>4150</v>
      </c>
      <c r="B4211" s="138">
        <f>'Expenditures 15-22'!K206</f>
        <v>15777</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3000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3700</v>
      </c>
      <c r="C4268" s="2" t="s">
        <v>594</v>
      </c>
      <c r="D4268" s="2" t="str">
        <f t="shared" si="65"/>
        <v>Error?</v>
      </c>
    </row>
    <row r="4269" spans="1:5" x14ac:dyDescent="0.2">
      <c r="A4269" s="12">
        <v>4208</v>
      </c>
      <c r="B4269" s="138">
        <f>'FP Info 3'!J16</f>
        <v>965496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18259</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18259</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2509</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1845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750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44770727</v>
      </c>
      <c r="D4995" s="2" t="str">
        <f t="shared" si="77"/>
        <v>Error?</v>
      </c>
    </row>
    <row r="4996" spans="1:4" x14ac:dyDescent="0.2">
      <c r="A4996" s="12">
        <v>4935</v>
      </c>
      <c r="B4996" s="138">
        <f>'FP Info 3'!H31</f>
        <v>6178360.3260000004</v>
      </c>
      <c r="D4996" s="2" t="str">
        <f t="shared" si="77"/>
        <v>Error?</v>
      </c>
    </row>
    <row r="4997" spans="1:4" x14ac:dyDescent="0.2">
      <c r="A4997" s="12">
        <v>4936</v>
      </c>
      <c r="B4997" s="138">
        <f>'FP Info 3'!H37</f>
        <v>1816071</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21941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1283917</v>
      </c>
      <c r="D5061" s="2" t="str">
        <f t="shared" si="78"/>
        <v>Error?</v>
      </c>
    </row>
    <row r="5062" spans="1:4" x14ac:dyDescent="0.2">
      <c r="A5062" s="10">
        <v>5001</v>
      </c>
      <c r="D5062" s="2" t="str">
        <f t="shared" si="78"/>
        <v>OK</v>
      </c>
    </row>
    <row r="5063" spans="1:4" x14ac:dyDescent="0.2">
      <c r="A5063" s="5">
        <v>5002</v>
      </c>
      <c r="B5063" s="138">
        <f>'Revenues 9-14'!C7</f>
        <v>17120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1322978</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63292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63292</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4444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4444</v>
      </c>
      <c r="C5090" s="2" t="s">
        <v>594</v>
      </c>
      <c r="D5090" s="2" t="str">
        <f t="shared" si="78"/>
        <v>Error?</v>
      </c>
    </row>
    <row r="5091" spans="1:4" x14ac:dyDescent="0.2">
      <c r="A5091" s="5">
        <v>5030</v>
      </c>
      <c r="B5091" s="138">
        <f>'Revenues 9-14'!C70</f>
        <v>5064</v>
      </c>
      <c r="D5091" s="2" t="str">
        <f t="shared" si="78"/>
        <v>Error?</v>
      </c>
    </row>
    <row r="5092" spans="1:4" x14ac:dyDescent="0.2">
      <c r="A5092" s="5">
        <v>5031</v>
      </c>
      <c r="B5092" s="138">
        <f>'Revenues 9-14'!C71</f>
        <v>5569</v>
      </c>
      <c r="D5092" s="2" t="str">
        <f t="shared" si="78"/>
        <v>Error?</v>
      </c>
    </row>
    <row r="5093" spans="1:4" x14ac:dyDescent="0.2">
      <c r="A5093" s="5">
        <v>5032</v>
      </c>
      <c r="B5093" s="138">
        <f>'Revenues 9-14'!C72</f>
        <v>908</v>
      </c>
      <c r="D5093" s="2" t="str">
        <f t="shared" si="78"/>
        <v>Error?</v>
      </c>
    </row>
    <row r="5094" spans="1:4" x14ac:dyDescent="0.2">
      <c r="A5094" s="5">
        <v>5033</v>
      </c>
      <c r="B5094" s="138">
        <f>'Revenues 9-14'!C73</f>
        <v>1721</v>
      </c>
      <c r="D5094" s="2" t="str">
        <f t="shared" si="78"/>
        <v>Error?</v>
      </c>
    </row>
    <row r="5095" spans="1:4" x14ac:dyDescent="0.2">
      <c r="A5095" s="5">
        <v>5034</v>
      </c>
      <c r="B5095" s="138">
        <f>'Revenues 9-14'!C74</f>
        <v>15</v>
      </c>
      <c r="D5095" s="2" t="str">
        <f t="shared" si="78"/>
        <v>Error?</v>
      </c>
    </row>
    <row r="5096" spans="1:4" x14ac:dyDescent="0.2">
      <c r="A5096" s="5">
        <v>5035</v>
      </c>
      <c r="B5096" s="138">
        <f>'Revenues 9-14'!C75</f>
        <v>39760</v>
      </c>
      <c r="C5096" s="2" t="s">
        <v>594</v>
      </c>
      <c r="D5096" s="2" t="str">
        <f t="shared" si="78"/>
        <v>Error?</v>
      </c>
    </row>
    <row r="5097" spans="1:4" x14ac:dyDescent="0.2">
      <c r="A5097" s="5">
        <v>5036</v>
      </c>
      <c r="B5097" s="138">
        <f>'Revenues 9-14'!C77</f>
        <v>11854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3416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8065</v>
      </c>
      <c r="D5101" s="2" t="str">
        <f t="shared" si="78"/>
        <v>Error?</v>
      </c>
    </row>
    <row r="5102" spans="1:4" x14ac:dyDescent="0.2">
      <c r="A5102" s="5">
        <v>5041</v>
      </c>
      <c r="B5102" s="138">
        <f>'Revenues 9-14'!C82</f>
        <v>23335</v>
      </c>
      <c r="C5102" s="2" t="s">
        <v>594</v>
      </c>
      <c r="D5102" s="2" t="str">
        <f t="shared" si="78"/>
        <v>Error?</v>
      </c>
    </row>
    <row r="5103" spans="1:4" x14ac:dyDescent="0.2">
      <c r="A5103" s="5">
        <v>5042</v>
      </c>
      <c r="B5103" s="138">
        <f>'Revenues 9-14'!C84</f>
        <v>14377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14377</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7386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11232</v>
      </c>
      <c r="D5119" s="2" t="str">
        <f t="shared" ref="D5119:D5182" si="79">IF(ISBLANK(B5119),"OK",IF(A5119-B5119=0,"OK","Error?"))</f>
        <v>Error?</v>
      </c>
    </row>
    <row r="5120" spans="1:4" x14ac:dyDescent="0.2">
      <c r="A5120" s="5">
        <v>5059</v>
      </c>
      <c r="B5120" s="138">
        <f>'Revenues 9-14'!C108</f>
        <v>19734</v>
      </c>
      <c r="C5120" s="2" t="s">
        <v>594</v>
      </c>
      <c r="D5120" s="2" t="str">
        <f t="shared" si="79"/>
        <v>Error?</v>
      </c>
    </row>
    <row r="5121" spans="1:4" x14ac:dyDescent="0.2">
      <c r="A5121" s="5">
        <v>5060</v>
      </c>
      <c r="B5121" s="138">
        <f>'Revenues 9-14'!C109</f>
        <v>1487920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800204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800204</v>
      </c>
      <c r="C5132" s="2" t="s">
        <v>594</v>
      </c>
      <c r="D5132" s="2" t="str">
        <f t="shared" si="79"/>
        <v>Error?</v>
      </c>
    </row>
    <row r="5133" spans="1:4" x14ac:dyDescent="0.2">
      <c r="A5133" s="5">
        <v>5072</v>
      </c>
      <c r="B5133" s="138">
        <f>'Revenues 9-14'!C124</f>
        <v>61644</v>
      </c>
      <c r="D5133" s="2" t="str">
        <f t="shared" si="79"/>
        <v>Error?</v>
      </c>
    </row>
    <row r="5134" spans="1:4" x14ac:dyDescent="0.2">
      <c r="A5134" s="5">
        <v>5073</v>
      </c>
      <c r="B5134" s="138">
        <f>'Revenues 9-14'!C125</f>
        <v>19956</v>
      </c>
      <c r="D5134" s="2" t="str">
        <f t="shared" si="79"/>
        <v>Error?</v>
      </c>
    </row>
    <row r="5135" spans="1:4" x14ac:dyDescent="0.2">
      <c r="A5135" s="5">
        <v>5074</v>
      </c>
      <c r="B5135" s="138">
        <f>'Revenues 9-14'!C126</f>
        <v>30050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111650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2017</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6127</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984</v>
      </c>
      <c r="D5167" s="2" t="str">
        <f t="shared" si="79"/>
        <v>Error?</v>
      </c>
    </row>
    <row r="5168" spans="1:4" x14ac:dyDescent="0.2">
      <c r="A5168" s="5">
        <v>5107</v>
      </c>
      <c r="B5168" s="138">
        <f>'Revenues 9-14'!C147</f>
        <v>4611</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172339</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296461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1096665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48899</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16004</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64903</v>
      </c>
      <c r="C5246" s="2" t="s">
        <v>594</v>
      </c>
      <c r="D5246" s="2" t="str">
        <f t="shared" si="80"/>
        <v>Error?</v>
      </c>
    </row>
    <row r="5247" spans="1:4" x14ac:dyDescent="0.2">
      <c r="A5247" s="5">
        <v>5186</v>
      </c>
      <c r="B5247" s="138">
        <f>'Revenues 9-14'!C203</f>
        <v>34477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2509</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34477</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121993</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121993</v>
      </c>
      <c r="C5326" s="2" t="s">
        <v>594</v>
      </c>
      <c r="D5326" s="2" t="str">
        <f t="shared" si="82"/>
        <v>Error?</v>
      </c>
    </row>
    <row r="5327" spans="1:4" x14ac:dyDescent="0.2">
      <c r="A5327" s="5">
        <v>5266</v>
      </c>
      <c r="B5327" s="138">
        <f>'Revenues 9-14'!C275</f>
        <v>2706578</v>
      </c>
      <c r="C5327" s="2" t="s">
        <v>594</v>
      </c>
      <c r="D5327" s="2" t="str">
        <f t="shared" si="82"/>
        <v>Error?</v>
      </c>
    </row>
    <row r="5328" spans="1:4" x14ac:dyDescent="0.2">
      <c r="A5328" s="5">
        <v>5267</v>
      </c>
      <c r="B5328" s="138">
        <f>'Revenues 9-14'!D5</f>
        <v>213999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213999</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1056</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1056</v>
      </c>
      <c r="C5355" s="2" t="s">
        <v>594</v>
      </c>
      <c r="D5355" s="2" t="str">
        <f t="shared" si="82"/>
        <v>Error?</v>
      </c>
    </row>
    <row r="5356" spans="1:4" x14ac:dyDescent="0.2">
      <c r="A5356" s="5">
        <v>5295</v>
      </c>
      <c r="B5356" s="138">
        <f>'Revenues 9-14'!D109</f>
        <v>215055</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215055</v>
      </c>
      <c r="C5508" s="2" t="s">
        <v>594</v>
      </c>
      <c r="D5508" s="2" t="str">
        <f t="shared" si="85"/>
        <v>Error?</v>
      </c>
    </row>
    <row r="5509" spans="1:4" x14ac:dyDescent="0.2">
      <c r="A5509" s="5">
        <v>5448</v>
      </c>
      <c r="B5509" s="138">
        <f>'Revenues 9-14'!E5</f>
        <v>157956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157956</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129889</v>
      </c>
      <c r="C5526" s="2" t="s">
        <v>594</v>
      </c>
      <c r="D5526" s="2" t="str">
        <f t="shared" si="85"/>
        <v>Error?</v>
      </c>
    </row>
    <row r="5527" spans="1:4" x14ac:dyDescent="0.2">
      <c r="A5527" s="5">
        <v>5466</v>
      </c>
      <c r="B5527" s="138">
        <f>'Revenues 9-14'!E109</f>
        <v>287845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287845</v>
      </c>
      <c r="C5552" s="2" t="s">
        <v>594</v>
      </c>
      <c r="D5552" s="2" t="str">
        <f t="shared" si="85"/>
        <v>Error?</v>
      </c>
    </row>
    <row r="5553" spans="1:4" x14ac:dyDescent="0.2">
      <c r="A5553" s="5">
        <v>5492</v>
      </c>
      <c r="B5553" s="138">
        <f>'Revenues 9-14'!F5</f>
        <v>85600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85600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1049</v>
      </c>
      <c r="D5586" s="2" t="str">
        <f t="shared" si="86"/>
        <v>Error?</v>
      </c>
    </row>
    <row r="5587" spans="1:4" x14ac:dyDescent="0.2">
      <c r="A5587" s="5">
        <v>5526</v>
      </c>
      <c r="B5587" s="138">
        <f>'Revenues 9-14'!F108</f>
        <v>1049</v>
      </c>
      <c r="C5587" s="2" t="s">
        <v>594</v>
      </c>
      <c r="D5587" s="2" t="str">
        <f t="shared" si="86"/>
        <v>Error?</v>
      </c>
    </row>
    <row r="5588" spans="1:4" x14ac:dyDescent="0.2">
      <c r="A5588" s="5">
        <v>5527</v>
      </c>
      <c r="B5588" s="138">
        <f>'Revenues 9-14'!F109</f>
        <v>86651</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32017</v>
      </c>
      <c r="D5615" s="2" t="str">
        <f t="shared" si="86"/>
        <v>Error?</v>
      </c>
    </row>
    <row r="5616" spans="1:4" x14ac:dyDescent="0.2">
      <c r="A5616" s="10">
        <v>5555</v>
      </c>
      <c r="D5616" s="2" t="str">
        <f t="shared" si="86"/>
        <v>OK</v>
      </c>
    </row>
    <row r="5617" spans="1:4" x14ac:dyDescent="0.2">
      <c r="A5617" s="5">
        <v>5556</v>
      </c>
      <c r="B5617" s="138">
        <f>'Revenues 9-14'!F152</f>
        <v>50759</v>
      </c>
      <c r="D5617" s="2" t="str">
        <f t="shared" si="86"/>
        <v>Error?</v>
      </c>
    </row>
    <row r="5618" spans="1:4" x14ac:dyDescent="0.2">
      <c r="A5618" s="5">
        <v>5557</v>
      </c>
      <c r="B5618" s="138">
        <f>'Revenues 9-14'!F154</f>
        <v>82776</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12669</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95445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95445</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182096</v>
      </c>
      <c r="C5720" s="2" t="s">
        <v>594</v>
      </c>
      <c r="D5720" s="2" t="str">
        <f t="shared" si="88"/>
        <v>Error?</v>
      </c>
    </row>
    <row r="5721" spans="1:4" x14ac:dyDescent="0.2">
      <c r="A5721" s="5">
        <v>5660</v>
      </c>
      <c r="B5721" s="138">
        <f>'Revenues 9-14'!G5</f>
        <v>29947</v>
      </c>
      <c r="D5721" s="2" t="str">
        <f t="shared" si="88"/>
        <v>Error?</v>
      </c>
    </row>
    <row r="5722" spans="1:4" x14ac:dyDescent="0.2">
      <c r="A5722" s="5">
        <v>5661</v>
      </c>
      <c r="B5722" s="138">
        <f>'Revenues 9-14'!G7</f>
        <v>0</v>
      </c>
      <c r="D5722" s="2" t="str">
        <f t="shared" si="88"/>
        <v>Error?</v>
      </c>
    </row>
    <row r="5723" spans="1:4" x14ac:dyDescent="0.2">
      <c r="A5723" s="5">
        <v>5662</v>
      </c>
      <c r="B5723" s="138">
        <f>'Revenues 9-14'!G8</f>
        <v>74861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104808</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3000</v>
      </c>
      <c r="C5730" s="2" t="s">
        <v>594</v>
      </c>
      <c r="D5730" s="2" t="str">
        <f t="shared" si="88"/>
        <v>Error?</v>
      </c>
    </row>
    <row r="5731" spans="1:4" x14ac:dyDescent="0.2">
      <c r="A5731" s="5">
        <v>5670</v>
      </c>
      <c r="B5731" s="138">
        <f>'Revenues 9-14'!G65</f>
        <v>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107811</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21400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21400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367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367</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21767</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21400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21400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97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97</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21497</v>
      </c>
      <c r="C6023" s="2" t="s">
        <v>594</v>
      </c>
      <c r="D6023" s="2" t="str">
        <f t="shared" si="93"/>
        <v>Error?</v>
      </c>
    </row>
    <row r="6024" spans="1:5" x14ac:dyDescent="0.2">
      <c r="A6024" s="5">
        <v>5963</v>
      </c>
      <c r="B6024" s="138">
        <f>'Revenues 9-14'!G109</f>
        <v>107811</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21767</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21497</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26483</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9451</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303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64428</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64428</v>
      </c>
      <c r="D6215" s="2" t="str">
        <f t="shared" si="96"/>
        <v>Error?</v>
      </c>
      <c r="E6215" s="2" t="s">
        <v>199</v>
      </c>
    </row>
    <row r="6216" spans="1:5" x14ac:dyDescent="0.2">
      <c r="A6216">
        <v>6155</v>
      </c>
      <c r="B6216" s="138">
        <f>'Assets-Liab 5-6'!J41</f>
        <v>64428</v>
      </c>
      <c r="D6216" s="2" t="str">
        <f t="shared" si="96"/>
        <v>Error?</v>
      </c>
      <c r="E6216" s="2" t="s">
        <v>199</v>
      </c>
    </row>
    <row r="6217" spans="1:5" x14ac:dyDescent="0.2">
      <c r="A6217">
        <v>6156</v>
      </c>
      <c r="B6217" s="138">
        <f>'Assets-Liab 5-6'!J4</f>
        <v>64428</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229563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229563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229563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167453</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167453</v>
      </c>
      <c r="D6229" s="2" t="str">
        <f t="shared" si="96"/>
        <v>Error?</v>
      </c>
      <c r="E6229" s="2" t="s">
        <v>199</v>
      </c>
    </row>
    <row r="6230" spans="1:5" x14ac:dyDescent="0.2">
      <c r="A6230">
        <v>6169</v>
      </c>
      <c r="B6230" s="138">
        <f>'Acct Summary 7-8'!J20</f>
        <v>62110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62110</v>
      </c>
      <c r="D6263" s="2" t="str">
        <f t="shared" si="96"/>
        <v>Error?</v>
      </c>
      <c r="E6263" s="2" t="s">
        <v>199</v>
      </c>
    </row>
    <row r="6264" spans="1:5" x14ac:dyDescent="0.2">
      <c r="A6264">
        <v>6203</v>
      </c>
      <c r="B6264" s="138">
        <f>'Acct Summary 7-8'!J79</f>
        <v>2318</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64428</v>
      </c>
      <c r="D6266" s="2" t="str">
        <f t="shared" si="96"/>
        <v>Error?</v>
      </c>
      <c r="E6266" s="2" t="s">
        <v>199</v>
      </c>
    </row>
    <row r="6267" spans="1:5" x14ac:dyDescent="0.2">
      <c r="A6267">
        <v>6206</v>
      </c>
      <c r="B6267" s="138">
        <f>'Acct Summary 7-8'!C82</f>
        <v>189111</v>
      </c>
      <c r="D6267" s="2" t="str">
        <f t="shared" si="96"/>
        <v>Error?</v>
      </c>
      <c r="E6267" s="2" t="s">
        <v>199</v>
      </c>
    </row>
    <row r="6268" spans="1:5" x14ac:dyDescent="0.2">
      <c r="A6268">
        <v>6207</v>
      </c>
      <c r="B6268" s="138">
        <f>'Acct Summary 7-8'!D82</f>
        <v>-34074</v>
      </c>
      <c r="D6268" s="2" t="str">
        <f t="shared" si="96"/>
        <v>Error?</v>
      </c>
      <c r="E6268" s="2" t="s">
        <v>199</v>
      </c>
    </row>
    <row r="6269" spans="1:5" x14ac:dyDescent="0.2">
      <c r="A6269">
        <v>6208</v>
      </c>
      <c r="B6269" s="138">
        <f>'Acct Summary 7-8'!E82</f>
        <v>-658</v>
      </c>
      <c r="D6269" s="2" t="str">
        <f t="shared" si="96"/>
        <v>Error?</v>
      </c>
      <c r="E6269" s="2" t="s">
        <v>199</v>
      </c>
    </row>
    <row r="6270" spans="1:5" x14ac:dyDescent="0.2">
      <c r="A6270">
        <v>6209</v>
      </c>
      <c r="B6270" s="138">
        <f>'Acct Summary 7-8'!F82</f>
        <v>-7881</v>
      </c>
      <c r="D6270" s="2" t="str">
        <f t="shared" si="96"/>
        <v>Error?</v>
      </c>
      <c r="E6270" s="2" t="s">
        <v>199</v>
      </c>
    </row>
    <row r="6271" spans="1:5" x14ac:dyDescent="0.2">
      <c r="A6271">
        <v>6210</v>
      </c>
      <c r="B6271" s="138">
        <f>'Acct Summary 7-8'!G82</f>
        <v>10920</v>
      </c>
      <c r="D6271" s="2" t="str">
        <f t="shared" ref="D6271:D6334" si="97">IF(ISBLANK(B6271),"OK",IF(A6271-B6271=0,"OK","Error?"))</f>
        <v>Error?</v>
      </c>
      <c r="E6271" s="2" t="s">
        <v>199</v>
      </c>
    </row>
    <row r="6272" spans="1:5" x14ac:dyDescent="0.2">
      <c r="A6272">
        <v>6211</v>
      </c>
      <c r="B6272" s="138">
        <f>'Acct Summary 7-8'!H82</f>
        <v>-46238</v>
      </c>
      <c r="D6272" s="2" t="str">
        <f t="shared" si="97"/>
        <v>Error?</v>
      </c>
      <c r="E6272" s="2" t="s">
        <v>199</v>
      </c>
    </row>
    <row r="6273" spans="1:5" x14ac:dyDescent="0.2">
      <c r="A6273">
        <v>6212</v>
      </c>
      <c r="B6273" s="138">
        <f>'Acct Summary 7-8'!I82</f>
        <v>21767</v>
      </c>
      <c r="D6273" s="2" t="str">
        <f t="shared" si="97"/>
        <v>Error?</v>
      </c>
      <c r="E6273" s="2" t="s">
        <v>199</v>
      </c>
    </row>
    <row r="6274" spans="1:5" x14ac:dyDescent="0.2">
      <c r="A6274">
        <v>6213</v>
      </c>
      <c r="B6274" s="138">
        <f>'Acct Summary 7-8'!J82</f>
        <v>62110</v>
      </c>
      <c r="D6274" s="2" t="str">
        <f t="shared" si="97"/>
        <v>Error?</v>
      </c>
      <c r="E6274" s="2" t="s">
        <v>199</v>
      </c>
    </row>
    <row r="6275" spans="1:5" x14ac:dyDescent="0.2">
      <c r="A6275">
        <v>6214</v>
      </c>
      <c r="B6275" s="138">
        <f>'Acct Summary 7-8'!K82</f>
        <v>12114</v>
      </c>
      <c r="D6275" s="2" t="str">
        <f t="shared" si="97"/>
        <v>Error?</v>
      </c>
      <c r="E6275" s="2" t="s">
        <v>199</v>
      </c>
    </row>
    <row r="6276" spans="1:5" x14ac:dyDescent="0.2">
      <c r="A6276">
        <v>6215</v>
      </c>
      <c r="B6276" s="138">
        <f>'Acct Summary 7-8'!C83</f>
        <v>0.35432491072131184</v>
      </c>
      <c r="D6276" s="2" t="str">
        <f t="shared" si="97"/>
        <v>Error?</v>
      </c>
      <c r="E6276" s="2" t="s">
        <v>199</v>
      </c>
    </row>
    <row r="6277" spans="1:5" x14ac:dyDescent="0.2">
      <c r="A6277">
        <v>6216</v>
      </c>
      <c r="B6277" s="138">
        <f>'Acct Summary 7-8'!D83</f>
        <v>-1.4575241680212165</v>
      </c>
      <c r="D6277" s="2" t="str">
        <f t="shared" si="97"/>
        <v>Error?</v>
      </c>
      <c r="E6277" s="2" t="s">
        <v>199</v>
      </c>
    </row>
    <row r="6278" spans="1:5" x14ac:dyDescent="0.2">
      <c r="A6278">
        <v>6217</v>
      </c>
      <c r="B6278" s="138">
        <f>'Acct Summary 7-8'!E83</f>
        <v>-7.4291520830981145E-2</v>
      </c>
      <c r="D6278" s="2" t="str">
        <f t="shared" si="97"/>
        <v>Error?</v>
      </c>
      <c r="E6278" s="2" t="s">
        <v>199</v>
      </c>
    </row>
    <row r="6279" spans="1:5" x14ac:dyDescent="0.2">
      <c r="A6279">
        <v>6218</v>
      </c>
      <c r="B6279" s="138">
        <f>'Acct Summary 7-8'!F83</f>
        <v>-5.9966216216216214E-2</v>
      </c>
      <c r="D6279" s="2" t="str">
        <f t="shared" si="97"/>
        <v>Error?</v>
      </c>
      <c r="E6279" s="2" t="s">
        <v>199</v>
      </c>
    </row>
    <row r="6280" spans="1:5" x14ac:dyDescent="0.2">
      <c r="A6280">
        <v>6219</v>
      </c>
      <c r="B6280" s="138">
        <f>'Acct Summary 7-8'!G83</f>
        <v>0.15933464653096957</v>
      </c>
      <c r="D6280" s="2" t="str">
        <f t="shared" si="97"/>
        <v>Error?</v>
      </c>
      <c r="E6280" s="2" t="s">
        <v>199</v>
      </c>
    </row>
    <row r="6281" spans="1:5" x14ac:dyDescent="0.2">
      <c r="A6281">
        <v>6220</v>
      </c>
      <c r="B6281" s="138">
        <f>'Acct Summary 7-8'!H83</f>
        <v>-0.38937263157894736</v>
      </c>
      <c r="D6281" s="2" t="str">
        <f t="shared" si="97"/>
        <v>Error?</v>
      </c>
      <c r="E6281" s="2" t="s">
        <v>199</v>
      </c>
    </row>
    <row r="6282" spans="1:5" x14ac:dyDescent="0.2">
      <c r="A6282">
        <v>6221</v>
      </c>
      <c r="B6282" s="138">
        <f>'Acct Summary 7-8'!I83</f>
        <v>7.8589171468596106E-2</v>
      </c>
      <c r="D6282" s="2" t="str">
        <f t="shared" si="97"/>
        <v>Error?</v>
      </c>
      <c r="E6282" s="2" t="s">
        <v>199</v>
      </c>
    </row>
    <row r="6283" spans="1:5" x14ac:dyDescent="0.2">
      <c r="A6283">
        <v>6222</v>
      </c>
      <c r="B6283" s="138">
        <f>'Acct Summary 7-8'!J83</f>
        <v>0.96402185385236228</v>
      </c>
      <c r="D6283" s="2" t="str">
        <f t="shared" si="97"/>
        <v>Error?</v>
      </c>
      <c r="E6283" s="2" t="s">
        <v>199</v>
      </c>
    </row>
    <row r="6284" spans="1:5" x14ac:dyDescent="0.2">
      <c r="A6284">
        <v>6223</v>
      </c>
      <c r="B6284" s="138">
        <f>'Acct Summary 7-8'!K83</f>
        <v>0.44144012827053419</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229563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229563</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1116</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229563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4110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64844</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108263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13468</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64120</v>
      </c>
      <c r="D6880" s="2" t="str">
        <f t="shared" si="106"/>
        <v>Error?</v>
      </c>
    </row>
    <row r="6881" spans="1:4" x14ac:dyDescent="0.2">
      <c r="A6881">
        <v>6820</v>
      </c>
      <c r="B6881" s="138">
        <f>'Expenditures 15-22'!K22</f>
        <v>64120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167453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229563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2575</v>
      </c>
      <c r="D7067" s="2" t="str">
        <f t="shared" si="109"/>
        <v>Error?</v>
      </c>
    </row>
    <row r="7068" spans="1:4" x14ac:dyDescent="0.2">
      <c r="A7068">
        <v>7007</v>
      </c>
      <c r="B7068" s="138">
        <f>'Expenditures 15-22'!K205</f>
        <v>2575</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3663</v>
      </c>
      <c r="D7073" s="2" t="str">
        <f t="shared" si="109"/>
        <v>Error?</v>
      </c>
    </row>
    <row r="7074" spans="1:4" x14ac:dyDescent="0.2">
      <c r="A7074">
        <v>7013</v>
      </c>
      <c r="B7074" s="138">
        <f>'Expenditures 15-22'!K216</f>
        <v>3663</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18964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18964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43472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43472</v>
      </c>
      <c r="D7153" s="2" t="str">
        <f t="shared" si="110"/>
        <v>Error?</v>
      </c>
    </row>
    <row r="7154" spans="1:4" x14ac:dyDescent="0.2">
      <c r="A7154">
        <v>7093</v>
      </c>
      <c r="B7154" s="138">
        <f>'Expenditures 15-22'!C323</f>
        <v>101700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101700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3317</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3317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101700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65753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167453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101700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65753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167453</v>
      </c>
      <c r="D7224" s="2" t="str">
        <f t="shared" si="111"/>
        <v>Error?</v>
      </c>
    </row>
    <row r="7225" spans="1:4" x14ac:dyDescent="0.2">
      <c r="A7225">
        <v>7164</v>
      </c>
      <c r="B7225" s="138">
        <f>'Expenditures 15-22'!K343</f>
        <v>62110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635</v>
      </c>
      <c r="D7246" s="2" t="str">
        <f t="shared" si="112"/>
        <v>Error?</v>
      </c>
    </row>
    <row r="7247" spans="1:4" x14ac:dyDescent="0.2">
      <c r="A7247">
        <f t="shared" si="113"/>
        <v>7186</v>
      </c>
      <c r="B7247" s="138">
        <f>'Expenditures 15-22'!E7</f>
        <v>12044</v>
      </c>
      <c r="D7247" s="2" t="str">
        <f t="shared" si="112"/>
        <v>Error?</v>
      </c>
    </row>
    <row r="7248" spans="1:4" x14ac:dyDescent="0.2">
      <c r="A7248">
        <f t="shared" si="113"/>
        <v>7187</v>
      </c>
      <c r="B7248" s="138">
        <f>'Expenditures 15-22'!F7</f>
        <v>19250</v>
      </c>
      <c r="D7248" s="2" t="str">
        <f t="shared" si="112"/>
        <v>Error?</v>
      </c>
    </row>
    <row r="7249" spans="1:4" x14ac:dyDescent="0.2">
      <c r="A7249">
        <f t="shared" si="113"/>
        <v>7188</v>
      </c>
      <c r="B7249" s="138">
        <f>'Expenditures 15-22'!G7</f>
        <v>11490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13159</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309</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141348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164988</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1116</v>
      </c>
      <c r="D7712" s="2" t="str">
        <f t="shared" si="126"/>
        <v>Error?</v>
      </c>
      <c r="E7712" s="2" t="s">
        <v>881</v>
      </c>
    </row>
    <row r="7713" spans="1:6" x14ac:dyDescent="0.2">
      <c r="A7713">
        <v>7652</v>
      </c>
      <c r="B7713" s="138">
        <f>'Rest Tax Levies-Tort Im 25'!J8</f>
        <v>129889</v>
      </c>
      <c r="D7713" s="2" t="str">
        <f t="shared" si="126"/>
        <v>Error?</v>
      </c>
      <c r="E7713" s="2" t="s">
        <v>881</v>
      </c>
    </row>
    <row r="7714" spans="1:6" x14ac:dyDescent="0.2">
      <c r="A7714">
        <v>7653</v>
      </c>
      <c r="B7714" s="138">
        <f>'Rest Tax Levies-Tort Im 25'!K9</f>
        <v>4611</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129889</v>
      </c>
      <c r="D7718" s="2" t="str">
        <f t="shared" si="126"/>
        <v>Error?</v>
      </c>
      <c r="E7718" s="2" t="s">
        <v>881</v>
      </c>
    </row>
    <row r="7719" spans="1:6" x14ac:dyDescent="0.2">
      <c r="A7719">
        <v>7658</v>
      </c>
      <c r="B7719" s="138">
        <f>'Rest Tax Levies-Tort Im 25'!K12</f>
        <v>5727</v>
      </c>
      <c r="D7719" s="2" t="str">
        <f t="shared" si="126"/>
        <v>Error?</v>
      </c>
      <c r="E7719" s="2" t="s">
        <v>881</v>
      </c>
    </row>
    <row r="7720" spans="1:6" x14ac:dyDescent="0.2">
      <c r="A7720">
        <v>7659</v>
      </c>
      <c r="B7720" s="138">
        <f>'Rest Tax Levies-Tort Im 25'!H14</f>
        <v>17120</v>
      </c>
      <c r="D7720" s="2" t="str">
        <f t="shared" si="126"/>
        <v>Error?</v>
      </c>
      <c r="E7720" s="2" t="s">
        <v>881</v>
      </c>
    </row>
    <row r="7721" spans="1:6" x14ac:dyDescent="0.2">
      <c r="A7721">
        <v>7660</v>
      </c>
      <c r="B7721" s="138">
        <f>'Rest Tax Levies-Tort Im 25'!K14</f>
        <v>5727</v>
      </c>
      <c r="D7721" s="2" t="str">
        <f t="shared" si="126"/>
        <v>Error?</v>
      </c>
      <c r="E7721" s="2" t="s">
        <v>881</v>
      </c>
    </row>
    <row r="7722" spans="1:6" x14ac:dyDescent="0.2">
      <c r="A7722">
        <v>7661</v>
      </c>
      <c r="B7722" s="138">
        <f>'Rest Tax Levies-Tort Im 25'!J15</f>
        <v>36127</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140000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140000</v>
      </c>
      <c r="D7727" s="2" t="str">
        <f t="shared" si="126"/>
        <v>Error?</v>
      </c>
      <c r="E7727" s="2" t="s">
        <v>881</v>
      </c>
    </row>
    <row r="7728" spans="1:6" x14ac:dyDescent="0.2">
      <c r="A7728">
        <v>7667</v>
      </c>
      <c r="B7728" s="138">
        <f>'Revenues 9-14'!E103</f>
        <v>129889</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176127</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118750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118750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0</v>
      </c>
      <c r="D7797" s="2" t="str">
        <f t="shared" si="127"/>
        <v>Error?</v>
      </c>
      <c r="E7797" s="4" t="s">
        <v>2019</v>
      </c>
    </row>
    <row r="7798" spans="1:5" x14ac:dyDescent="0.2">
      <c r="A7798">
        <v>7737</v>
      </c>
      <c r="B7798" s="138">
        <f>'Contracts Paid in CY 29'!F141</f>
        <v>0</v>
      </c>
      <c r="D7798" s="2" t="str">
        <f t="shared" si="127"/>
        <v>Error?</v>
      </c>
      <c r="E7798" s="4" t="s">
        <v>2019</v>
      </c>
    </row>
    <row r="7799" spans="1:5" x14ac:dyDescent="0.2">
      <c r="A7799">
        <v>7738</v>
      </c>
      <c r="B7799" s="138">
        <f>'Contracts Paid in CY 29'!G141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453" t="s">
        <v>1253</v>
      </c>
      <c r="B2" s="2453"/>
      <c r="C2" s="2453"/>
      <c r="D2" s="2453"/>
      <c r="E2" s="2453"/>
      <c r="F2" s="2453"/>
      <c r="G2" s="2453"/>
      <c r="H2" s="2453"/>
      <c r="I2" s="2453"/>
      <c r="J2" s="2453"/>
      <c r="K2" s="2453"/>
      <c r="L2" s="2453"/>
    </row>
    <row r="3" spans="1:29" ht="13.5" customHeight="1" x14ac:dyDescent="0.2">
      <c r="A3" s="2484" t="s">
        <v>1252</v>
      </c>
      <c r="B3" s="2484"/>
      <c r="C3" s="2484"/>
      <c r="D3" s="2484"/>
      <c r="E3" s="2484"/>
      <c r="F3" s="2484"/>
      <c r="G3" s="2484"/>
      <c r="H3" s="2484"/>
      <c r="I3" s="2484"/>
      <c r="J3" s="2484"/>
      <c r="K3" s="2484"/>
      <c r="L3" s="2484"/>
    </row>
    <row r="4" spans="1:29" ht="13.5" customHeight="1" x14ac:dyDescent="0.2">
      <c r="A4" s="2453" t="s">
        <v>1799</v>
      </c>
      <c r="B4" s="2474"/>
      <c r="C4" s="2474"/>
      <c r="D4" s="2474"/>
      <c r="E4" s="2474"/>
      <c r="F4" s="2474"/>
      <c r="G4" s="2474"/>
      <c r="H4" s="2474"/>
      <c r="I4" s="2474"/>
      <c r="J4" s="2474"/>
      <c r="K4" s="2474"/>
      <c r="L4" s="2474"/>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1251</v>
      </c>
      <c r="B6" s="1183"/>
      <c r="C6" s="1184"/>
      <c r="D6" s="1184"/>
      <c r="E6" s="1185" t="s">
        <v>1250</v>
      </c>
      <c r="F6" s="1186"/>
      <c r="G6" s="1187" t="s">
        <v>1249</v>
      </c>
      <c r="H6" s="1184"/>
      <c r="I6" s="1184"/>
      <c r="J6" s="1184"/>
      <c r="K6" s="1184"/>
      <c r="L6" s="1188"/>
      <c r="V6" s="1181"/>
      <c r="W6" s="1181"/>
      <c r="X6" s="1181"/>
      <c r="Y6" s="1181"/>
      <c r="Z6" s="1181"/>
      <c r="AA6" s="1181"/>
      <c r="AB6" s="1181"/>
      <c r="AC6" s="1181"/>
    </row>
    <row r="7" spans="1:29" ht="16.5" customHeight="1" x14ac:dyDescent="0.2">
      <c r="A7" s="2475" t="str">
        <f>COVER!A17</f>
        <v>Morrisonville CUSD 1</v>
      </c>
      <c r="B7" s="2476"/>
      <c r="C7" s="2476"/>
      <c r="D7" s="2477"/>
      <c r="E7" s="2478">
        <f>COVER!A13</f>
        <v>3011001026</v>
      </c>
      <c r="F7" s="2479"/>
      <c r="G7" s="2485" t="str">
        <f>COVER!T23</f>
        <v>066-003847</v>
      </c>
      <c r="H7" s="2486"/>
      <c r="I7" s="2486"/>
      <c r="J7" s="2486"/>
      <c r="K7" s="2486"/>
      <c r="L7" s="2487"/>
    </row>
    <row r="8" spans="1:29" ht="13.5" customHeight="1" x14ac:dyDescent="0.2">
      <c r="A8" s="1182" t="s">
        <v>1597</v>
      </c>
      <c r="B8" s="1183"/>
      <c r="C8" s="1184"/>
      <c r="D8" s="1184"/>
      <c r="E8" s="1189"/>
      <c r="F8" s="1188"/>
      <c r="G8" s="1190" t="s">
        <v>1248</v>
      </c>
      <c r="H8" s="1191"/>
      <c r="I8" s="1191"/>
      <c r="J8" s="1191"/>
      <c r="K8" s="1191"/>
      <c r="L8" s="1192"/>
    </row>
    <row r="9" spans="1:29" ht="13.5" customHeight="1" x14ac:dyDescent="0.2">
      <c r="A9" s="2488"/>
      <c r="B9" s="2489"/>
      <c r="C9" s="2489"/>
      <c r="D9" s="2489"/>
      <c r="E9" s="2489"/>
      <c r="F9" s="2490"/>
      <c r="G9" s="2459" t="str">
        <f>COVER!T13</f>
        <v>LMHN, Ltd.</v>
      </c>
      <c r="H9" s="2491"/>
      <c r="I9" s="2491"/>
      <c r="J9" s="2491"/>
      <c r="K9" s="2491"/>
      <c r="L9" s="2492"/>
    </row>
    <row r="10" spans="1:29" ht="13.5" customHeight="1" x14ac:dyDescent="0.2">
      <c r="A10" s="2465" t="str">
        <f>COVER!A38</f>
        <v>Dave Meister</v>
      </c>
      <c r="B10" s="2466"/>
      <c r="C10" s="2466"/>
      <c r="D10" s="2466"/>
      <c r="E10" s="2466"/>
      <c r="F10" s="2467"/>
      <c r="G10" s="2459" t="str">
        <f>COVER!T17</f>
        <v>900 N. Webster Street</v>
      </c>
      <c r="H10" s="2460"/>
      <c r="I10" s="2460"/>
      <c r="J10" s="2460"/>
      <c r="K10" s="2460"/>
      <c r="L10" s="2461"/>
    </row>
    <row r="11" spans="1:29" ht="13.5" customHeight="1" x14ac:dyDescent="0.2">
      <c r="A11" s="1182" t="s">
        <v>1599</v>
      </c>
      <c r="B11" s="1183"/>
      <c r="C11" s="1184"/>
      <c r="D11" s="1189"/>
      <c r="E11" s="1184"/>
      <c r="F11" s="1188"/>
      <c r="G11" s="2459" t="str">
        <f>COVER!T19</f>
        <v>Taylorville</v>
      </c>
      <c r="H11" s="2460"/>
      <c r="I11" s="2460"/>
      <c r="J11" s="2460"/>
      <c r="K11" s="2460"/>
      <c r="L11" s="2461"/>
    </row>
    <row r="12" spans="1:29" ht="13.5" customHeight="1" x14ac:dyDescent="0.2">
      <c r="A12" s="2468" t="s">
        <v>1598</v>
      </c>
      <c r="B12" s="2469"/>
      <c r="C12" s="2469"/>
      <c r="D12" s="2469"/>
      <c r="E12" s="2469"/>
      <c r="F12" s="2470"/>
      <c r="G12" s="2462"/>
      <c r="H12" s="2463"/>
      <c r="I12" s="2463"/>
      <c r="J12" s="2463"/>
      <c r="K12" s="2463"/>
      <c r="L12" s="2464"/>
    </row>
    <row r="13" spans="1:29" ht="13.5" customHeight="1" x14ac:dyDescent="0.2">
      <c r="A13" s="2459"/>
      <c r="B13" s="2460"/>
      <c r="C13" s="2460"/>
      <c r="D13" s="2460"/>
      <c r="E13" s="2460"/>
      <c r="F13" s="2461"/>
      <c r="G13" s="2454" t="s">
        <v>1600</v>
      </c>
      <c r="H13" s="2455"/>
      <c r="I13" s="2471" t="str">
        <f>COVER!T25</f>
        <v>lmhncpas@yahoo.com</v>
      </c>
      <c r="J13" s="2472"/>
      <c r="K13" s="2472"/>
      <c r="L13" s="2473"/>
    </row>
    <row r="14" spans="1:29" ht="13.5" customHeight="1" x14ac:dyDescent="0.2">
      <c r="A14" s="2459" t="str">
        <f>COVER!A19</f>
        <v>301 School Street</v>
      </c>
      <c r="B14" s="2460"/>
      <c r="C14" s="2460"/>
      <c r="D14" s="2460"/>
      <c r="E14" s="2460"/>
      <c r="F14" s="2461"/>
      <c r="G14" s="1193" t="s">
        <v>1247</v>
      </c>
      <c r="H14" s="1191"/>
      <c r="I14" s="1191"/>
      <c r="J14" s="1191"/>
      <c r="K14" s="1191"/>
      <c r="L14" s="1192"/>
    </row>
    <row r="15" spans="1:29" ht="13.5" customHeight="1" x14ac:dyDescent="0.2">
      <c r="A15" s="2459" t="str">
        <f>COVER!A21</f>
        <v>Morrisonville</v>
      </c>
      <c r="B15" s="2460"/>
      <c r="C15" s="2460"/>
      <c r="D15" s="2460"/>
      <c r="E15" s="2460"/>
      <c r="F15" s="2461"/>
      <c r="G15" s="2456" t="str">
        <f>COVER!T15</f>
        <v>M. Adam Mathias, CPA, PFS, CVA</v>
      </c>
      <c r="H15" s="2457"/>
      <c r="I15" s="2457"/>
      <c r="J15" s="2457"/>
      <c r="K15" s="2457"/>
      <c r="L15" s="2458"/>
    </row>
    <row r="16" spans="1:29" ht="12.2" customHeight="1" x14ac:dyDescent="0.2">
      <c r="A16" s="2481">
        <f>COVER!A25</f>
        <v>62546</v>
      </c>
      <c r="B16" s="2482"/>
      <c r="C16" s="2482"/>
      <c r="D16" s="2482"/>
      <c r="E16" s="2482"/>
      <c r="F16" s="2483"/>
      <c r="G16" s="2493"/>
      <c r="H16" s="2494"/>
      <c r="I16" s="2494"/>
      <c r="J16" s="2494"/>
      <c r="K16" s="2494"/>
      <c r="L16" s="2495"/>
    </row>
    <row r="17" spans="1:13" ht="12.2" customHeight="1" x14ac:dyDescent="0.2">
      <c r="A17" s="2496"/>
      <c r="B17" s="2482"/>
      <c r="C17" s="2482"/>
      <c r="D17" s="2482"/>
      <c r="E17" s="2482"/>
      <c r="F17" s="2483"/>
      <c r="G17" s="1193" t="s">
        <v>1246</v>
      </c>
      <c r="H17" s="1191"/>
      <c r="I17" s="1191"/>
      <c r="J17" s="1191"/>
      <c r="K17" s="1195" t="s">
        <v>1245</v>
      </c>
      <c r="L17" s="1188"/>
      <c r="M17" s="1181"/>
    </row>
    <row r="18" spans="1:13" ht="12.2" customHeight="1" x14ac:dyDescent="0.2">
      <c r="A18" s="2465"/>
      <c r="B18" s="2466"/>
      <c r="C18" s="2466"/>
      <c r="D18" s="2466"/>
      <c r="E18" s="2466"/>
      <c r="F18" s="2467"/>
      <c r="G18" s="2475" t="str">
        <f>COVER!T21</f>
        <v>217-824-9661</v>
      </c>
      <c r="H18" s="2476"/>
      <c r="I18" s="2476"/>
      <c r="J18" s="2476"/>
      <c r="K18" s="2475" t="str">
        <f>COVER!X21</f>
        <v>217-824-2415</v>
      </c>
      <c r="L18" s="2480"/>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1231</v>
      </c>
      <c r="K20" s="1174" t="s">
        <v>1231</v>
      </c>
    </row>
    <row r="21" spans="1:13" ht="12.2" customHeight="1" x14ac:dyDescent="0.2">
      <c r="A21" s="1197" t="s">
        <v>1800</v>
      </c>
    </row>
    <row r="22" spans="1:13" ht="12.2" customHeight="1" x14ac:dyDescent="0.2">
      <c r="A22" s="1198"/>
    </row>
    <row r="23" spans="1:13" ht="12.2" customHeight="1" x14ac:dyDescent="0.2">
      <c r="A23" s="1198"/>
      <c r="B23" s="1199"/>
      <c r="C23" s="1200" t="s">
        <v>1244</v>
      </c>
    </row>
    <row r="24" spans="1:13" ht="10.15" customHeight="1" x14ac:dyDescent="0.2">
      <c r="A24" s="1198"/>
      <c r="C24" s="1200" t="s">
        <v>1243</v>
      </c>
    </row>
    <row r="25" spans="1:13" ht="9" customHeight="1" x14ac:dyDescent="0.2">
      <c r="B25" s="1201" t="s">
        <v>1231</v>
      </c>
      <c r="C25" s="1202"/>
    </row>
    <row r="26" spans="1:13" s="1196" customFormat="1" ht="12.2" customHeight="1" x14ac:dyDescent="0.2">
      <c r="B26" s="1199"/>
      <c r="C26" s="1200" t="s">
        <v>1801</v>
      </c>
    </row>
    <row r="27" spans="1:13" s="1196" customFormat="1" ht="9" customHeight="1" x14ac:dyDescent="0.2">
      <c r="B27" s="1201"/>
      <c r="C27" s="1200"/>
    </row>
    <row r="28" spans="1:13" s="1196" customFormat="1" ht="12.2" customHeight="1" x14ac:dyDescent="0.2">
      <c r="A28" s="1203"/>
      <c r="B28" s="1199"/>
      <c r="C28" s="1200" t="s">
        <v>1802</v>
      </c>
    </row>
    <row r="29" spans="1:13" s="1196" customFormat="1" ht="9" customHeight="1" x14ac:dyDescent="0.2">
      <c r="A29" s="1203"/>
      <c r="B29" s="1201"/>
      <c r="C29" s="1200"/>
    </row>
    <row r="30" spans="1:13" s="1196" customFormat="1" ht="12.2" customHeight="1" x14ac:dyDescent="0.2">
      <c r="B30" s="1199"/>
      <c r="C30" s="1200" t="s">
        <v>1643</v>
      </c>
      <c r="D30" s="1194"/>
      <c r="E30" s="1194"/>
    </row>
    <row r="31" spans="1:13" s="1196" customFormat="1" ht="9" customHeight="1" x14ac:dyDescent="0.2">
      <c r="B31" s="1201"/>
      <c r="C31" s="1200"/>
      <c r="D31" s="1194"/>
      <c r="E31" s="1194"/>
    </row>
    <row r="32" spans="1:13" s="1196" customFormat="1" ht="12.2" customHeight="1" x14ac:dyDescent="0.2">
      <c r="B32" s="1199"/>
      <c r="C32" s="1200" t="s">
        <v>1644</v>
      </c>
      <c r="D32" s="1194"/>
      <c r="E32" s="1194"/>
    </row>
    <row r="33" spans="1:8" s="1196" customFormat="1" ht="10.9" customHeight="1" x14ac:dyDescent="0.2">
      <c r="B33" s="1201"/>
      <c r="C33" s="1204" t="s">
        <v>1803</v>
      </c>
      <c r="D33" s="1194"/>
      <c r="E33" s="1194"/>
    </row>
    <row r="34" spans="1:8" ht="9" customHeight="1" x14ac:dyDescent="0.2">
      <c r="B34" s="1201"/>
      <c r="C34" s="1204"/>
    </row>
    <row r="35" spans="1:8" s="1196" customFormat="1" ht="13.5" customHeight="1" x14ac:dyDescent="0.2">
      <c r="B35" s="1199"/>
      <c r="C35" s="1200" t="s">
        <v>1645</v>
      </c>
    </row>
    <row r="36" spans="1:8" s="1196" customFormat="1" ht="10.9" customHeight="1" x14ac:dyDescent="0.2">
      <c r="B36" s="1201"/>
      <c r="C36" s="1204" t="s">
        <v>1646</v>
      </c>
    </row>
    <row r="37" spans="1:8" ht="9" customHeight="1" x14ac:dyDescent="0.2">
      <c r="B37" s="1201"/>
      <c r="C37" s="1204"/>
    </row>
    <row r="38" spans="1:8" s="1196" customFormat="1" ht="12.2" customHeight="1" x14ac:dyDescent="0.2">
      <c r="B38" s="1199"/>
      <c r="C38" s="1200" t="s">
        <v>1647</v>
      </c>
    </row>
    <row r="39" spans="1:8" ht="9" customHeight="1" x14ac:dyDescent="0.2">
      <c r="B39" s="1201"/>
      <c r="C39" s="1204"/>
    </row>
    <row r="40" spans="1:8" s="1196" customFormat="1" ht="13.5" customHeight="1" x14ac:dyDescent="0.2">
      <c r="B40" s="1199"/>
      <c r="C40" s="1200" t="s">
        <v>1648</v>
      </c>
    </row>
    <row r="41" spans="1:8" ht="9" customHeight="1" x14ac:dyDescent="0.2">
      <c r="A41" s="1205"/>
      <c r="B41" s="1201"/>
      <c r="C41" s="1204"/>
    </row>
    <row r="42" spans="1:8" s="1196" customFormat="1" ht="13.5" customHeight="1" x14ac:dyDescent="0.2">
      <c r="B42" s="1199"/>
      <c r="C42" s="1200" t="s">
        <v>1946</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1242</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c r="C46" s="1207" t="s">
        <v>1649</v>
      </c>
      <c r="D46" s="1194"/>
      <c r="E46" s="1194"/>
      <c r="F46" s="1194"/>
      <c r="G46" s="1194"/>
      <c r="H46" s="1194"/>
    </row>
    <row r="47" spans="1:8" ht="9" customHeight="1" x14ac:dyDescent="0.2"/>
    <row r="48" spans="1:8" ht="12.2" customHeight="1" x14ac:dyDescent="0.2">
      <c r="B48" s="1208"/>
      <c r="C48" s="1209" t="s">
        <v>1650</v>
      </c>
    </row>
    <row r="49" spans="1:12" ht="9" customHeight="1" x14ac:dyDescent="0.2"/>
    <row r="50" spans="1:12" ht="6" customHeight="1" x14ac:dyDescent="0.2">
      <c r="C50" s="1209"/>
    </row>
    <row r="51" spans="1:12" ht="12.2" customHeight="1" x14ac:dyDescent="0.2">
      <c r="A51" s="1211" t="s">
        <v>1804</v>
      </c>
    </row>
    <row r="52" spans="1:12" ht="12.2" customHeight="1" x14ac:dyDescent="0.2">
      <c r="A52" s="1206"/>
    </row>
    <row r="53" spans="1:12" ht="12.2" customHeight="1" x14ac:dyDescent="0.2"/>
    <row r="54" spans="1:12" ht="12.2" customHeight="1" x14ac:dyDescent="0.2"/>
    <row r="55" spans="1:12" ht="12.2" customHeight="1" x14ac:dyDescent="0.2"/>
    <row r="56" spans="1:12" ht="12.2" customHeight="1" x14ac:dyDescent="0.2">
      <c r="A56" s="1210"/>
    </row>
    <row r="59" spans="1:12" ht="12.75" customHeight="1" x14ac:dyDescent="0.2"/>
    <row r="60" spans="1:12" ht="36" customHeight="1" x14ac:dyDescent="0.2">
      <c r="L60" s="117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view="pageBreakPreview" topLeftCell="A83" colorId="8" zoomScaleNormal="100" zoomScaleSheetLayoutView="100" workbookViewId="0">
      <selection activeCell="J91" sqref="J9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22" t="s">
        <v>1230</v>
      </c>
      <c r="B2" s="2122"/>
      <c r="C2" s="2122"/>
      <c r="D2" s="2122"/>
      <c r="E2" s="2122"/>
      <c r="F2" s="2122"/>
      <c r="G2" s="2122"/>
      <c r="H2" s="2122"/>
      <c r="I2" s="2122"/>
      <c r="J2" s="212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36" t="s">
        <v>1731</v>
      </c>
      <c r="B35" s="2137"/>
      <c r="C35" s="2137"/>
      <c r="D35" s="2137"/>
      <c r="E35" s="2138"/>
      <c r="F35" s="2138"/>
      <c r="G35" s="2138"/>
      <c r="H35" s="2138"/>
      <c r="I35" s="213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36" t="s">
        <v>331</v>
      </c>
      <c r="B47" s="2139"/>
      <c r="C47" s="2139"/>
      <c r="D47" s="2139"/>
      <c r="E47" s="2140"/>
      <c r="F47" s="2140"/>
      <c r="G47" s="2140"/>
      <c r="H47" s="2140"/>
      <c r="I47" s="214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43"/>
      <c r="C57" s="2144"/>
      <c r="D57" s="2144"/>
      <c r="E57" s="2144"/>
      <c r="F57" s="2144"/>
      <c r="G57" s="2144"/>
      <c r="H57" s="2144"/>
      <c r="I57" s="2144"/>
      <c r="J57" s="2145"/>
    </row>
    <row r="58" spans="1:10" s="181" customFormat="1" x14ac:dyDescent="0.2">
      <c r="A58" s="253"/>
      <c r="B58" s="2146"/>
      <c r="C58" s="2147"/>
      <c r="D58" s="2147"/>
      <c r="E58" s="2147"/>
      <c r="F58" s="2147"/>
      <c r="G58" s="2147"/>
      <c r="H58" s="2147"/>
      <c r="I58" s="2147"/>
      <c r="J58" s="2148"/>
    </row>
    <row r="59" spans="1:10" s="181" customFormat="1" x14ac:dyDescent="0.2">
      <c r="A59" s="253"/>
      <c r="B59" s="2146"/>
      <c r="C59" s="2147"/>
      <c r="D59" s="2147"/>
      <c r="E59" s="2147"/>
      <c r="F59" s="2147"/>
      <c r="G59" s="2147"/>
      <c r="H59" s="2147"/>
      <c r="I59" s="2147"/>
      <c r="J59" s="2148"/>
    </row>
    <row r="60" spans="1:10" s="181" customFormat="1" x14ac:dyDescent="0.2">
      <c r="A60" s="253"/>
      <c r="B60" s="2146"/>
      <c r="C60" s="2147"/>
      <c r="D60" s="2147"/>
      <c r="E60" s="2147"/>
      <c r="F60" s="2147"/>
      <c r="G60" s="2147"/>
      <c r="H60" s="2147"/>
      <c r="I60" s="2147"/>
      <c r="J60" s="2148"/>
    </row>
    <row r="61" spans="1:10" s="181" customFormat="1" x14ac:dyDescent="0.2">
      <c r="A61" s="253"/>
      <c r="B61" s="2146"/>
      <c r="C61" s="2147"/>
      <c r="D61" s="2147"/>
      <c r="E61" s="2147"/>
      <c r="F61" s="2147"/>
      <c r="G61" s="2147"/>
      <c r="H61" s="2147"/>
      <c r="I61" s="2147"/>
      <c r="J61" s="2148"/>
    </row>
    <row r="62" spans="1:10" s="181" customFormat="1" x14ac:dyDescent="0.2">
      <c r="A62" s="253"/>
      <c r="B62" s="2146"/>
      <c r="C62" s="2147"/>
      <c r="D62" s="2147"/>
      <c r="E62" s="2147"/>
      <c r="F62" s="2147"/>
      <c r="G62" s="2147"/>
      <c r="H62" s="2147"/>
      <c r="I62" s="2147"/>
      <c r="J62" s="2148"/>
    </row>
    <row r="63" spans="1:10" s="181" customFormat="1" x14ac:dyDescent="0.2">
      <c r="A63" s="253"/>
      <c r="B63" s="2146"/>
      <c r="C63" s="2147"/>
      <c r="D63" s="2147"/>
      <c r="E63" s="2147"/>
      <c r="F63" s="2147"/>
      <c r="G63" s="2147"/>
      <c r="H63" s="2147"/>
      <c r="I63" s="2147"/>
      <c r="J63" s="2148"/>
    </row>
    <row r="64" spans="1:10" s="181" customFormat="1" x14ac:dyDescent="0.2">
      <c r="A64" s="253"/>
      <c r="B64" s="2146"/>
      <c r="C64" s="2147"/>
      <c r="D64" s="2147"/>
      <c r="E64" s="2147"/>
      <c r="F64" s="2147"/>
      <c r="G64" s="2147"/>
      <c r="H64" s="2147"/>
      <c r="I64" s="2147"/>
      <c r="J64" s="2148"/>
    </row>
    <row r="65" spans="1:10" s="181" customFormat="1" x14ac:dyDescent="0.2">
      <c r="A65" s="253"/>
      <c r="B65" s="2146"/>
      <c r="C65" s="2147"/>
      <c r="D65" s="2147"/>
      <c r="E65" s="2147"/>
      <c r="F65" s="2147"/>
      <c r="G65" s="2147"/>
      <c r="H65" s="2147"/>
      <c r="I65" s="2147"/>
      <c r="J65" s="2148"/>
    </row>
    <row r="66" spans="1:10" s="181" customFormat="1" x14ac:dyDescent="0.2">
      <c r="A66" s="253"/>
      <c r="B66" s="2146"/>
      <c r="C66" s="2147"/>
      <c r="D66" s="2147"/>
      <c r="E66" s="2147"/>
      <c r="F66" s="2147"/>
      <c r="G66" s="2147"/>
      <c r="H66" s="2147"/>
      <c r="I66" s="2147"/>
      <c r="J66" s="2148"/>
    </row>
    <row r="67" spans="1:10" s="181" customFormat="1" ht="9" customHeight="1" x14ac:dyDescent="0.2">
      <c r="A67" s="254"/>
      <c r="B67" s="2149"/>
      <c r="C67" s="2150"/>
      <c r="D67" s="2150"/>
      <c r="E67" s="2150"/>
      <c r="F67" s="2150"/>
      <c r="G67" s="2150"/>
      <c r="H67" s="2150"/>
      <c r="I67" s="2150"/>
      <c r="J67" s="215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36" t="s">
        <v>1390</v>
      </c>
      <c r="B70" s="2139"/>
      <c r="C70" s="2139"/>
      <c r="D70" s="2139"/>
      <c r="E70" s="2140"/>
      <c r="F70" s="2140"/>
      <c r="G70" s="2140"/>
      <c r="H70" s="2140"/>
      <c r="I70" s="214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58"/>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41" t="s">
        <v>1387</v>
      </c>
      <c r="B83" s="2141"/>
      <c r="C83" s="2141"/>
      <c r="D83" s="214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c r="G85" s="276"/>
      <c r="H85" s="276"/>
      <c r="I85" s="276"/>
      <c r="J85" s="277"/>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123"/>
      <c r="C102" s="2124"/>
      <c r="D102" s="2124"/>
      <c r="E102" s="2124"/>
      <c r="F102" s="2124"/>
      <c r="G102" s="2124"/>
      <c r="H102" s="2124"/>
      <c r="I102" s="2125"/>
    </row>
    <row r="103" spans="1:9" s="181" customFormat="1" ht="11.25" customHeight="1" x14ac:dyDescent="0.2">
      <c r="A103" s="316"/>
      <c r="B103" s="2126"/>
      <c r="C103" s="2127"/>
      <c r="D103" s="2127"/>
      <c r="E103" s="2127"/>
      <c r="F103" s="2127"/>
      <c r="G103" s="2127"/>
      <c r="H103" s="2127"/>
      <c r="I103" s="2128"/>
    </row>
    <row r="104" spans="1:9" s="181" customFormat="1" ht="11.25" customHeight="1" x14ac:dyDescent="0.2">
      <c r="A104" s="316"/>
      <c r="B104" s="2126"/>
      <c r="C104" s="2127"/>
      <c r="D104" s="2127"/>
      <c r="E104" s="2127"/>
      <c r="F104" s="2127"/>
      <c r="G104" s="2127"/>
      <c r="H104" s="2127"/>
      <c r="I104" s="2128"/>
    </row>
    <row r="105" spans="1:9" s="181" customFormat="1" x14ac:dyDescent="0.2">
      <c r="A105" s="316"/>
      <c r="B105" s="2126"/>
      <c r="C105" s="2127"/>
      <c r="D105" s="2127"/>
      <c r="E105" s="2127"/>
      <c r="F105" s="2127"/>
      <c r="G105" s="2127"/>
      <c r="H105" s="2127"/>
      <c r="I105" s="2128"/>
    </row>
    <row r="106" spans="1:9" s="181" customFormat="1" ht="11.25" customHeight="1" x14ac:dyDescent="0.2">
      <c r="A106" s="316"/>
      <c r="B106" s="2126"/>
      <c r="C106" s="2127"/>
      <c r="D106" s="2127"/>
      <c r="E106" s="2127"/>
      <c r="F106" s="2127"/>
      <c r="G106" s="2127"/>
      <c r="H106" s="2127"/>
      <c r="I106" s="2128"/>
    </row>
    <row r="107" spans="1:9" s="181" customFormat="1" ht="11.25" customHeight="1" x14ac:dyDescent="0.2">
      <c r="A107" s="316"/>
      <c r="B107" s="2126"/>
      <c r="C107" s="2127"/>
      <c r="D107" s="2127"/>
      <c r="E107" s="2127"/>
      <c r="F107" s="2127"/>
      <c r="G107" s="2127"/>
      <c r="H107" s="2127"/>
      <c r="I107" s="2128"/>
    </row>
    <row r="108" spans="1:9" s="181" customFormat="1" ht="11.25" customHeight="1" x14ac:dyDescent="0.2">
      <c r="A108" s="316"/>
      <c r="B108" s="2126"/>
      <c r="C108" s="2127"/>
      <c r="D108" s="2127"/>
      <c r="E108" s="2127"/>
      <c r="F108" s="2127"/>
      <c r="G108" s="2127"/>
      <c r="H108" s="2127"/>
      <c r="I108" s="2128"/>
    </row>
    <row r="109" spans="1:9" s="181" customFormat="1" ht="11.25" customHeight="1" x14ac:dyDescent="0.2">
      <c r="A109" s="316"/>
      <c r="B109" s="2126"/>
      <c r="C109" s="2127"/>
      <c r="D109" s="2127"/>
      <c r="E109" s="2127"/>
      <c r="F109" s="2127"/>
      <c r="G109" s="2127"/>
      <c r="H109" s="2127"/>
      <c r="I109" s="2128"/>
    </row>
    <row r="110" spans="1:9" s="181" customFormat="1" ht="11.25" customHeight="1" x14ac:dyDescent="0.2">
      <c r="A110" s="316"/>
      <c r="B110" s="2126"/>
      <c r="C110" s="2127"/>
      <c r="D110" s="2127"/>
      <c r="E110" s="2127"/>
      <c r="F110" s="2127"/>
      <c r="G110" s="2127"/>
      <c r="H110" s="2127"/>
      <c r="I110" s="2128"/>
    </row>
    <row r="111" spans="1:9" s="181" customFormat="1" ht="11.25" customHeight="1" x14ac:dyDescent="0.2">
      <c r="A111" s="316"/>
      <c r="B111" s="2126"/>
      <c r="C111" s="2127"/>
      <c r="D111" s="2127"/>
      <c r="E111" s="2127"/>
      <c r="F111" s="2127"/>
      <c r="G111" s="2127"/>
      <c r="H111" s="2127"/>
      <c r="I111" s="2128"/>
    </row>
    <row r="112" spans="1:9" s="181" customFormat="1" ht="11.25" customHeight="1" x14ac:dyDescent="0.2">
      <c r="A112" s="316"/>
      <c r="B112" s="2129"/>
      <c r="C112" s="2130"/>
      <c r="D112" s="2130"/>
      <c r="E112" s="2130"/>
      <c r="F112" s="2130"/>
      <c r="G112" s="2130"/>
      <c r="H112" s="2130"/>
      <c r="I112" s="213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32" t="s">
        <v>2086</v>
      </c>
      <c r="D114" s="213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33" t="s">
        <v>1397</v>
      </c>
      <c r="D117" s="2134"/>
      <c r="E117" s="2135"/>
      <c r="F117" s="2135"/>
      <c r="G117" s="2135"/>
      <c r="H117" s="2135"/>
      <c r="I117" s="304"/>
    </row>
    <row r="118" spans="1:9" s="181" customFormat="1" ht="24" customHeight="1" x14ac:dyDescent="0.2">
      <c r="A118" s="316"/>
      <c r="B118" s="316"/>
      <c r="C118" s="316"/>
      <c r="D118" s="323"/>
      <c r="E118" s="322"/>
      <c r="F118" s="324"/>
      <c r="G118" s="1860"/>
      <c r="H118" s="322"/>
      <c r="I118" s="304"/>
    </row>
    <row r="119" spans="1:9" s="181" customFormat="1" ht="11.25" customHeight="1" x14ac:dyDescent="0.2">
      <c r="A119" s="325"/>
      <c r="B119" s="325"/>
      <c r="C119" s="326"/>
      <c r="D119" s="327" t="s">
        <v>379</v>
      </c>
      <c r="E119" s="310"/>
      <c r="F119" s="1859" t="s">
        <v>2021</v>
      </c>
      <c r="G119" s="328"/>
      <c r="H119" s="328"/>
      <c r="I119" s="304"/>
    </row>
    <row r="120" spans="1:9" x14ac:dyDescent="0.2">
      <c r="A120" s="329"/>
      <c r="B120" s="180"/>
      <c r="C120" s="330"/>
      <c r="D120" s="256"/>
      <c r="E120" s="256"/>
      <c r="F120" s="256"/>
      <c r="G120" s="256"/>
      <c r="H120" s="256"/>
      <c r="I120" s="304"/>
    </row>
    <row r="121" spans="1:9" x14ac:dyDescent="0.2">
      <c r="A121" s="329"/>
      <c r="B121" s="1507"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rintOptions horizontalCentered="1"/>
  <pageMargins left="1" right="0.75" top="1.25" bottom="0.75" header="1" footer="0.25"/>
  <pageSetup scale="70" firstPageNumber="2" orientation="portrait" useFirstPageNumber="1" r:id="rId1"/>
  <headerFooter differentOddEven="1" alignWithMargins="0">
    <oddHeader>&amp;L&amp;8Page &amp;P&amp;C &amp;R&amp;8Page &amp;P</oddHeader>
    <oddFooter>&amp;L&amp;8Printed: &amp;D  &amp;F&amp;CReference should be made to accountant's report regarding this information.
53</oddFooter>
    <evenFooter>&amp;CReference should be made to accountant's report regarding this information.
54</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97" t="str">
        <f>'Single Audit Cover'!A7</f>
        <v>Morrisonville CUSD 1</v>
      </c>
      <c r="B1" s="2474"/>
      <c r="C1" s="2474"/>
      <c r="D1" s="2474"/>
    </row>
    <row r="2" spans="1:11" s="1212" customFormat="1" ht="12.75" x14ac:dyDescent="0.2">
      <c r="A2" s="2498">
        <f>'Single Audit Cover'!E7</f>
        <v>3011001026</v>
      </c>
      <c r="B2" s="2499"/>
      <c r="C2" s="2499"/>
      <c r="D2" s="2499"/>
    </row>
    <row r="3" spans="1:11" s="1212" customFormat="1" ht="12.75" x14ac:dyDescent="0.2">
      <c r="A3" s="2497" t="s">
        <v>1593</v>
      </c>
      <c r="B3" s="2474"/>
      <c r="C3" s="2474"/>
      <c r="D3" s="2474"/>
    </row>
    <row r="4" spans="1:11" s="1212" customFormat="1" ht="4.5" customHeight="1" x14ac:dyDescent="0.2">
      <c r="A4" s="1213"/>
      <c r="B4" s="1214"/>
      <c r="C4" s="1214"/>
      <c r="D4" s="1214"/>
    </row>
    <row r="5" spans="1:11" x14ac:dyDescent="0.2">
      <c r="B5" s="1216" t="s">
        <v>1594</v>
      </c>
      <c r="C5" s="1217"/>
      <c r="D5" s="1218"/>
    </row>
    <row r="6" spans="1:11" x14ac:dyDescent="0.2">
      <c r="B6" s="1216" t="s">
        <v>1287</v>
      </c>
      <c r="C6" s="1217"/>
      <c r="D6" s="1218"/>
    </row>
    <row r="7" spans="1:11" x14ac:dyDescent="0.2">
      <c r="B7" s="1216" t="s">
        <v>1595</v>
      </c>
      <c r="C7" s="1217"/>
      <c r="D7" s="1218"/>
    </row>
    <row r="8" spans="1:11" ht="4.5" customHeight="1" x14ac:dyDescent="0.2">
      <c r="B8" s="1216"/>
      <c r="C8" s="1217"/>
      <c r="D8" s="1218"/>
    </row>
    <row r="9" spans="1:11" x14ac:dyDescent="0.2">
      <c r="B9" s="1220" t="s">
        <v>1286</v>
      </c>
      <c r="C9" s="1221"/>
      <c r="D9" s="1218"/>
    </row>
    <row r="10" spans="1:11" ht="4.5" customHeight="1" x14ac:dyDescent="0.2">
      <c r="B10" s="1220"/>
      <c r="C10" s="1221"/>
      <c r="D10" s="1218"/>
    </row>
    <row r="11" spans="1:11" x14ac:dyDescent="0.2">
      <c r="B11" s="1222"/>
      <c r="C11" s="1223">
        <v>1</v>
      </c>
      <c r="D11" s="1224" t="s">
        <v>1805</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1806</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1807</v>
      </c>
      <c r="E15" s="1225"/>
      <c r="F15" s="1225"/>
      <c r="G15" s="1225"/>
      <c r="H15" s="1225"/>
      <c r="I15" s="1225"/>
      <c r="J15" s="1225"/>
      <c r="K15" s="1225"/>
    </row>
    <row r="16" spans="1:11" ht="10.5" customHeight="1" x14ac:dyDescent="0.2">
      <c r="B16" s="1228"/>
      <c r="D16" s="1227" t="s">
        <v>1285</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1808</v>
      </c>
      <c r="E18" s="1225"/>
      <c r="F18" s="1225"/>
      <c r="G18" s="1225"/>
      <c r="H18" s="1225"/>
      <c r="I18" s="1225"/>
      <c r="J18" s="1225"/>
      <c r="K18" s="1225"/>
    </row>
    <row r="19" spans="1:11" ht="9.75" customHeight="1" x14ac:dyDescent="0.2">
      <c r="A19" s="1219"/>
      <c r="B19" s="1228"/>
      <c r="D19" s="1227" t="s">
        <v>1284</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1283</v>
      </c>
      <c r="E21" s="1225"/>
      <c r="F21" s="1225"/>
      <c r="G21" s="1225"/>
      <c r="H21" s="1225"/>
      <c r="I21" s="1225"/>
      <c r="J21" s="1225"/>
      <c r="K21" s="1225"/>
    </row>
    <row r="22" spans="1:11" ht="10.5" customHeight="1" x14ac:dyDescent="0.2">
      <c r="A22" s="1219"/>
      <c r="B22" s="1228"/>
      <c r="D22" s="1227" t="s">
        <v>1282</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1829</v>
      </c>
      <c r="E24" s="1225"/>
      <c r="F24" s="1225"/>
      <c r="G24" s="1225"/>
      <c r="H24" s="1225"/>
      <c r="I24" s="1225"/>
      <c r="J24" s="1225"/>
      <c r="K24" s="1225"/>
    </row>
    <row r="25" spans="1:11" x14ac:dyDescent="0.2">
      <c r="A25" s="1219"/>
      <c r="B25" s="1228"/>
      <c r="D25" s="1227" t="s">
        <v>1809</v>
      </c>
      <c r="E25" s="1225"/>
      <c r="F25" s="1225"/>
      <c r="G25" s="1225"/>
      <c r="H25" s="1225"/>
      <c r="I25" s="1225"/>
      <c r="J25" s="1225"/>
      <c r="K25" s="1225"/>
    </row>
    <row r="26" spans="1:11" x14ac:dyDescent="0.2">
      <c r="A26" s="1219"/>
      <c r="B26" s="1228"/>
      <c r="D26" s="1232" t="s">
        <v>1810</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1651</v>
      </c>
      <c r="E28" s="1225"/>
      <c r="F28" s="1225"/>
      <c r="G28" s="1225"/>
      <c r="H28" s="1225"/>
      <c r="I28" s="1225"/>
      <c r="J28" s="1225"/>
      <c r="K28" s="1225"/>
    </row>
    <row r="29" spans="1:11" ht="10.5" customHeight="1" x14ac:dyDescent="0.2">
      <c r="A29" s="1219"/>
      <c r="D29" s="1233" t="s">
        <v>1652</v>
      </c>
    </row>
    <row r="30" spans="1:11" ht="6" customHeight="1" x14ac:dyDescent="0.2">
      <c r="A30" s="1219"/>
      <c r="D30" s="1218"/>
    </row>
    <row r="31" spans="1:11" x14ac:dyDescent="0.2">
      <c r="A31" s="1219"/>
      <c r="B31" s="1220" t="s">
        <v>1281</v>
      </c>
      <c r="C31" s="1221"/>
      <c r="D31" s="1218"/>
    </row>
    <row r="32" spans="1:11" ht="4.5" customHeight="1" x14ac:dyDescent="0.2">
      <c r="A32" s="1219"/>
      <c r="B32" s="1220"/>
      <c r="C32" s="1221"/>
      <c r="D32" s="1218"/>
    </row>
    <row r="33" spans="1:5" x14ac:dyDescent="0.2">
      <c r="A33" s="1219"/>
      <c r="B33" s="1222"/>
      <c r="C33" s="1223">
        <v>8</v>
      </c>
      <c r="D33" s="1234" t="s">
        <v>1280</v>
      </c>
    </row>
    <row r="34" spans="1:5" ht="10.5" customHeight="1" x14ac:dyDescent="0.2">
      <c r="A34" s="1219"/>
      <c r="B34" s="1235"/>
      <c r="C34" s="1223"/>
      <c r="D34" s="1234" t="s">
        <v>1653</v>
      </c>
    </row>
    <row r="35" spans="1:5" ht="3" customHeight="1" x14ac:dyDescent="0.2">
      <c r="A35" s="1219"/>
      <c r="B35" s="1228"/>
      <c r="D35" s="1218"/>
    </row>
    <row r="36" spans="1:5" x14ac:dyDescent="0.2">
      <c r="A36" s="1219"/>
      <c r="B36" s="1222"/>
      <c r="C36" s="1223">
        <f>C33+1</f>
        <v>9</v>
      </c>
      <c r="D36" s="1234" t="s">
        <v>1279</v>
      </c>
    </row>
    <row r="37" spans="1:5" ht="10.5" customHeight="1" x14ac:dyDescent="0.2">
      <c r="A37" s="1219"/>
      <c r="B37" s="1228"/>
      <c r="D37" s="1234" t="s">
        <v>1653</v>
      </c>
    </row>
    <row r="38" spans="1:5" ht="3" customHeight="1" x14ac:dyDescent="0.2">
      <c r="A38" s="1219"/>
      <c r="B38" s="1236"/>
      <c r="C38" s="1237"/>
      <c r="D38" s="1218"/>
    </row>
    <row r="39" spans="1:5" x14ac:dyDescent="0.2">
      <c r="A39" s="1219"/>
      <c r="B39" s="1238"/>
      <c r="C39" s="1229">
        <f>C36+1</f>
        <v>10</v>
      </c>
      <c r="D39" s="1218" t="s">
        <v>1278</v>
      </c>
    </row>
    <row r="40" spans="1:5" ht="10.5" customHeight="1" x14ac:dyDescent="0.2">
      <c r="A40" s="1219"/>
      <c r="B40" s="1239"/>
      <c r="C40" s="1237"/>
      <c r="D40" s="1218" t="s">
        <v>1654</v>
      </c>
    </row>
    <row r="41" spans="1:5" ht="3" customHeight="1" x14ac:dyDescent="0.2">
      <c r="A41" s="1219"/>
      <c r="B41" s="1236"/>
      <c r="C41" s="1237"/>
      <c r="D41" s="1218"/>
    </row>
    <row r="42" spans="1:5" ht="10.5" customHeight="1" x14ac:dyDescent="0.2">
      <c r="A42" s="1219"/>
      <c r="B42" s="1238"/>
      <c r="C42" s="1229">
        <v>11</v>
      </c>
      <c r="D42" s="1240" t="s">
        <v>1655</v>
      </c>
      <c r="E42" s="312"/>
    </row>
    <row r="43" spans="1:5" ht="3" customHeight="1" x14ac:dyDescent="0.2">
      <c r="A43" s="1219"/>
      <c r="B43" s="1236"/>
      <c r="C43" s="1237"/>
      <c r="D43" s="1218"/>
    </row>
    <row r="44" spans="1:5" x14ac:dyDescent="0.2">
      <c r="A44" s="1219"/>
      <c r="B44" s="1222"/>
      <c r="C44" s="1223">
        <f>C42+1</f>
        <v>12</v>
      </c>
      <c r="D44" s="1234" t="s">
        <v>1277</v>
      </c>
    </row>
    <row r="45" spans="1:5" ht="10.5" customHeight="1" x14ac:dyDescent="0.2">
      <c r="A45" s="1219"/>
      <c r="B45" s="1235"/>
      <c r="C45" s="1223"/>
      <c r="D45" s="1234" t="s">
        <v>1276</v>
      </c>
    </row>
    <row r="46" spans="1:5" ht="10.5" customHeight="1" x14ac:dyDescent="0.2">
      <c r="A46" s="1219"/>
      <c r="B46" s="1236"/>
      <c r="C46" s="1237"/>
      <c r="D46" s="1234" t="s">
        <v>1275</v>
      </c>
    </row>
    <row r="47" spans="1:5" ht="3" customHeight="1" x14ac:dyDescent="0.2">
      <c r="A47" s="1219"/>
      <c r="B47" s="1236"/>
      <c r="C47" s="1237"/>
      <c r="D47" s="1234"/>
    </row>
    <row r="48" spans="1:5" x14ac:dyDescent="0.2">
      <c r="A48" s="1219"/>
      <c r="B48" s="1222"/>
      <c r="C48" s="1223">
        <f>C44+1</f>
        <v>13</v>
      </c>
      <c r="D48" s="1234" t="s">
        <v>1656</v>
      </c>
    </row>
    <row r="49" spans="1:4" ht="3" customHeight="1" x14ac:dyDescent="0.2">
      <c r="A49" s="1219"/>
      <c r="B49" s="1226"/>
      <c r="C49" s="1223"/>
      <c r="D49" s="1234"/>
    </row>
    <row r="50" spans="1:4" x14ac:dyDescent="0.2">
      <c r="A50" s="1219"/>
      <c r="B50" s="1222"/>
      <c r="C50" s="1223">
        <f>C48+1</f>
        <v>14</v>
      </c>
      <c r="D50" s="1234" t="s">
        <v>1274</v>
      </c>
    </row>
    <row r="51" spans="1:4" ht="3" customHeight="1" x14ac:dyDescent="0.2">
      <c r="A51" s="1219"/>
      <c r="B51" s="1226"/>
      <c r="C51" s="1223"/>
      <c r="D51" s="1234"/>
    </row>
    <row r="52" spans="1:4" x14ac:dyDescent="0.2">
      <c r="A52" s="1219"/>
      <c r="B52" s="1222"/>
      <c r="C52" s="1223">
        <f>C50+1</f>
        <v>15</v>
      </c>
      <c r="D52" s="1234" t="s">
        <v>1273</v>
      </c>
    </row>
    <row r="53" spans="1:4" ht="3" customHeight="1" x14ac:dyDescent="0.2">
      <c r="A53" s="1219"/>
      <c r="B53" s="1226"/>
      <c r="C53" s="1223"/>
      <c r="D53" s="1234"/>
    </row>
    <row r="54" spans="1:4" x14ac:dyDescent="0.2">
      <c r="A54" s="1219"/>
      <c r="B54" s="1222"/>
      <c r="C54" s="1223">
        <f>C52+1</f>
        <v>16</v>
      </c>
      <c r="D54" s="1234" t="s">
        <v>1272</v>
      </c>
    </row>
    <row r="55" spans="1:4" ht="3" customHeight="1" x14ac:dyDescent="0.2">
      <c r="A55" s="1219"/>
      <c r="B55" s="1226"/>
      <c r="C55" s="1223"/>
      <c r="D55" s="1234"/>
    </row>
    <row r="56" spans="1:4" x14ac:dyDescent="0.2">
      <c r="A56" s="1219"/>
      <c r="B56" s="1222"/>
      <c r="C56" s="1223">
        <f>C54+1</f>
        <v>17</v>
      </c>
      <c r="D56" s="1218" t="s">
        <v>1811</v>
      </c>
    </row>
    <row r="57" spans="1:4" ht="10.5" customHeight="1" x14ac:dyDescent="0.2">
      <c r="A57" s="1219"/>
      <c r="D57" s="1234" t="s">
        <v>1812</v>
      </c>
    </row>
    <row r="58" spans="1:4" x14ac:dyDescent="0.2">
      <c r="A58" s="1219"/>
      <c r="C58" s="1241"/>
      <c r="D58" s="1234" t="s">
        <v>1813</v>
      </c>
    </row>
    <row r="59" spans="1:4" ht="10.5" customHeight="1" x14ac:dyDescent="0.2">
      <c r="A59" s="1219"/>
      <c r="D59" s="1218" t="s">
        <v>1271</v>
      </c>
    </row>
    <row r="60" spans="1:4" ht="10.5" customHeight="1" x14ac:dyDescent="0.2">
      <c r="A60" s="1219"/>
      <c r="D60" s="1242" t="s">
        <v>1681</v>
      </c>
    </row>
    <row r="61" spans="1:4" ht="10.5" customHeight="1" x14ac:dyDescent="0.2">
      <c r="A61" s="1219"/>
      <c r="C61" s="1241"/>
      <c r="D61" s="1234" t="s">
        <v>1814</v>
      </c>
    </row>
    <row r="62" spans="1:4" ht="10.5" customHeight="1" x14ac:dyDescent="0.2">
      <c r="A62" s="1219"/>
      <c r="D62" s="1243" t="s">
        <v>1270</v>
      </c>
    </row>
    <row r="63" spans="1:4" ht="10.5" customHeight="1" x14ac:dyDescent="0.2">
      <c r="A63" s="1219"/>
      <c r="D63" s="1218" t="s">
        <v>1657</v>
      </c>
    </row>
    <row r="64" spans="1:4" ht="10.5" customHeight="1" x14ac:dyDescent="0.2">
      <c r="A64" s="1219"/>
      <c r="D64" s="1242" t="s">
        <v>1680</v>
      </c>
    </row>
    <row r="65" spans="1:4" x14ac:dyDescent="0.2">
      <c r="A65" s="1219"/>
      <c r="C65" s="1241"/>
      <c r="D65" s="1234" t="s">
        <v>1815</v>
      </c>
    </row>
    <row r="66" spans="1:4" ht="10.5" customHeight="1" x14ac:dyDescent="0.2">
      <c r="A66" s="1219"/>
      <c r="D66" s="1244" t="s">
        <v>1269</v>
      </c>
    </row>
    <row r="67" spans="1:4" ht="10.5" customHeight="1" x14ac:dyDescent="0.2">
      <c r="A67" s="1219"/>
      <c r="D67" s="1218" t="s">
        <v>1658</v>
      </c>
    </row>
    <row r="68" spans="1:4" ht="10.5" customHeight="1" x14ac:dyDescent="0.2">
      <c r="A68" s="1219"/>
      <c r="D68" s="1242" t="s">
        <v>1680</v>
      </c>
    </row>
    <row r="69" spans="1:4" ht="10.5" customHeight="1" x14ac:dyDescent="0.2">
      <c r="A69" s="1219"/>
      <c r="C69" s="1241"/>
      <c r="D69" s="1234" t="s">
        <v>1816</v>
      </c>
    </row>
    <row r="70" spans="1:4" x14ac:dyDescent="0.2">
      <c r="A70" s="1219"/>
      <c r="D70" s="1243" t="s">
        <v>1268</v>
      </c>
    </row>
    <row r="71" spans="1:4" ht="3" customHeight="1" x14ac:dyDescent="0.2">
      <c r="A71" s="1219"/>
      <c r="D71" s="1218"/>
    </row>
    <row r="72" spans="1:4" x14ac:dyDescent="0.2">
      <c r="A72" s="1219"/>
      <c r="B72" s="1222"/>
      <c r="C72" s="1223">
        <f>C56+1</f>
        <v>18</v>
      </c>
      <c r="D72" s="1244" t="s">
        <v>1817</v>
      </c>
    </row>
    <row r="73" spans="1:4" ht="3" customHeight="1" x14ac:dyDescent="0.2">
      <c r="A73" s="1219"/>
      <c r="B73" s="1226"/>
      <c r="C73" s="1223"/>
      <c r="D73" s="1244"/>
    </row>
    <row r="74" spans="1:4" x14ac:dyDescent="0.2">
      <c r="A74" s="1219"/>
      <c r="B74" s="1222"/>
      <c r="C74" s="1223">
        <f>C72+1</f>
        <v>19</v>
      </c>
      <c r="D74" s="1234" t="s">
        <v>1267</v>
      </c>
    </row>
    <row r="75" spans="1:4" ht="3" customHeight="1" x14ac:dyDescent="0.2">
      <c r="A75" s="1219"/>
      <c r="B75" s="1226"/>
      <c r="C75" s="1223"/>
      <c r="D75" s="1234"/>
    </row>
    <row r="76" spans="1:4" x14ac:dyDescent="0.2">
      <c r="A76" s="1219"/>
      <c r="B76" s="1222"/>
      <c r="C76" s="1223">
        <f>C74+1</f>
        <v>20</v>
      </c>
      <c r="D76" s="1245" t="s">
        <v>1818</v>
      </c>
    </row>
    <row r="77" spans="1:4" ht="3" customHeight="1" x14ac:dyDescent="0.2">
      <c r="A77" s="1219"/>
      <c r="B77" s="1226"/>
      <c r="C77" s="1223"/>
      <c r="D77" s="1245"/>
    </row>
    <row r="78" spans="1:4" x14ac:dyDescent="0.2">
      <c r="A78" s="1219"/>
      <c r="B78" s="1222"/>
      <c r="C78" s="1223">
        <f>C76+1</f>
        <v>21</v>
      </c>
      <c r="D78" s="1218" t="s">
        <v>1819</v>
      </c>
    </row>
    <row r="79" spans="1:4" ht="3" customHeight="1" x14ac:dyDescent="0.2">
      <c r="A79" s="1219"/>
      <c r="B79" s="1226"/>
      <c r="C79" s="1223"/>
      <c r="D79" s="1218"/>
    </row>
    <row r="80" spans="1:4" x14ac:dyDescent="0.2">
      <c r="A80" s="1219"/>
      <c r="B80" s="1222"/>
      <c r="C80" s="1223">
        <f>C78+1</f>
        <v>22</v>
      </c>
      <c r="D80" s="1246" t="s">
        <v>1820</v>
      </c>
    </row>
    <row r="81" spans="1:4" ht="3" customHeight="1" x14ac:dyDescent="0.2">
      <c r="A81" s="1219"/>
      <c r="B81" s="1226"/>
      <c r="C81" s="1223"/>
      <c r="D81" s="1246"/>
    </row>
    <row r="82" spans="1:4" x14ac:dyDescent="0.2">
      <c r="A82" s="1219"/>
      <c r="B82" s="1222"/>
      <c r="C82" s="1223">
        <f>C80+1</f>
        <v>23</v>
      </c>
      <c r="D82" s="1245" t="s">
        <v>1821</v>
      </c>
    </row>
    <row r="83" spans="1:4" ht="10.5" customHeight="1" x14ac:dyDescent="0.2">
      <c r="A83" s="1219"/>
      <c r="B83" s="1228"/>
      <c r="D83" s="1234" t="s">
        <v>1266</v>
      </c>
    </row>
    <row r="84" spans="1:4" ht="3" customHeight="1" x14ac:dyDescent="0.2">
      <c r="A84" s="1219"/>
      <c r="B84" s="1228"/>
      <c r="D84" s="1234"/>
    </row>
    <row r="85" spans="1:4" x14ac:dyDescent="0.2">
      <c r="A85" s="1219"/>
      <c r="B85" s="1222"/>
      <c r="C85" s="1223">
        <f>C82+1</f>
        <v>24</v>
      </c>
      <c r="D85" s="1234" t="s">
        <v>1265</v>
      </c>
    </row>
    <row r="86" spans="1:4" ht="3" customHeight="1" x14ac:dyDescent="0.2">
      <c r="A86" s="1219"/>
      <c r="B86" s="1226"/>
      <c r="C86" s="1223"/>
      <c r="D86" s="1234"/>
    </row>
    <row r="87" spans="1:4" x14ac:dyDescent="0.2">
      <c r="A87" s="1219"/>
      <c r="B87" s="1222"/>
      <c r="C87" s="1223">
        <f>C85+1</f>
        <v>25</v>
      </c>
      <c r="D87" s="1234" t="s">
        <v>1264</v>
      </c>
    </row>
    <row r="88" spans="1:4" ht="3" customHeight="1" x14ac:dyDescent="0.2">
      <c r="A88" s="1219"/>
      <c r="B88" s="1226"/>
      <c r="C88" s="1223"/>
      <c r="D88" s="1234"/>
    </row>
    <row r="89" spans="1:4" x14ac:dyDescent="0.2">
      <c r="A89" s="1219"/>
      <c r="B89" s="1222"/>
      <c r="C89" s="1223">
        <f>C87+1</f>
        <v>26</v>
      </c>
      <c r="D89" s="1234" t="s">
        <v>1263</v>
      </c>
    </row>
    <row r="90" spans="1:4" ht="3" customHeight="1" x14ac:dyDescent="0.2">
      <c r="A90" s="1219"/>
      <c r="B90" s="1226"/>
      <c r="C90" s="1223"/>
      <c r="D90" s="1234"/>
    </row>
    <row r="91" spans="1:4" x14ac:dyDescent="0.2">
      <c r="A91" s="1219"/>
      <c r="B91" s="1222"/>
      <c r="C91" s="1223">
        <f>C89+1</f>
        <v>27</v>
      </c>
      <c r="D91" s="1234" t="s">
        <v>1822</v>
      </c>
    </row>
    <row r="92" spans="1:4" x14ac:dyDescent="0.2">
      <c r="A92" s="1219"/>
      <c r="B92" s="1247"/>
      <c r="C92" s="1241"/>
      <c r="D92" s="1234" t="s">
        <v>1262</v>
      </c>
    </row>
    <row r="93" spans="1:4" ht="4.5" customHeight="1" x14ac:dyDescent="0.2">
      <c r="A93" s="1219"/>
      <c r="D93" s="1218"/>
    </row>
    <row r="94" spans="1:4" x14ac:dyDescent="0.2">
      <c r="A94" s="1219"/>
      <c r="B94" s="1220" t="s">
        <v>1659</v>
      </c>
      <c r="C94" s="1221"/>
      <c r="D94" s="1218"/>
    </row>
    <row r="95" spans="1:4" ht="4.5" customHeight="1" x14ac:dyDescent="0.2">
      <c r="A95" s="1219"/>
      <c r="B95" s="1220"/>
      <c r="C95" s="1221"/>
      <c r="D95" s="1218"/>
    </row>
    <row r="96" spans="1:4" x14ac:dyDescent="0.2">
      <c r="A96" s="1219"/>
      <c r="B96" s="1222"/>
      <c r="C96" s="1223">
        <f>C91+1</f>
        <v>28</v>
      </c>
      <c r="D96" s="1234" t="s">
        <v>1823</v>
      </c>
    </row>
    <row r="97" spans="1:4" ht="3" customHeight="1" x14ac:dyDescent="0.2">
      <c r="A97" s="1219"/>
      <c r="B97" s="1226"/>
      <c r="C97" s="1223"/>
      <c r="D97" s="1234"/>
    </row>
    <row r="98" spans="1:4" x14ac:dyDescent="0.2">
      <c r="A98" s="1219"/>
      <c r="B98" s="1222"/>
      <c r="C98" s="1223">
        <f>C96+1</f>
        <v>29</v>
      </c>
      <c r="D98" s="1248" t="s">
        <v>1824</v>
      </c>
    </row>
    <row r="99" spans="1:4" ht="3" customHeight="1" x14ac:dyDescent="0.2">
      <c r="A99" s="1219"/>
      <c r="B99" s="1226"/>
      <c r="C99" s="1223"/>
      <c r="D99" s="1248"/>
    </row>
    <row r="100" spans="1:4" x14ac:dyDescent="0.2">
      <c r="A100" s="1219"/>
      <c r="B100" s="1222"/>
      <c r="C100" s="1223">
        <f>C98+1</f>
        <v>30</v>
      </c>
      <c r="D100" s="1234" t="s">
        <v>1825</v>
      </c>
    </row>
    <row r="101" spans="1:4" ht="3" customHeight="1" x14ac:dyDescent="0.2">
      <c r="A101" s="1219"/>
      <c r="B101" s="1226"/>
      <c r="C101" s="1223"/>
      <c r="D101" s="1249"/>
    </row>
    <row r="102" spans="1:4" x14ac:dyDescent="0.2">
      <c r="A102" s="1219"/>
      <c r="B102" s="1222"/>
      <c r="C102" s="1223">
        <f>C100+1</f>
        <v>31</v>
      </c>
      <c r="D102" s="1234" t="s">
        <v>1660</v>
      </c>
    </row>
    <row r="103" spans="1:4" ht="4.5" customHeight="1" x14ac:dyDescent="0.2">
      <c r="A103" s="1219"/>
      <c r="B103" s="312"/>
      <c r="C103" s="1223"/>
      <c r="D103" s="1234"/>
    </row>
    <row r="104" spans="1:4" ht="14.1" customHeight="1" x14ac:dyDescent="0.2">
      <c r="A104" s="1219"/>
      <c r="B104" s="1250" t="s">
        <v>1261</v>
      </c>
    </row>
    <row r="105" spans="1:4" ht="4.5" customHeight="1" x14ac:dyDescent="0.2">
      <c r="A105" s="1219"/>
      <c r="B105" s="1250"/>
    </row>
    <row r="106" spans="1:4" x14ac:dyDescent="0.2">
      <c r="A106" s="1219"/>
      <c r="B106" s="1222"/>
      <c r="C106" s="1223">
        <f>C102+1</f>
        <v>32</v>
      </c>
      <c r="D106" s="1218" t="s">
        <v>1661</v>
      </c>
    </row>
    <row r="107" spans="1:4" ht="3" customHeight="1" x14ac:dyDescent="0.2">
      <c r="A107" s="1219"/>
      <c r="B107" s="1226"/>
      <c r="C107" s="1223"/>
      <c r="D107" s="1218"/>
    </row>
    <row r="108" spans="1:4" x14ac:dyDescent="0.2">
      <c r="A108" s="1219"/>
      <c r="B108" s="1222"/>
      <c r="C108" s="1223">
        <v>33</v>
      </c>
      <c r="D108" s="1218" t="s">
        <v>1826</v>
      </c>
    </row>
    <row r="109" spans="1:4" ht="3" customHeight="1" x14ac:dyDescent="0.2">
      <c r="A109" s="1219"/>
      <c r="B109" s="1226"/>
      <c r="C109" s="1223"/>
      <c r="D109" s="1218"/>
    </row>
    <row r="110" spans="1:4" x14ac:dyDescent="0.2">
      <c r="A110" s="1219"/>
      <c r="B110" s="1222"/>
      <c r="C110" s="1223">
        <f>C108+1</f>
        <v>34</v>
      </c>
      <c r="D110" s="1218" t="s">
        <v>1260</v>
      </c>
    </row>
    <row r="111" spans="1:4" ht="3" customHeight="1" x14ac:dyDescent="0.2">
      <c r="A111" s="1219"/>
      <c r="B111" s="1226"/>
      <c r="C111" s="1223"/>
      <c r="D111" s="1218"/>
    </row>
    <row r="112" spans="1:4" x14ac:dyDescent="0.2">
      <c r="A112" s="1219"/>
      <c r="B112" s="1222"/>
      <c r="C112" s="1223">
        <f>C110+1</f>
        <v>35</v>
      </c>
      <c r="D112" s="1218" t="s">
        <v>1259</v>
      </c>
    </row>
    <row r="113" spans="1:4" ht="11.25" customHeight="1" x14ac:dyDescent="0.2">
      <c r="A113" s="1219"/>
      <c r="B113" s="1251"/>
      <c r="C113" s="1223"/>
      <c r="D113" s="1252" t="s">
        <v>1258</v>
      </c>
    </row>
    <row r="114" spans="1:4" ht="3" customHeight="1" x14ac:dyDescent="0.2">
      <c r="A114" s="1219"/>
      <c r="B114" s="1253"/>
      <c r="C114" s="1223"/>
      <c r="D114" s="1252"/>
    </row>
    <row r="115" spans="1:4" x14ac:dyDescent="0.2">
      <c r="A115" s="1219"/>
      <c r="B115" s="1222"/>
      <c r="C115" s="1223">
        <f>C112+1</f>
        <v>36</v>
      </c>
      <c r="D115" s="1234" t="s">
        <v>1257</v>
      </c>
    </row>
    <row r="116" spans="1:4" ht="3" customHeight="1" x14ac:dyDescent="0.2">
      <c r="A116" s="1219"/>
      <c r="B116" s="1226"/>
      <c r="C116" s="1223"/>
      <c r="D116" s="1234"/>
    </row>
    <row r="117" spans="1:4" x14ac:dyDescent="0.2">
      <c r="A117" s="1219"/>
      <c r="B117" s="1222"/>
      <c r="C117" s="1223">
        <f>C115+1</f>
        <v>37</v>
      </c>
      <c r="D117" s="1234" t="s">
        <v>1827</v>
      </c>
    </row>
    <row r="118" spans="1:4" ht="3" customHeight="1" x14ac:dyDescent="0.2">
      <c r="A118" s="1219"/>
      <c r="B118" s="1226"/>
      <c r="C118" s="1223"/>
      <c r="D118" s="1234"/>
    </row>
    <row r="119" spans="1:4" x14ac:dyDescent="0.2">
      <c r="A119" s="1219"/>
      <c r="B119" s="1222"/>
      <c r="C119" s="1223">
        <f>C117+1</f>
        <v>38</v>
      </c>
      <c r="D119" s="1234" t="s">
        <v>1828</v>
      </c>
    </row>
    <row r="120" spans="1:4" ht="10.5" customHeight="1" x14ac:dyDescent="0.2">
      <c r="A120" s="1219"/>
      <c r="B120" s="1247"/>
      <c r="C120" s="1223"/>
      <c r="D120" s="1234" t="s">
        <v>1256</v>
      </c>
    </row>
    <row r="121" spans="1:4" ht="10.5" customHeight="1" x14ac:dyDescent="0.2">
      <c r="A121" s="1219"/>
      <c r="B121" s="1247"/>
      <c r="C121" s="1223"/>
      <c r="D121" s="1234" t="s">
        <v>1255</v>
      </c>
    </row>
    <row r="122" spans="1:4" ht="3" customHeight="1" x14ac:dyDescent="0.2">
      <c r="A122" s="1219"/>
      <c r="B122" s="1247"/>
      <c r="C122" s="1223"/>
      <c r="D122" s="1234"/>
    </row>
    <row r="123" spans="1:4" x14ac:dyDescent="0.2">
      <c r="A123" s="1219"/>
      <c r="B123" s="1222"/>
      <c r="C123" s="1223">
        <f>C119+1</f>
        <v>39</v>
      </c>
      <c r="D123" s="1244" t="s">
        <v>1947</v>
      </c>
    </row>
    <row r="124" spans="1:4" x14ac:dyDescent="0.2">
      <c r="A124" s="1219"/>
      <c r="B124" s="312"/>
      <c r="C124" s="1223"/>
      <c r="D124" s="1234" t="s">
        <v>1254</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7"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501" t="str">
        <f>'Single Audit Cover'!A7</f>
        <v>Morrisonville CUSD 1</v>
      </c>
      <c r="B1" s="2501"/>
      <c r="C1" s="2501"/>
      <c r="D1" s="2501"/>
      <c r="E1" s="2501"/>
    </row>
    <row r="2" spans="1:5" x14ac:dyDescent="0.2">
      <c r="A2" s="2502">
        <f>'Single Audit Cover'!E7</f>
        <v>3011001026</v>
      </c>
      <c r="B2" s="2502"/>
      <c r="C2" s="2502"/>
      <c r="D2" s="2502"/>
      <c r="E2" s="2502"/>
    </row>
    <row r="3" spans="1:5" ht="4.5" customHeight="1" x14ac:dyDescent="0.2"/>
    <row r="4" spans="1:5" x14ac:dyDescent="0.2">
      <c r="A4" s="2501" t="s">
        <v>1307</v>
      </c>
      <c r="B4" s="2501"/>
      <c r="C4" s="2501"/>
      <c r="D4" s="2501"/>
      <c r="E4" s="2501"/>
    </row>
    <row r="5" spans="1:5" x14ac:dyDescent="0.2">
      <c r="A5" s="2504" t="str">
        <f>'Single Audit Cover'!A4</f>
        <v>Year Ending June 30, 2018</v>
      </c>
      <c r="B5" s="2504"/>
      <c r="C5" s="2504"/>
      <c r="D5" s="2504"/>
      <c r="E5" s="2504"/>
    </row>
    <row r="6" spans="1:5" x14ac:dyDescent="0.2">
      <c r="A6" s="2501" t="s">
        <v>1306</v>
      </c>
      <c r="B6" s="2501"/>
      <c r="C6" s="2501"/>
      <c r="D6" s="2501"/>
      <c r="E6" s="2501"/>
    </row>
    <row r="8" spans="1:5" x14ac:dyDescent="0.2">
      <c r="A8" s="1257" t="s">
        <v>1305</v>
      </c>
    </row>
    <row r="10" spans="1:5" x14ac:dyDescent="0.2">
      <c r="A10" s="1258" t="s">
        <v>1304</v>
      </c>
      <c r="B10" s="1259" t="s">
        <v>1303</v>
      </c>
      <c r="C10" s="1259"/>
      <c r="D10" s="1260">
        <f>SUM('Acct Summary 7-8'!C7:K7)</f>
        <v>121993</v>
      </c>
    </row>
    <row r="11" spans="1:5" ht="18" customHeight="1" x14ac:dyDescent="0.2">
      <c r="A11" s="1258" t="s">
        <v>1302</v>
      </c>
      <c r="B11" s="1259"/>
      <c r="C11" s="1259"/>
    </row>
    <row r="12" spans="1:5" x14ac:dyDescent="0.2">
      <c r="A12" s="1258" t="s">
        <v>1301</v>
      </c>
      <c r="B12" s="1259" t="s">
        <v>1300</v>
      </c>
      <c r="C12" s="1259"/>
      <c r="D12" s="1261">
        <f>SUM('Revenues 9-14'!C112:D112,'Revenues 9-14'!F112:G112)</f>
        <v>0</v>
      </c>
    </row>
    <row r="13" spans="1:5" x14ac:dyDescent="0.2">
      <c r="A13" s="1258" t="s">
        <v>1299</v>
      </c>
      <c r="B13" s="1259"/>
      <c r="C13" s="1259"/>
    </row>
    <row r="14" spans="1:5" x14ac:dyDescent="0.2">
      <c r="A14" s="1258" t="s">
        <v>1830</v>
      </c>
      <c r="B14" s="1259"/>
      <c r="C14" s="1259"/>
      <c r="D14" s="1261">
        <f>'ICR Computation 30'!E11</f>
        <v>9451</v>
      </c>
    </row>
    <row r="15" spans="1:5" x14ac:dyDescent="0.2">
      <c r="A15" s="1258"/>
      <c r="B15" s="1259"/>
      <c r="C15" s="1259"/>
    </row>
    <row r="16" spans="1:5" x14ac:dyDescent="0.2">
      <c r="A16" s="1258" t="s">
        <v>1955</v>
      </c>
      <c r="B16" s="1259"/>
      <c r="C16" s="1259"/>
    </row>
    <row r="17" spans="1:4" x14ac:dyDescent="0.2">
      <c r="A17" s="1258" t="s">
        <v>1601</v>
      </c>
      <c r="B17" s="1259" t="s">
        <v>1298</v>
      </c>
      <c r="C17" s="1259"/>
      <c r="D17" s="1261">
        <f>-SUM('Revenues 9-14'!C271:D271,'Revenues 9-14'!F271:G271)</f>
        <v>0</v>
      </c>
    </row>
    <row r="19" spans="1:4" ht="13.5" thickBot="1" x14ac:dyDescent="0.25">
      <c r="A19" s="1262" t="s">
        <v>1297</v>
      </c>
      <c r="D19" s="1263">
        <f>SUM(D10:D17)</f>
        <v>131444</v>
      </c>
    </row>
    <row r="20" spans="1:4" ht="21.75" customHeight="1" thickTop="1" x14ac:dyDescent="0.2"/>
    <row r="21" spans="1:4" x14ac:dyDescent="0.2">
      <c r="A21" s="1257" t="s">
        <v>1296</v>
      </c>
    </row>
    <row r="22" spans="1:4" ht="8.25" customHeight="1" x14ac:dyDescent="0.2"/>
    <row r="23" spans="1:4" x14ac:dyDescent="0.2">
      <c r="A23" s="1264" t="s">
        <v>1290</v>
      </c>
    </row>
    <row r="24" spans="1:4" x14ac:dyDescent="0.2">
      <c r="A24" s="2503"/>
      <c r="B24" s="2503"/>
      <c r="D24" s="1265"/>
    </row>
    <row r="25" spans="1:4" x14ac:dyDescent="0.2">
      <c r="A25" s="2500"/>
      <c r="B25" s="2500"/>
      <c r="D25" s="1265"/>
    </row>
    <row r="26" spans="1:4" x14ac:dyDescent="0.2">
      <c r="A26" s="2500"/>
      <c r="B26" s="2500"/>
      <c r="D26" s="1265"/>
    </row>
    <row r="27" spans="1:4" x14ac:dyDescent="0.2">
      <c r="A27" s="2500"/>
      <c r="B27" s="2500"/>
      <c r="D27" s="1265"/>
    </row>
    <row r="28" spans="1:4" x14ac:dyDescent="0.2">
      <c r="A28" s="2500"/>
      <c r="B28" s="2500"/>
      <c r="D28" s="1265"/>
    </row>
    <row r="29" spans="1:4" x14ac:dyDescent="0.2">
      <c r="A29" s="2500"/>
      <c r="B29" s="2500"/>
      <c r="D29" s="1265"/>
    </row>
    <row r="30" spans="1:4" x14ac:dyDescent="0.2">
      <c r="A30" s="2500"/>
      <c r="B30" s="2500"/>
      <c r="D30" s="1265"/>
    </row>
    <row r="32" spans="1:4" x14ac:dyDescent="0.2">
      <c r="A32" s="1257" t="s">
        <v>1295</v>
      </c>
      <c r="D32" s="1260">
        <f>SUM(D19:D30)</f>
        <v>131444</v>
      </c>
    </row>
    <row r="33" spans="1:4" x14ac:dyDescent="0.2">
      <c r="D33" s="1266"/>
    </row>
    <row r="34" spans="1:4" x14ac:dyDescent="0.2">
      <c r="A34" s="317" t="s">
        <v>1294</v>
      </c>
    </row>
    <row r="35" spans="1:4" x14ac:dyDescent="0.2">
      <c r="A35" s="317" t="s">
        <v>1293</v>
      </c>
      <c r="B35" s="1255" t="s">
        <v>1292</v>
      </c>
      <c r="D35" s="1267"/>
    </row>
    <row r="37" spans="1:4" x14ac:dyDescent="0.2">
      <c r="A37" s="1257" t="s">
        <v>1291</v>
      </c>
    </row>
    <row r="39" spans="1:4" ht="13.35" customHeight="1" x14ac:dyDescent="0.2">
      <c r="A39" s="1264" t="s">
        <v>1290</v>
      </c>
    </row>
    <row r="40" spans="1:4" x14ac:dyDescent="0.2">
      <c r="A40" s="2500"/>
      <c r="B40" s="2500"/>
      <c r="D40" s="1265"/>
    </row>
    <row r="41" spans="1:4" x14ac:dyDescent="0.2">
      <c r="A41" s="2500"/>
      <c r="B41" s="2500"/>
      <c r="D41" s="1268"/>
    </row>
    <row r="42" spans="1:4" x14ac:dyDescent="0.2">
      <c r="A42" s="2500"/>
      <c r="B42" s="2500"/>
      <c r="D42" s="1268"/>
    </row>
    <row r="43" spans="1:4" x14ac:dyDescent="0.2">
      <c r="A43" s="2500"/>
      <c r="B43" s="2500"/>
      <c r="D43" s="1268"/>
    </row>
    <row r="44" spans="1:4" x14ac:dyDescent="0.2">
      <c r="A44" s="2500"/>
      <c r="B44" s="2500"/>
      <c r="D44" s="1268"/>
    </row>
    <row r="45" spans="1:4" x14ac:dyDescent="0.2">
      <c r="A45" s="2500"/>
      <c r="B45" s="2500"/>
      <c r="D45" s="1268"/>
    </row>
    <row r="47" spans="1:4" x14ac:dyDescent="0.2">
      <c r="B47" s="1269" t="s">
        <v>1289</v>
      </c>
      <c r="C47" s="1269"/>
      <c r="D47" s="1270">
        <f>SUM(D35:D45)</f>
        <v>0</v>
      </c>
    </row>
    <row r="49" spans="2:4" x14ac:dyDescent="0.2">
      <c r="B49" s="1269" t="s">
        <v>1288</v>
      </c>
      <c r="C49" s="1269"/>
      <c r="D49" s="1270">
        <f>D32-D47</f>
        <v>131444</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514" t="str">
        <f>'Single Audit Cover'!A7</f>
        <v>Morrisonville CUSD 1</v>
      </c>
      <c r="B1" s="2514"/>
      <c r="C1" s="2514"/>
      <c r="D1" s="2514"/>
      <c r="E1" s="2514"/>
      <c r="F1" s="2514"/>
    </row>
    <row r="2" spans="1:7" ht="13.5" customHeight="1" x14ac:dyDescent="0.2">
      <c r="A2" s="2515">
        <f>'Single Audit Cover'!E7</f>
        <v>3011001026</v>
      </c>
      <c r="B2" s="2515"/>
      <c r="C2" s="2515"/>
      <c r="D2" s="2515"/>
      <c r="E2" s="2515"/>
      <c r="F2" s="2515"/>
      <c r="G2" s="1272"/>
    </row>
    <row r="3" spans="1:7" ht="15.75" customHeight="1" x14ac:dyDescent="0.2">
      <c r="A3" s="2516" t="s">
        <v>1333</v>
      </c>
      <c r="B3" s="2516"/>
      <c r="C3" s="2516"/>
      <c r="D3" s="2516"/>
      <c r="E3" s="2516"/>
      <c r="F3" s="2516"/>
    </row>
    <row r="4" spans="1:7" ht="13.5" customHeight="1" x14ac:dyDescent="0.2">
      <c r="A4" s="2517" t="str">
        <f>'Single Audit Cover'!A4</f>
        <v>Year Ending June 30, 2018</v>
      </c>
      <c r="B4" s="2517"/>
      <c r="C4" s="2517"/>
      <c r="D4" s="2517"/>
      <c r="E4" s="2517"/>
      <c r="F4" s="2517"/>
    </row>
    <row r="5" spans="1:7" ht="8.25" customHeight="1" x14ac:dyDescent="0.2">
      <c r="C5" s="317"/>
      <c r="D5" s="317"/>
    </row>
    <row r="6" spans="1:7" ht="13.5" customHeight="1" x14ac:dyDescent="0.2">
      <c r="A6" s="1273" t="s">
        <v>1831</v>
      </c>
      <c r="C6" s="317"/>
      <c r="D6" s="317"/>
    </row>
    <row r="7" spans="1:7" ht="60.95" customHeight="1" x14ac:dyDescent="0.2">
      <c r="A7" s="2513" t="s">
        <v>1832</v>
      </c>
      <c r="B7" s="2513"/>
      <c r="C7" s="2513"/>
      <c r="D7" s="2513"/>
      <c r="E7" s="2513"/>
      <c r="F7" s="2513"/>
    </row>
    <row r="8" spans="1:7" ht="12" customHeight="1" x14ac:dyDescent="0.2">
      <c r="A8" s="1273"/>
      <c r="B8" s="1279"/>
      <c r="C8" s="1279"/>
      <c r="D8" s="1279"/>
    </row>
    <row r="9" spans="1:7" ht="15" customHeight="1" x14ac:dyDescent="0.2">
      <c r="A9" s="1274" t="s">
        <v>1833</v>
      </c>
      <c r="B9" s="1277"/>
      <c r="C9" s="1277"/>
      <c r="D9" s="1277"/>
      <c r="E9" s="1275"/>
      <c r="F9" s="1275"/>
      <c r="G9" s="1275"/>
    </row>
    <row r="10" spans="1:7" ht="15" customHeight="1" x14ac:dyDescent="0.2">
      <c r="A10" s="1276" t="s">
        <v>1628</v>
      </c>
      <c r="B10" s="1277"/>
      <c r="C10" s="1278"/>
      <c r="D10" s="1277" t="s">
        <v>1629</v>
      </c>
      <c r="E10" s="1278"/>
      <c r="F10" s="1277" t="s">
        <v>101</v>
      </c>
      <c r="G10" s="1275"/>
    </row>
    <row r="11" spans="1:7" ht="12" customHeight="1" x14ac:dyDescent="0.2">
      <c r="A11" s="1276"/>
      <c r="B11" s="1277"/>
      <c r="C11" s="1924"/>
      <c r="D11" s="1277"/>
      <c r="E11" s="1924"/>
      <c r="F11" s="1277"/>
      <c r="G11" s="1275"/>
    </row>
    <row r="12" spans="1:7" x14ac:dyDescent="0.2">
      <c r="A12" s="1273" t="s">
        <v>1669</v>
      </c>
      <c r="C12" s="1257"/>
      <c r="D12" s="1257"/>
    </row>
    <row r="13" spans="1:7" ht="15" customHeight="1" x14ac:dyDescent="0.2">
      <c r="A13" s="2513" t="s">
        <v>1834</v>
      </c>
      <c r="B13" s="2513"/>
      <c r="C13" s="2513"/>
      <c r="D13" s="2513"/>
      <c r="E13" s="2513"/>
      <c r="F13" s="2513"/>
    </row>
    <row r="14" spans="1:7" ht="9.75" customHeight="1" x14ac:dyDescent="0.2">
      <c r="C14" s="1257"/>
      <c r="D14" s="1257"/>
    </row>
    <row r="15" spans="1:7" ht="13.5" customHeight="1" x14ac:dyDescent="0.2">
      <c r="C15" s="1868" t="s">
        <v>1332</v>
      </c>
      <c r="D15" s="2511" t="s">
        <v>1331</v>
      </c>
      <c r="E15" s="2511"/>
      <c r="F15" s="2511"/>
    </row>
    <row r="16" spans="1:7" ht="13.5" customHeight="1" x14ac:dyDescent="0.2">
      <c r="A16" s="1279"/>
      <c r="B16" s="1273" t="s">
        <v>1330</v>
      </c>
      <c r="C16" s="1868" t="s">
        <v>1329</v>
      </c>
      <c r="D16" s="2512" t="s">
        <v>1670</v>
      </c>
      <c r="E16" s="2512"/>
      <c r="F16" s="2512"/>
    </row>
    <row r="17" spans="1:6" ht="20.45" customHeight="1" x14ac:dyDescent="0.2">
      <c r="A17" s="1280"/>
      <c r="B17" s="1281"/>
      <c r="C17" s="1282"/>
      <c r="D17" s="2506"/>
      <c r="E17" s="2506"/>
      <c r="F17" s="2506"/>
    </row>
    <row r="18" spans="1:6" ht="20.65" customHeight="1" x14ac:dyDescent="0.2">
      <c r="A18" s="1280"/>
      <c r="B18" s="1281"/>
      <c r="C18" s="1282"/>
      <c r="D18" s="2506"/>
      <c r="E18" s="2506"/>
      <c r="F18" s="2506"/>
    </row>
    <row r="19" spans="1:6" ht="20.65" customHeight="1" x14ac:dyDescent="0.2">
      <c r="A19" s="1280"/>
      <c r="B19" s="1281"/>
      <c r="C19" s="1282"/>
      <c r="D19" s="2506"/>
      <c r="E19" s="2506"/>
      <c r="F19" s="2506"/>
    </row>
    <row r="20" spans="1:6" ht="20.65" customHeight="1" x14ac:dyDescent="0.2">
      <c r="A20" s="1280"/>
      <c r="B20" s="1281"/>
      <c r="C20" s="1282"/>
      <c r="D20" s="2506"/>
      <c r="E20" s="2506"/>
      <c r="F20" s="2506"/>
    </row>
    <row r="21" spans="1:6" ht="20.65" customHeight="1" x14ac:dyDescent="0.2">
      <c r="A21" s="1280"/>
      <c r="B21" s="1281"/>
      <c r="C21" s="1282"/>
      <c r="D21" s="2506"/>
      <c r="E21" s="2506"/>
      <c r="F21" s="2506"/>
    </row>
    <row r="22" spans="1:6" ht="20.65" customHeight="1" x14ac:dyDescent="0.2">
      <c r="A22" s="1280"/>
      <c r="B22" s="1281"/>
      <c r="C22" s="1282"/>
      <c r="D22" s="2506"/>
      <c r="E22" s="2506"/>
      <c r="F22" s="2506"/>
    </row>
    <row r="23" spans="1:6" ht="20.65" customHeight="1" x14ac:dyDescent="0.2">
      <c r="A23" s="1280"/>
      <c r="B23" s="1281"/>
      <c r="C23" s="1282"/>
      <c r="D23" s="2506"/>
      <c r="E23" s="2506"/>
      <c r="F23" s="2506"/>
    </row>
    <row r="24" spans="1:6" ht="20.65" customHeight="1" x14ac:dyDescent="0.2">
      <c r="A24" s="1280"/>
      <c r="B24" s="1281"/>
      <c r="C24" s="1282"/>
      <c r="D24" s="2506"/>
      <c r="E24" s="2506"/>
      <c r="F24" s="2506"/>
    </row>
    <row r="25" spans="1:6" ht="20.65" customHeight="1" x14ac:dyDescent="0.2">
      <c r="A25" s="1280"/>
      <c r="B25" s="1281"/>
      <c r="C25" s="1282"/>
      <c r="D25" s="2506"/>
      <c r="E25" s="2506"/>
      <c r="F25" s="2506"/>
    </row>
    <row r="26" spans="1:6" ht="20.65" customHeight="1" x14ac:dyDescent="0.2">
      <c r="A26" s="1280"/>
      <c r="B26" s="1281"/>
      <c r="C26" s="1282"/>
      <c r="D26" s="2506"/>
      <c r="E26" s="2506"/>
      <c r="F26" s="2506"/>
    </row>
    <row r="27" spans="1:6" ht="20.65" customHeight="1" x14ac:dyDescent="0.2">
      <c r="A27" s="1280"/>
      <c r="B27" s="1281"/>
      <c r="C27" s="1282"/>
      <c r="D27" s="2506"/>
      <c r="E27" s="2506"/>
      <c r="F27" s="2506"/>
    </row>
    <row r="28" spans="1:6" ht="20.65" customHeight="1" x14ac:dyDescent="0.2">
      <c r="A28" s="1280"/>
      <c r="B28" s="1281"/>
      <c r="C28" s="1282"/>
      <c r="D28" s="2506"/>
      <c r="E28" s="2506"/>
      <c r="F28" s="2506"/>
    </row>
    <row r="29" spans="1:6" ht="20.65" customHeight="1" x14ac:dyDescent="0.2">
      <c r="A29" s="1280"/>
      <c r="B29" s="1281"/>
      <c r="C29" s="1282"/>
      <c r="D29" s="2506"/>
      <c r="E29" s="2506"/>
      <c r="F29" s="2506"/>
    </row>
    <row r="30" spans="1:6" ht="12" customHeight="1" x14ac:dyDescent="0.2">
      <c r="A30" s="328"/>
      <c r="B30" s="328"/>
      <c r="C30" s="1475"/>
      <c r="D30" s="1925"/>
      <c r="E30" s="1283"/>
    </row>
    <row r="31" spans="1:6" ht="12" customHeight="1" x14ac:dyDescent="0.2">
      <c r="A31" s="1284" t="s">
        <v>1630</v>
      </c>
      <c r="B31" s="328"/>
      <c r="C31" s="1475"/>
      <c r="D31" s="1925"/>
      <c r="E31" s="1283"/>
    </row>
    <row r="32" spans="1:6" ht="30" customHeight="1" x14ac:dyDescent="0.2">
      <c r="A32" s="2507" t="s">
        <v>1835</v>
      </c>
      <c r="B32" s="2507"/>
      <c r="C32" s="2507"/>
      <c r="D32" s="2507"/>
      <c r="E32" s="2507"/>
      <c r="F32" s="2507"/>
    </row>
    <row r="33" spans="1:6" ht="13.5" customHeight="1" x14ac:dyDescent="0.2">
      <c r="A33" s="328" t="s">
        <v>1509</v>
      </c>
      <c r="B33" s="328"/>
      <c r="C33" s="1285">
        <v>0</v>
      </c>
      <c r="D33" s="1925"/>
      <c r="E33" s="1283"/>
    </row>
    <row r="34" spans="1:6" ht="13.5" customHeight="1" x14ac:dyDescent="0.2">
      <c r="A34" s="328" t="s">
        <v>1948</v>
      </c>
      <c r="B34" s="328"/>
      <c r="C34" s="1286">
        <v>0</v>
      </c>
      <c r="D34" s="1925" t="s">
        <v>1671</v>
      </c>
      <c r="E34" s="2508">
        <f>+C33+C34</f>
        <v>0</v>
      </c>
      <c r="F34" s="2509"/>
    </row>
    <row r="35" spans="1:6" ht="12" customHeight="1" x14ac:dyDescent="0.2">
      <c r="A35" s="328"/>
      <c r="B35" s="328"/>
      <c r="C35" s="1926"/>
      <c r="D35" s="1925"/>
      <c r="E35" s="1287"/>
      <c r="F35" s="1288"/>
    </row>
    <row r="36" spans="1:6" ht="13.5" customHeight="1" x14ac:dyDescent="0.2">
      <c r="A36" s="1284" t="s">
        <v>1631</v>
      </c>
      <c r="B36" s="328"/>
      <c r="C36" s="1475"/>
      <c r="D36" s="1925"/>
      <c r="E36" s="1283"/>
    </row>
    <row r="37" spans="1:6" ht="14.25" customHeight="1" x14ac:dyDescent="0.2">
      <c r="A37" s="328" t="s">
        <v>1563</v>
      </c>
      <c r="B37" s="328"/>
      <c r="C37" s="1927"/>
      <c r="D37" s="1925"/>
      <c r="E37" s="1283"/>
    </row>
    <row r="38" spans="1:6" ht="14.25" customHeight="1" x14ac:dyDescent="0.2">
      <c r="A38" s="328"/>
      <c r="B38" s="328" t="s">
        <v>1510</v>
      </c>
      <c r="C38" s="1289"/>
      <c r="D38" s="1925"/>
      <c r="E38" s="1283"/>
    </row>
    <row r="39" spans="1:6" ht="14.25" customHeight="1" x14ac:dyDescent="0.2">
      <c r="A39" s="328"/>
      <c r="B39" s="328" t="s">
        <v>1511</v>
      </c>
      <c r="C39" s="1289"/>
      <c r="D39" s="1925"/>
      <c r="E39" s="1283"/>
    </row>
    <row r="40" spans="1:6" ht="14.25" customHeight="1" x14ac:dyDescent="0.2">
      <c r="A40" s="328"/>
      <c r="B40" s="328" t="s">
        <v>1512</v>
      </c>
      <c r="C40" s="1289"/>
      <c r="D40" s="1925"/>
      <c r="E40" s="1283"/>
    </row>
    <row r="41" spans="1:6" ht="14.25" customHeight="1" x14ac:dyDescent="0.2">
      <c r="A41" s="328"/>
      <c r="B41" s="328" t="s">
        <v>1513</v>
      </c>
      <c r="C41" s="1289"/>
      <c r="D41" s="1925"/>
      <c r="E41" s="1283"/>
    </row>
    <row r="42" spans="1:6" ht="14.25" customHeight="1" x14ac:dyDescent="0.2">
      <c r="A42" s="328" t="s">
        <v>1514</v>
      </c>
      <c r="B42" s="328"/>
      <c r="C42" s="1923"/>
      <c r="D42" s="1925"/>
      <c r="E42" s="1283"/>
    </row>
    <row r="43" spans="1:6" ht="14.25" customHeight="1" x14ac:dyDescent="0.2">
      <c r="A43" s="328" t="s">
        <v>1515</v>
      </c>
      <c r="B43" s="328"/>
      <c r="C43" s="1290"/>
      <c r="D43" s="1925"/>
      <c r="E43" s="1283"/>
    </row>
    <row r="44" spans="1:6" ht="14.25" customHeight="1" x14ac:dyDescent="0.2">
      <c r="A44" s="328"/>
      <c r="B44" s="328"/>
      <c r="C44" s="1927" t="s">
        <v>1516</v>
      </c>
      <c r="D44" s="1925"/>
      <c r="E44" s="1283"/>
    </row>
    <row r="45" spans="1:6" ht="13.5" customHeight="1" x14ac:dyDescent="0.2">
      <c r="B45" s="322"/>
      <c r="C45" s="1291"/>
      <c r="D45" s="1291"/>
    </row>
    <row r="46" spans="1:6" x14ac:dyDescent="0.2">
      <c r="A46" s="1292" t="s">
        <v>1836</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510" t="s">
        <v>1672</v>
      </c>
      <c r="C49" s="2510"/>
      <c r="D49" s="2510"/>
      <c r="E49" s="1396"/>
    </row>
    <row r="50" spans="1:5" s="1297" customFormat="1" ht="3.75" customHeight="1" x14ac:dyDescent="0.2">
      <c r="A50" s="1296"/>
      <c r="B50" s="1867"/>
      <c r="C50" s="1867"/>
      <c r="D50" s="1867"/>
      <c r="E50" s="1396"/>
    </row>
    <row r="51" spans="1:5" s="1297" customFormat="1" ht="20.25" customHeight="1" x14ac:dyDescent="0.2">
      <c r="A51" s="1298">
        <v>6</v>
      </c>
      <c r="B51" s="2505" t="s">
        <v>1632</v>
      </c>
      <c r="C51" s="2505"/>
      <c r="D51" s="2505"/>
    </row>
    <row r="52" spans="1:5" ht="14.25" customHeight="1" x14ac:dyDescent="0.2">
      <c r="A52" s="1298"/>
      <c r="B52" s="2505"/>
      <c r="C52" s="2505"/>
      <c r="D52" s="2505"/>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84" t="str">
        <f>'Single Audit Cover'!A7</f>
        <v>Morrisonville CUSD 1</v>
      </c>
      <c r="C1" s="2518"/>
      <c r="D1" s="2518"/>
      <c r="E1" s="2518"/>
      <c r="F1" s="2518"/>
      <c r="G1" s="2518"/>
      <c r="H1" s="2518"/>
      <c r="I1" s="2518"/>
      <c r="J1" s="2518"/>
      <c r="K1" s="2518"/>
      <c r="L1" s="2518"/>
      <c r="M1" s="2518"/>
    </row>
    <row r="2" spans="2:14" ht="15" x14ac:dyDescent="0.2">
      <c r="B2" s="2515">
        <f>'Single Audit Cover'!E7</f>
        <v>3011001026</v>
      </c>
      <c r="C2" s="2515"/>
      <c r="D2" s="2515"/>
      <c r="E2" s="2515"/>
      <c r="F2" s="2515"/>
      <c r="G2" s="2515"/>
      <c r="H2" s="2515"/>
      <c r="I2" s="2515"/>
      <c r="J2" s="2515"/>
      <c r="K2" s="2515"/>
      <c r="L2" s="2515"/>
      <c r="M2" s="2515"/>
      <c r="N2" s="1299"/>
    </row>
    <row r="3" spans="2:14" ht="15" x14ac:dyDescent="0.2">
      <c r="B3" s="2519" t="s">
        <v>1281</v>
      </c>
      <c r="C3" s="2519"/>
      <c r="D3" s="2519"/>
      <c r="E3" s="2519"/>
      <c r="F3" s="2519"/>
      <c r="G3" s="2519"/>
      <c r="H3" s="2519"/>
      <c r="I3" s="2519"/>
      <c r="J3" s="2519"/>
      <c r="K3" s="2519"/>
      <c r="L3" s="2519"/>
      <c r="M3" s="2519"/>
      <c r="N3" s="1299"/>
    </row>
    <row r="4" spans="2:14" ht="15" x14ac:dyDescent="0.2">
      <c r="B4" s="2520" t="str">
        <f>'Single Audit Cover'!A4</f>
        <v>Year Ending June 30, 2018</v>
      </c>
      <c r="C4" s="2520"/>
      <c r="D4" s="2520"/>
      <c r="E4" s="2520"/>
      <c r="F4" s="2520"/>
      <c r="G4" s="2520"/>
      <c r="H4" s="2520"/>
      <c r="I4" s="2520"/>
      <c r="J4" s="2520"/>
      <c r="K4" s="2520"/>
      <c r="L4" s="2520"/>
      <c r="M4" s="2520"/>
      <c r="N4" s="1299"/>
    </row>
    <row r="6" spans="2:14" x14ac:dyDescent="0.2">
      <c r="B6" s="1300"/>
      <c r="C6" s="1301"/>
      <c r="D6" s="1302" t="s">
        <v>1327</v>
      </c>
      <c r="E6" s="1303" t="s">
        <v>548</v>
      </c>
      <c r="F6" s="1304"/>
      <c r="G6" s="1305" t="s">
        <v>1837</v>
      </c>
      <c r="H6" s="1303"/>
      <c r="I6" s="1303"/>
      <c r="J6" s="1303"/>
      <c r="K6" s="1306"/>
      <c r="L6" s="1307"/>
      <c r="M6" s="1308"/>
    </row>
    <row r="7" spans="2:14" x14ac:dyDescent="0.2">
      <c r="B7" s="1309" t="s">
        <v>1662</v>
      </c>
      <c r="C7" s="1310"/>
      <c r="D7" s="1311"/>
      <c r="E7" s="1312"/>
      <c r="F7" s="1313"/>
      <c r="G7" s="1312"/>
      <c r="H7" s="1314" t="s">
        <v>1324</v>
      </c>
      <c r="I7" s="1312"/>
      <c r="J7" s="1315" t="s">
        <v>1324</v>
      </c>
      <c r="K7" s="1316"/>
      <c r="L7" s="1317" t="s">
        <v>1322</v>
      </c>
      <c r="M7" s="1318"/>
    </row>
    <row r="8" spans="2:14" x14ac:dyDescent="0.2">
      <c r="B8" s="1684"/>
      <c r="C8" s="1310" t="s">
        <v>1326</v>
      </c>
      <c r="D8" s="1311" t="s">
        <v>1325</v>
      </c>
      <c r="E8" s="1319" t="s">
        <v>1324</v>
      </c>
      <c r="F8" s="1320" t="s">
        <v>1324</v>
      </c>
      <c r="G8" s="1321" t="s">
        <v>1324</v>
      </c>
      <c r="H8" s="1314" t="s">
        <v>1663</v>
      </c>
      <c r="I8" s="1316" t="s">
        <v>1324</v>
      </c>
      <c r="J8" s="1315" t="s">
        <v>1949</v>
      </c>
      <c r="K8" s="1316" t="s">
        <v>1323</v>
      </c>
      <c r="L8" s="1317" t="s">
        <v>1319</v>
      </c>
      <c r="M8" s="1318" t="s">
        <v>30</v>
      </c>
    </row>
    <row r="9" spans="2:14" ht="14.25" x14ac:dyDescent="0.2">
      <c r="B9" s="1322" t="s">
        <v>1321</v>
      </c>
      <c r="C9" s="1310" t="s">
        <v>1838</v>
      </c>
      <c r="D9" s="1311" t="s">
        <v>1839</v>
      </c>
      <c r="E9" s="1319" t="s">
        <v>1663</v>
      </c>
      <c r="F9" s="1320" t="s">
        <v>1949</v>
      </c>
      <c r="G9" s="1321" t="s">
        <v>1663</v>
      </c>
      <c r="H9" s="1314" t="s">
        <v>1664</v>
      </c>
      <c r="I9" s="1316" t="s">
        <v>1949</v>
      </c>
      <c r="J9" s="1315" t="s">
        <v>1664</v>
      </c>
      <c r="K9" s="1316" t="s">
        <v>1320</v>
      </c>
      <c r="L9" s="1323" t="s">
        <v>1665</v>
      </c>
      <c r="M9" s="1318"/>
    </row>
    <row r="10" spans="2:14" ht="11.85" customHeight="1" x14ac:dyDescent="0.2">
      <c r="B10" s="1322" t="s">
        <v>1318</v>
      </c>
      <c r="C10" s="1324" t="s">
        <v>1317</v>
      </c>
      <c r="D10" s="1325" t="s">
        <v>1316</v>
      </c>
      <c r="E10" s="1326" t="s">
        <v>1315</v>
      </c>
      <c r="F10" s="1327" t="s">
        <v>1314</v>
      </c>
      <c r="G10" s="1328" t="s">
        <v>1313</v>
      </c>
      <c r="H10" s="1329" t="s">
        <v>1328</v>
      </c>
      <c r="I10" s="1330" t="s">
        <v>1312</v>
      </c>
      <c r="J10" s="1331" t="s">
        <v>1328</v>
      </c>
      <c r="K10" s="1332" t="s">
        <v>1311</v>
      </c>
      <c r="L10" s="1332" t="s">
        <v>1310</v>
      </c>
      <c r="M10" s="1333" t="s">
        <v>1309</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1231</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1840</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1950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1308</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1841</v>
      </c>
      <c r="C37" s="1362"/>
      <c r="D37" s="1362"/>
      <c r="E37" s="1362"/>
      <c r="F37" s="1362"/>
      <c r="G37" s="1362"/>
      <c r="H37" s="1362"/>
      <c r="I37" s="1363"/>
      <c r="J37" s="1363"/>
      <c r="K37" s="1363"/>
      <c r="L37" s="1363"/>
      <c r="M37" s="1363"/>
    </row>
    <row r="38" spans="2:13" ht="11.25" customHeight="1" x14ac:dyDescent="0.2">
      <c r="B38" s="1364" t="s">
        <v>1666</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1842</v>
      </c>
      <c r="C40" s="1363"/>
      <c r="D40" s="1363"/>
      <c r="E40" s="1363"/>
      <c r="F40" s="1363"/>
      <c r="G40" s="1363"/>
      <c r="H40" s="1363"/>
      <c r="I40" s="1363"/>
      <c r="J40" s="1363"/>
      <c r="K40" s="1363"/>
      <c r="L40" s="1363"/>
      <c r="M40" s="1363"/>
    </row>
    <row r="41" spans="2:13" ht="11.25" customHeight="1" x14ac:dyDescent="0.2">
      <c r="B41" s="1297" t="s">
        <v>1667</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1843</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1844</v>
      </c>
      <c r="C45" s="1365"/>
      <c r="D45" s="1366"/>
      <c r="E45" s="1297"/>
      <c r="F45" s="1297"/>
      <c r="G45" s="1297"/>
      <c r="H45" s="1297"/>
      <c r="I45" s="1297"/>
      <c r="J45" s="1297"/>
      <c r="K45" s="1367"/>
      <c r="L45" s="1367"/>
      <c r="M45" s="1297"/>
    </row>
    <row r="46" spans="2:13" ht="11.25" customHeight="1" x14ac:dyDescent="0.2">
      <c r="B46" s="1297" t="s">
        <v>1668</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32" t="str">
        <f>'Single Audit Cover'!A7</f>
        <v>Morrisonville CUSD 1</v>
      </c>
      <c r="C1" s="2533"/>
      <c r="D1" s="2533"/>
      <c r="E1" s="2533"/>
      <c r="F1" s="2533"/>
      <c r="G1" s="2533"/>
      <c r="H1" s="2533"/>
      <c r="I1" s="2533"/>
      <c r="J1" s="1419"/>
    </row>
    <row r="2" spans="2:10" s="317" customFormat="1" ht="12.75" customHeight="1" x14ac:dyDescent="0.2">
      <c r="B2" s="2534">
        <f>'Single Audit Cover'!E7</f>
        <v>3011001026</v>
      </c>
      <c r="C2" s="2535"/>
      <c r="D2" s="2535"/>
      <c r="E2" s="2535"/>
      <c r="F2" s="2535"/>
      <c r="G2" s="2535"/>
      <c r="H2" s="2535"/>
      <c r="I2" s="2535"/>
      <c r="J2" s="1419"/>
    </row>
    <row r="3" spans="2:10" s="317" customFormat="1" ht="12.75" customHeight="1" x14ac:dyDescent="0.2">
      <c r="B3" s="2536" t="s">
        <v>1347</v>
      </c>
      <c r="C3" s="2537"/>
      <c r="D3" s="2537"/>
      <c r="E3" s="2537"/>
      <c r="F3" s="2537"/>
      <c r="G3" s="2537"/>
      <c r="H3" s="2537"/>
      <c r="I3" s="2537"/>
      <c r="J3" s="1420"/>
    </row>
    <row r="4" spans="2:10" s="317" customFormat="1" ht="12.75" customHeight="1" x14ac:dyDescent="0.2">
      <c r="B4" s="2536" t="str">
        <f>'Single Audit Cover'!A4</f>
        <v>Year Ending June 30, 2018</v>
      </c>
      <c r="C4" s="2537"/>
      <c r="D4" s="2537"/>
      <c r="E4" s="2537"/>
      <c r="F4" s="2537"/>
      <c r="G4" s="2537"/>
      <c r="H4" s="2537"/>
      <c r="I4" s="2537"/>
    </row>
    <row r="5" spans="2:10" s="317" customFormat="1" ht="6.2" customHeight="1" x14ac:dyDescent="0.2">
      <c r="B5" s="1421" t="s">
        <v>1231</v>
      </c>
      <c r="C5" s="1291"/>
      <c r="D5" s="1291"/>
      <c r="E5" s="1380"/>
      <c r="F5" s="322"/>
      <c r="G5" s="322"/>
      <c r="H5" s="322"/>
      <c r="I5" s="322"/>
    </row>
    <row r="6" spans="2:10" s="317" customFormat="1" ht="6.2" customHeight="1" x14ac:dyDescent="0.2">
      <c r="B6" s="1422"/>
      <c r="C6" s="1376"/>
      <c r="D6" s="1376"/>
      <c r="E6" s="1377"/>
      <c r="F6" s="1376"/>
      <c r="G6" s="1376"/>
      <c r="H6" s="1376"/>
      <c r="I6" s="1376"/>
    </row>
    <row r="7" spans="2:10" s="317" customFormat="1" ht="13.5" customHeight="1" x14ac:dyDescent="0.2">
      <c r="B7" s="2536" t="s">
        <v>1346</v>
      </c>
      <c r="C7" s="2537"/>
      <c r="D7" s="2537"/>
      <c r="E7" s="2537"/>
      <c r="F7" s="2537"/>
      <c r="G7" s="2537"/>
      <c r="H7" s="2537"/>
      <c r="I7" s="2537"/>
    </row>
    <row r="8" spans="2:10" s="317" customFormat="1" ht="6.2" customHeight="1" x14ac:dyDescent="0.2">
      <c r="B8" s="1423" t="s">
        <v>1231</v>
      </c>
      <c r="C8" s="1424"/>
      <c r="D8" s="1424"/>
      <c r="E8" s="1425"/>
      <c r="F8" s="1424"/>
      <c r="G8" s="1424"/>
      <c r="H8" s="1424"/>
      <c r="I8" s="1424"/>
    </row>
    <row r="9" spans="2:10" s="317" customFormat="1" ht="9" customHeight="1" x14ac:dyDescent="0.2">
      <c r="B9" s="1426"/>
      <c r="C9" s="322"/>
      <c r="D9" s="322"/>
      <c r="E9" s="1380"/>
      <c r="F9" s="322"/>
      <c r="G9" s="322"/>
      <c r="H9" s="322"/>
      <c r="I9" s="322"/>
    </row>
    <row r="10" spans="2:10" s="317" customFormat="1" ht="12.75" customHeight="1" x14ac:dyDescent="0.2">
      <c r="B10" s="1427" t="s">
        <v>1345</v>
      </c>
      <c r="C10" s="1428"/>
      <c r="D10" s="1428"/>
      <c r="E10" s="1255"/>
    </row>
    <row r="11" spans="2:10" s="317" customFormat="1" ht="13.5" customHeight="1" x14ac:dyDescent="0.2">
      <c r="B11" s="1346" t="s">
        <v>1344</v>
      </c>
      <c r="C11" s="2538"/>
      <c r="D11" s="2538"/>
      <c r="E11" s="1429"/>
      <c r="F11" s="1429"/>
      <c r="G11" s="1429"/>
    </row>
    <row r="12" spans="2:10" s="317" customFormat="1" ht="11.45" customHeight="1" x14ac:dyDescent="0.2">
      <c r="B12" s="1354"/>
      <c r="C12" s="1430" t="s">
        <v>1517</v>
      </c>
      <c r="D12" s="1431"/>
      <c r="E12" s="1255"/>
    </row>
    <row r="13" spans="2:10" s="317" customFormat="1" ht="12.75" customHeight="1" x14ac:dyDescent="0.2">
      <c r="B13" s="1432"/>
      <c r="C13" s="1384"/>
      <c r="D13" s="1384"/>
      <c r="E13" s="1255"/>
    </row>
    <row r="14" spans="2:10" s="317" customFormat="1" ht="12.75" customHeight="1" x14ac:dyDescent="0.2">
      <c r="B14" s="1365" t="s">
        <v>1343</v>
      </c>
      <c r="C14" s="1279"/>
      <c r="E14" s="1255"/>
    </row>
    <row r="15" spans="2:10" s="317" customFormat="1" ht="13.5" customHeight="1" x14ac:dyDescent="0.2">
      <c r="B15" s="1433" t="s">
        <v>1340</v>
      </c>
      <c r="C15" s="1434"/>
      <c r="D15" s="1395"/>
      <c r="E15" s="1435"/>
      <c r="F15" s="1297" t="s">
        <v>940</v>
      </c>
      <c r="G15" s="1435"/>
      <c r="H15" s="1297" t="s">
        <v>1338</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33" t="s">
        <v>1339</v>
      </c>
      <c r="C17" s="1434"/>
      <c r="D17" s="1395"/>
      <c r="E17" s="1436"/>
      <c r="F17" s="1254"/>
      <c r="G17" s="1436"/>
      <c r="H17" s="1297"/>
      <c r="I17" s="1297"/>
    </row>
    <row r="18" spans="2:9" s="317" customFormat="1" ht="12.75" customHeight="1" x14ac:dyDescent="0.2">
      <c r="B18" s="1433" t="s">
        <v>1518</v>
      </c>
      <c r="C18" s="1434"/>
      <c r="D18" s="1395"/>
      <c r="E18" s="1435"/>
      <c r="F18" s="1297" t="s">
        <v>940</v>
      </c>
      <c r="G18" s="1435"/>
      <c r="H18" s="1297" t="s">
        <v>1338</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33" t="s">
        <v>1673</v>
      </c>
      <c r="C20" s="1434"/>
      <c r="D20" s="1395"/>
      <c r="E20" s="1435"/>
      <c r="F20" s="1297" t="s">
        <v>940</v>
      </c>
      <c r="G20" s="1435"/>
      <c r="H20" s="1297" t="s">
        <v>101</v>
      </c>
      <c r="I20" s="1297"/>
    </row>
    <row r="21" spans="2:9" s="317" customFormat="1" ht="12.75" customHeight="1" x14ac:dyDescent="0.2">
      <c r="B21" s="1365"/>
      <c r="C21" s="1279"/>
      <c r="E21" s="1380"/>
      <c r="F21" s="1297"/>
      <c r="G21" s="322"/>
      <c r="H21" s="1297"/>
      <c r="I21" s="1297"/>
    </row>
    <row r="22" spans="2:9" s="317" customFormat="1" ht="12.75" customHeight="1" x14ac:dyDescent="0.2">
      <c r="B22" s="1427" t="s">
        <v>1342</v>
      </c>
      <c r="C22" s="1437"/>
      <c r="D22" s="1428"/>
      <c r="E22" s="1380"/>
      <c r="F22" s="1297"/>
      <c r="G22" s="322"/>
      <c r="H22" s="1297"/>
      <c r="I22" s="1297"/>
    </row>
    <row r="23" spans="2:9" s="317" customFormat="1" ht="12.75" customHeight="1" x14ac:dyDescent="0.2">
      <c r="B23" s="1365" t="s">
        <v>1341</v>
      </c>
      <c r="C23" s="1279"/>
      <c r="E23" s="1380"/>
      <c r="F23" s="1297"/>
      <c r="G23" s="322"/>
      <c r="H23" s="1297"/>
      <c r="I23" s="1297"/>
    </row>
    <row r="24" spans="2:9" s="317" customFormat="1" ht="13.5" customHeight="1" x14ac:dyDescent="0.2">
      <c r="B24" s="1433" t="s">
        <v>1340</v>
      </c>
      <c r="C24" s="1434"/>
      <c r="D24" s="1395"/>
      <c r="E24" s="1435"/>
      <c r="F24" s="1297" t="s">
        <v>940</v>
      </c>
      <c r="G24" s="1435"/>
      <c r="H24" s="1297" t="s">
        <v>1338</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33" t="s">
        <v>1339</v>
      </c>
      <c r="C26" s="1434"/>
      <c r="D26" s="1395"/>
      <c r="E26" s="1436"/>
      <c r="F26" s="1254"/>
      <c r="G26" s="1436"/>
      <c r="H26" s="1297"/>
      <c r="I26" s="1297"/>
    </row>
    <row r="27" spans="2:9" s="317" customFormat="1" ht="12.75" customHeight="1" x14ac:dyDescent="0.2">
      <c r="B27" s="1433" t="s">
        <v>1518</v>
      </c>
      <c r="C27" s="1434"/>
      <c r="D27" s="1395"/>
      <c r="E27" s="1435"/>
      <c r="F27" s="1297" t="s">
        <v>940</v>
      </c>
      <c r="G27" s="1435"/>
      <c r="H27" s="1297" t="s">
        <v>1338</v>
      </c>
      <c r="I27" s="1297"/>
    </row>
    <row r="28" spans="2:9" s="317" customFormat="1" ht="12.75" customHeight="1" x14ac:dyDescent="0.2">
      <c r="B28" s="1365"/>
      <c r="C28" s="1279"/>
      <c r="E28" s="1255"/>
    </row>
    <row r="29" spans="2:9" s="317" customFormat="1" ht="12.75" customHeight="1" x14ac:dyDescent="0.2">
      <c r="B29" s="1365" t="s">
        <v>1337</v>
      </c>
      <c r="C29" s="1279"/>
      <c r="D29" s="2539"/>
      <c r="E29" s="2539"/>
      <c r="F29" s="2539"/>
      <c r="G29" s="2539"/>
      <c r="H29" s="2539"/>
      <c r="I29" s="2539"/>
    </row>
    <row r="30" spans="2:9" s="317" customFormat="1" x14ac:dyDescent="0.2">
      <c r="B30" s="1365"/>
      <c r="C30" s="322"/>
      <c r="D30" s="1430" t="s">
        <v>1851</v>
      </c>
      <c r="E30" s="1431"/>
      <c r="F30" s="1431"/>
      <c r="G30" s="1431"/>
      <c r="H30" s="1431"/>
      <c r="I30" s="1431"/>
    </row>
    <row r="31" spans="2:9" s="317" customFormat="1" ht="9.9499999999999993" customHeight="1" x14ac:dyDescent="0.2">
      <c r="B31" s="1365"/>
      <c r="E31" s="1255"/>
    </row>
    <row r="32" spans="2:9" s="317" customFormat="1" x14ac:dyDescent="0.2">
      <c r="B32" s="1365" t="s">
        <v>1336</v>
      </c>
      <c r="C32" s="1279"/>
      <c r="E32" s="1255"/>
    </row>
    <row r="33" spans="2:9" ht="13.5" customHeight="1" x14ac:dyDescent="0.2">
      <c r="B33" s="1365" t="s">
        <v>1633</v>
      </c>
      <c r="C33" s="1279"/>
      <c r="E33" s="1435"/>
      <c r="F33" s="1297" t="s">
        <v>940</v>
      </c>
      <c r="G33" s="1435"/>
      <c r="H33" s="1297" t="s">
        <v>101</v>
      </c>
    </row>
    <row r="35" spans="2:9" x14ac:dyDescent="0.2">
      <c r="B35" s="1438" t="s">
        <v>1852</v>
      </c>
      <c r="C35" s="1439"/>
      <c r="D35" s="1264"/>
    </row>
    <row r="36" spans="2:9" ht="6" customHeight="1" x14ac:dyDescent="0.2">
      <c r="B36" s="1438"/>
      <c r="C36" s="1439"/>
      <c r="D36" s="1264"/>
    </row>
    <row r="37" spans="2:9" ht="17.25" customHeight="1" x14ac:dyDescent="0.2">
      <c r="B37" s="1440" t="s">
        <v>1853</v>
      </c>
      <c r="C37" s="2540" t="s">
        <v>1854</v>
      </c>
      <c r="D37" s="2541"/>
      <c r="E37" s="2541"/>
      <c r="F37" s="2542"/>
      <c r="G37" s="2540" t="s">
        <v>1674</v>
      </c>
      <c r="H37" s="2541"/>
      <c r="I37" s="2542"/>
    </row>
    <row r="38" spans="2:9" ht="16.5" customHeight="1" x14ac:dyDescent="0.2">
      <c r="B38" s="1441"/>
      <c r="C38" s="2528"/>
      <c r="D38" s="2529"/>
      <c r="E38" s="2529"/>
      <c r="F38" s="2530"/>
      <c r="G38" s="2543"/>
      <c r="H38" s="2544"/>
      <c r="I38" s="2545"/>
    </row>
    <row r="39" spans="2:9" ht="16.5" customHeight="1" x14ac:dyDescent="0.2">
      <c r="B39" s="1441"/>
      <c r="C39" s="2528"/>
      <c r="D39" s="2529"/>
      <c r="E39" s="2529"/>
      <c r="F39" s="2530"/>
      <c r="G39" s="2531"/>
      <c r="H39" s="2531"/>
      <c r="I39" s="2531"/>
    </row>
    <row r="40" spans="2:9" ht="16.5" customHeight="1" x14ac:dyDescent="0.2">
      <c r="B40" s="1441"/>
      <c r="C40" s="2528"/>
      <c r="D40" s="2529"/>
      <c r="E40" s="2529"/>
      <c r="F40" s="2530"/>
      <c r="G40" s="2531"/>
      <c r="H40" s="2531"/>
      <c r="I40" s="2531"/>
    </row>
    <row r="41" spans="2:9" ht="16.5" customHeight="1" x14ac:dyDescent="0.2">
      <c r="B41" s="1441"/>
      <c r="C41" s="2528"/>
      <c r="D41" s="2529"/>
      <c r="E41" s="2529"/>
      <c r="F41" s="2530"/>
      <c r="G41" s="2531"/>
      <c r="H41" s="2531"/>
      <c r="I41" s="2531"/>
    </row>
    <row r="42" spans="2:9" ht="16.5" customHeight="1" x14ac:dyDescent="0.2">
      <c r="B42" s="1441"/>
      <c r="C42" s="2528"/>
      <c r="D42" s="2529"/>
      <c r="E42" s="2529"/>
      <c r="F42" s="2530"/>
      <c r="G42" s="2531"/>
      <c r="H42" s="2531"/>
      <c r="I42" s="2531"/>
    </row>
    <row r="43" spans="2:9" ht="16.5" customHeight="1" x14ac:dyDescent="0.2">
      <c r="B43" s="1441"/>
      <c r="C43" s="2521" t="s">
        <v>1675</v>
      </c>
      <c r="D43" s="2522"/>
      <c r="E43" s="2522"/>
      <c r="F43" s="2523"/>
      <c r="G43" s="2524">
        <f>SUM(G38:I42)</f>
        <v>0</v>
      </c>
      <c r="H43" s="2524"/>
      <c r="I43" s="2524"/>
    </row>
    <row r="44" spans="2:9" ht="12.75" customHeight="1" x14ac:dyDescent="0.2"/>
    <row r="45" spans="2:9" ht="12.75" customHeight="1" x14ac:dyDescent="0.2">
      <c r="B45" s="1432" t="s">
        <v>1951</v>
      </c>
      <c r="D45" s="2525">
        <v>0</v>
      </c>
      <c r="E45" s="2526"/>
    </row>
    <row r="46" spans="2:9" ht="5.25" customHeight="1" x14ac:dyDescent="0.2">
      <c r="B46" s="1442"/>
      <c r="D46" s="1443"/>
      <c r="E46" s="1444"/>
    </row>
    <row r="47" spans="2:9" ht="12.75" customHeight="1" x14ac:dyDescent="0.2">
      <c r="B47" s="1297" t="s">
        <v>1676</v>
      </c>
      <c r="C47" s="1297"/>
      <c r="D47" s="1445" t="e">
        <f>+G43/D45</f>
        <v>#DIV/0!</v>
      </c>
      <c r="E47" s="1446"/>
      <c r="F47" s="1447"/>
      <c r="I47" s="1448"/>
    </row>
    <row r="48" spans="2:9" ht="9.9499999999999993" customHeight="1" x14ac:dyDescent="0.2"/>
    <row r="49" spans="1:9" x14ac:dyDescent="0.2">
      <c r="B49" s="1365" t="s">
        <v>1335</v>
      </c>
      <c r="C49" s="1279"/>
      <c r="D49" s="1279"/>
      <c r="E49" s="2527"/>
      <c r="F49" s="2527"/>
      <c r="G49" s="2527"/>
      <c r="H49" s="322"/>
    </row>
    <row r="51" spans="1:9" ht="13.5" customHeight="1" x14ac:dyDescent="0.2">
      <c r="B51" s="1365" t="s">
        <v>1334</v>
      </c>
      <c r="C51" s="1279"/>
      <c r="E51" s="1435"/>
      <c r="F51" s="1297" t="s">
        <v>940</v>
      </c>
      <c r="G51" s="1435"/>
      <c r="H51" s="1297" t="s">
        <v>101</v>
      </c>
    </row>
    <row r="52" spans="1:9" x14ac:dyDescent="0.2">
      <c r="B52" s="1357"/>
      <c r="C52" s="1294"/>
      <c r="D52" s="1449"/>
      <c r="E52" s="1450"/>
      <c r="F52" s="1451"/>
      <c r="G52" s="1451"/>
      <c r="H52" s="1451"/>
      <c r="I52" s="1451"/>
    </row>
    <row r="53" spans="1:9" ht="6" customHeight="1" x14ac:dyDescent="0.2">
      <c r="B53" s="1426"/>
      <c r="C53" s="322"/>
      <c r="D53" s="1452"/>
      <c r="E53" s="1453"/>
      <c r="F53" s="1454"/>
      <c r="G53" s="1454"/>
      <c r="H53" s="1454"/>
      <c r="I53" s="1454"/>
    </row>
    <row r="54" spans="1:9" s="1458" customFormat="1" ht="14.25" x14ac:dyDescent="0.2">
      <c r="A54" s="1455"/>
      <c r="B54" s="1456" t="s">
        <v>1855</v>
      </c>
      <c r="C54" s="1457"/>
      <c r="D54" s="1457"/>
    </row>
    <row r="55" spans="1:9" s="1458" customFormat="1" ht="12.75" customHeight="1" x14ac:dyDescent="0.2">
      <c r="A55" s="1455"/>
      <c r="B55" s="1459" t="s">
        <v>1677</v>
      </c>
      <c r="C55" s="1455"/>
      <c r="D55" s="1455"/>
    </row>
    <row r="56" spans="1:9" s="1458" customFormat="1" ht="12.75" customHeight="1" x14ac:dyDescent="0.2">
      <c r="A56" s="1455"/>
      <c r="B56" s="1459" t="s">
        <v>1678</v>
      </c>
      <c r="C56" s="1455"/>
      <c r="D56" s="1455"/>
    </row>
    <row r="57" spans="1:9" s="1458" customFormat="1" ht="3.95" customHeight="1" x14ac:dyDescent="0.2">
      <c r="A57" s="1455"/>
      <c r="B57" s="1459"/>
      <c r="C57" s="1455"/>
      <c r="D57" s="1455"/>
    </row>
    <row r="58" spans="1:9" s="1458" customFormat="1" ht="13.5" customHeight="1" x14ac:dyDescent="0.2">
      <c r="A58" s="1455"/>
      <c r="B58" s="1460" t="s">
        <v>1856</v>
      </c>
      <c r="C58" s="1461"/>
      <c r="D58" s="1461"/>
    </row>
    <row r="59" spans="1:9" s="1458" customFormat="1" ht="3.95" customHeight="1" x14ac:dyDescent="0.2">
      <c r="A59" s="1455"/>
      <c r="B59" s="1460"/>
      <c r="C59" s="1461"/>
      <c r="D59" s="1461"/>
    </row>
    <row r="60" spans="1:9" s="1458" customFormat="1" ht="13.5" customHeight="1" x14ac:dyDescent="0.2">
      <c r="A60" s="1455"/>
      <c r="B60" s="1460" t="s">
        <v>1857</v>
      </c>
      <c r="C60" s="1461"/>
      <c r="D60" s="1461"/>
    </row>
    <row r="61" spans="1:9" s="1458" customFormat="1" ht="3.95" customHeight="1" x14ac:dyDescent="0.2">
      <c r="A61" s="1455"/>
      <c r="B61" s="1460"/>
      <c r="C61" s="1461"/>
      <c r="D61" s="1461"/>
    </row>
    <row r="62" spans="1:9" s="1458" customFormat="1" ht="12.75" customHeight="1" x14ac:dyDescent="0.2">
      <c r="A62" s="1455"/>
      <c r="B62" s="1460" t="s">
        <v>1858</v>
      </c>
      <c r="C62" s="1461"/>
      <c r="D62" s="1461"/>
    </row>
    <row r="63" spans="1:9" s="1458" customFormat="1" ht="13.5" customHeight="1" x14ac:dyDescent="0.2">
      <c r="A63" s="1455"/>
      <c r="B63" s="1459" t="s">
        <v>1679</v>
      </c>
      <c r="C63" s="1455"/>
      <c r="D63" s="1455"/>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32" t="str">
        <f>'Single Audit Cover'!A7</f>
        <v>Morrisonville CUSD 1</v>
      </c>
      <c r="C1" s="2532"/>
      <c r="D1" s="2532"/>
      <c r="E1" s="2532"/>
      <c r="F1" s="2532"/>
      <c r="G1" s="2532"/>
      <c r="H1" s="2532"/>
      <c r="I1" s="2532"/>
      <c r="J1" s="2532"/>
      <c r="K1" s="2532"/>
      <c r="L1" s="1371"/>
      <c r="M1" s="1371"/>
    </row>
    <row r="2" spans="1:13" ht="12" customHeight="1" x14ac:dyDescent="0.2">
      <c r="B2" s="2534">
        <f>'Single Audit Cover'!E7</f>
        <v>3011001026</v>
      </c>
      <c r="C2" s="2534"/>
      <c r="D2" s="2534"/>
      <c r="E2" s="2534"/>
      <c r="F2" s="2534"/>
      <c r="G2" s="2534"/>
      <c r="H2" s="2534"/>
      <c r="I2" s="2534"/>
      <c r="J2" s="2534"/>
      <c r="K2" s="2534"/>
      <c r="L2" s="1372"/>
      <c r="M2" s="1373"/>
    </row>
    <row r="3" spans="1:13" ht="10.35" customHeight="1" x14ac:dyDescent="0.2">
      <c r="B3" s="2548" t="s">
        <v>1347</v>
      </c>
      <c r="C3" s="2548"/>
      <c r="D3" s="2548"/>
      <c r="E3" s="2548"/>
      <c r="F3" s="2548"/>
      <c r="G3" s="2548"/>
      <c r="H3" s="2548"/>
      <c r="I3" s="2548"/>
      <c r="J3" s="2548"/>
      <c r="K3" s="2548"/>
      <c r="L3" s="1374"/>
      <c r="M3" s="1374"/>
    </row>
    <row r="4" spans="1:13" ht="14.25" customHeight="1" x14ac:dyDescent="0.2">
      <c r="B4" s="2549" t="str">
        <f>'Single Audit Cover'!A4</f>
        <v>Year Ending June 30, 2018</v>
      </c>
      <c r="C4" s="2549"/>
      <c r="D4" s="2549"/>
      <c r="E4" s="2549"/>
      <c r="F4" s="2549"/>
      <c r="G4" s="2549"/>
      <c r="H4" s="2549"/>
      <c r="I4" s="2549"/>
      <c r="J4" s="2549"/>
      <c r="K4" s="2549"/>
      <c r="L4" s="313"/>
      <c r="M4" s="313"/>
    </row>
    <row r="5" spans="1:13" ht="7.5" customHeight="1" x14ac:dyDescent="0.2">
      <c r="B5" s="1257" t="s">
        <v>1231</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549" t="s">
        <v>1363</v>
      </c>
      <c r="C7" s="2549"/>
      <c r="D7" s="2550"/>
      <c r="E7" s="2550"/>
      <c r="F7" s="2550"/>
      <c r="G7" s="2550"/>
      <c r="H7" s="2550"/>
      <c r="I7" s="2550"/>
      <c r="J7" s="2550"/>
      <c r="K7" s="2550"/>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1845</v>
      </c>
      <c r="C10" s="1382" t="s">
        <v>1952</v>
      </c>
      <c r="D10" s="1383"/>
      <c r="E10" s="322"/>
      <c r="F10" s="1384" t="s">
        <v>1362</v>
      </c>
      <c r="G10" s="1385"/>
      <c r="H10" s="1386" t="s">
        <v>1361</v>
      </c>
      <c r="I10" s="1385"/>
      <c r="J10" s="1387" t="s">
        <v>1360</v>
      </c>
      <c r="K10" s="322"/>
      <c r="L10" s="1378"/>
    </row>
    <row r="11" spans="1:13" ht="13.5" customHeight="1" x14ac:dyDescent="0.2">
      <c r="B11" s="322"/>
      <c r="C11" s="322"/>
      <c r="D11" s="322"/>
      <c r="E11" s="322"/>
      <c r="F11" s="322"/>
      <c r="G11" s="1380"/>
      <c r="H11" s="322"/>
      <c r="I11" s="1388" t="s">
        <v>1359</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1358</v>
      </c>
      <c r="C13" s="1390"/>
      <c r="D13" s="1391"/>
      <c r="E13" s="1391"/>
      <c r="F13" s="1391"/>
      <c r="G13" s="1392"/>
      <c r="H13" s="1391"/>
      <c r="I13" s="1392"/>
      <c r="J13" s="1391"/>
      <c r="K13" s="1391"/>
      <c r="L13" s="1393"/>
    </row>
    <row r="14" spans="1:13" ht="45.75" customHeight="1" x14ac:dyDescent="0.2">
      <c r="B14" s="2547"/>
      <c r="C14" s="2547"/>
      <c r="D14" s="2547"/>
      <c r="E14" s="2547"/>
      <c r="F14" s="2547"/>
      <c r="G14" s="2547"/>
      <c r="H14" s="2547"/>
      <c r="I14" s="2547"/>
      <c r="J14" s="2547"/>
      <c r="K14" s="2547"/>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1357</v>
      </c>
      <c r="C16" s="1390"/>
      <c r="D16" s="1391"/>
      <c r="E16" s="1391"/>
      <c r="F16" s="1391"/>
      <c r="G16" s="1392"/>
      <c r="H16" s="1391"/>
      <c r="I16" s="1392"/>
      <c r="J16" s="1391"/>
      <c r="K16" s="1391"/>
      <c r="L16" s="1393"/>
    </row>
    <row r="17" spans="2:12" ht="45.75" customHeight="1" x14ac:dyDescent="0.2">
      <c r="B17" s="2547"/>
      <c r="C17" s="2547"/>
      <c r="D17" s="2547"/>
      <c r="E17" s="2547"/>
      <c r="F17" s="2547"/>
      <c r="G17" s="2547"/>
      <c r="H17" s="2547"/>
      <c r="I17" s="2547"/>
      <c r="J17" s="2547"/>
      <c r="K17" s="2547"/>
      <c r="L17" s="1378"/>
    </row>
    <row r="18" spans="2:12" ht="4.5" customHeight="1" x14ac:dyDescent="0.2">
      <c r="B18" s="1395"/>
      <c r="C18" s="1395"/>
      <c r="L18" s="1378"/>
    </row>
    <row r="19" spans="2:12" s="1279" customFormat="1" ht="13.5" customHeight="1" x14ac:dyDescent="0.2">
      <c r="B19" s="1390" t="s">
        <v>1846</v>
      </c>
      <c r="C19" s="1390"/>
      <c r="D19" s="1391"/>
      <c r="E19" s="1391"/>
      <c r="F19" s="1391"/>
      <c r="G19" s="1392"/>
      <c r="H19" s="1391"/>
      <c r="I19" s="1392"/>
      <c r="J19" s="1391"/>
      <c r="K19" s="1391"/>
      <c r="L19" s="1393"/>
    </row>
    <row r="20" spans="2:12" ht="45.75" customHeight="1" x14ac:dyDescent="0.2">
      <c r="B20" s="2551"/>
      <c r="C20" s="2551"/>
      <c r="D20" s="2547"/>
      <c r="E20" s="2547"/>
      <c r="F20" s="2547"/>
      <c r="G20" s="2547"/>
      <c r="H20" s="2547"/>
      <c r="I20" s="2547"/>
      <c r="J20" s="2547"/>
      <c r="K20" s="2547"/>
      <c r="L20" s="1378"/>
    </row>
    <row r="21" spans="2:12" ht="4.5" customHeight="1" x14ac:dyDescent="0.2">
      <c r="B21" s="1397"/>
      <c r="C21" s="1397"/>
      <c r="L21" s="1378"/>
    </row>
    <row r="22" spans="2:12" ht="13.5" customHeight="1" x14ac:dyDescent="0.2">
      <c r="B22" s="1390" t="s">
        <v>1356</v>
      </c>
      <c r="C22" s="1390"/>
      <c r="D22" s="1376"/>
      <c r="E22" s="1376"/>
      <c r="F22" s="1376"/>
      <c r="G22" s="1377"/>
      <c r="H22" s="1376"/>
      <c r="I22" s="1377"/>
      <c r="J22" s="1376"/>
      <c r="K22" s="1376"/>
      <c r="L22" s="1378"/>
    </row>
    <row r="23" spans="2:12" ht="45" customHeight="1" x14ac:dyDescent="0.2">
      <c r="B23" s="2547"/>
      <c r="C23" s="2547"/>
      <c r="D23" s="2547"/>
      <c r="E23" s="2547"/>
      <c r="F23" s="2547"/>
      <c r="G23" s="2547"/>
      <c r="H23" s="2547"/>
      <c r="I23" s="2547"/>
      <c r="J23" s="2547"/>
      <c r="K23" s="2547"/>
      <c r="L23" s="1378"/>
    </row>
    <row r="24" spans="2:12" ht="4.5" customHeight="1" x14ac:dyDescent="0.2">
      <c r="B24" s="1395"/>
      <c r="C24" s="1395"/>
      <c r="L24" s="1378"/>
    </row>
    <row r="25" spans="2:12" ht="13.5" customHeight="1" x14ac:dyDescent="0.2">
      <c r="B25" s="1390" t="s">
        <v>1355</v>
      </c>
      <c r="C25" s="1390"/>
      <c r="D25" s="1376"/>
      <c r="E25" s="1376"/>
      <c r="F25" s="1376"/>
      <c r="G25" s="1377"/>
      <c r="H25" s="1376"/>
      <c r="I25" s="1377"/>
      <c r="J25" s="1376"/>
      <c r="K25" s="1376"/>
      <c r="L25" s="1378"/>
    </row>
    <row r="26" spans="2:12" ht="45.75" customHeight="1" x14ac:dyDescent="0.2">
      <c r="B26" s="2547"/>
      <c r="C26" s="2547"/>
      <c r="D26" s="2547"/>
      <c r="E26" s="2547"/>
      <c r="F26" s="2547"/>
      <c r="G26" s="2547"/>
      <c r="H26" s="2547"/>
      <c r="I26" s="2547"/>
      <c r="J26" s="2547"/>
      <c r="K26" s="2547"/>
      <c r="L26" s="1378"/>
    </row>
    <row r="27" spans="2:12" ht="4.5" customHeight="1" x14ac:dyDescent="0.2">
      <c r="B27" s="1395"/>
      <c r="C27" s="1395"/>
      <c r="L27" s="1378"/>
    </row>
    <row r="28" spans="2:12" ht="13.5" customHeight="1" x14ac:dyDescent="0.2">
      <c r="B28" s="1398" t="s">
        <v>1354</v>
      </c>
      <c r="C28" s="1398"/>
      <c r="D28" s="1376"/>
      <c r="E28" s="1376"/>
      <c r="F28" s="1376"/>
      <c r="G28" s="1377"/>
      <c r="H28" s="1376"/>
      <c r="I28" s="1377"/>
      <c r="J28" s="1376"/>
      <c r="K28" s="1376"/>
      <c r="L28" s="1378"/>
    </row>
    <row r="29" spans="2:12" ht="45.75" customHeight="1" x14ac:dyDescent="0.2">
      <c r="B29" s="2546"/>
      <c r="C29" s="2546"/>
      <c r="D29" s="2547"/>
      <c r="E29" s="2547"/>
      <c r="F29" s="2547"/>
      <c r="G29" s="2547"/>
      <c r="H29" s="2547"/>
      <c r="I29" s="2547"/>
      <c r="J29" s="2547"/>
      <c r="K29" s="2547"/>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1847</v>
      </c>
      <c r="C31" s="1400"/>
      <c r="D31" s="1375"/>
      <c r="E31" s="1376"/>
      <c r="F31" s="1376"/>
      <c r="G31" s="1377"/>
      <c r="H31" s="1376"/>
      <c r="I31" s="1377"/>
      <c r="J31" s="1376"/>
      <c r="K31" s="1376"/>
      <c r="L31" s="1378"/>
    </row>
    <row r="32" spans="2:12" s="322" customFormat="1" ht="44.25" customHeight="1" x14ac:dyDescent="0.2">
      <c r="B32" s="2546"/>
      <c r="C32" s="2546"/>
      <c r="D32" s="2547"/>
      <c r="E32" s="2547"/>
      <c r="F32" s="2547"/>
      <c r="G32" s="2547"/>
      <c r="H32" s="2547"/>
      <c r="I32" s="2547"/>
      <c r="J32" s="2547"/>
      <c r="K32" s="2547"/>
      <c r="L32" s="1378"/>
    </row>
    <row r="33" spans="1:13" s="322" customFormat="1" ht="4.5" customHeight="1" x14ac:dyDescent="0.2">
      <c r="B33" s="1399"/>
      <c r="C33" s="1399"/>
      <c r="G33" s="1380"/>
      <c r="I33" s="1380"/>
      <c r="L33" s="1378"/>
    </row>
    <row r="34" spans="1:13" s="322" customFormat="1" x14ac:dyDescent="0.2">
      <c r="A34" s="1294"/>
      <c r="B34" s="1414"/>
      <c r="C34" s="1414"/>
      <c r="D34" s="1414"/>
      <c r="E34" s="1414"/>
      <c r="F34" s="1414"/>
      <c r="G34" s="1415"/>
      <c r="H34" s="1414"/>
      <c r="I34" s="1415"/>
      <c r="J34" s="1414"/>
      <c r="K34" s="1414"/>
      <c r="L34" s="1378"/>
    </row>
    <row r="35" spans="1:13" ht="11.85" customHeight="1" x14ac:dyDescent="0.2">
      <c r="B35" s="1416" t="s">
        <v>1848</v>
      </c>
      <c r="C35" s="1416"/>
      <c r="D35" s="322"/>
      <c r="E35" s="322"/>
      <c r="F35" s="322"/>
      <c r="L35" s="1378"/>
    </row>
    <row r="36" spans="1:13" ht="9.6" customHeight="1" x14ac:dyDescent="0.2">
      <c r="B36" s="1297" t="s">
        <v>1953</v>
      </c>
      <c r="C36" s="1297"/>
      <c r="L36" s="1378"/>
    </row>
    <row r="37" spans="1:13" ht="9.6" customHeight="1" x14ac:dyDescent="0.2">
      <c r="B37" s="1297" t="s">
        <v>1954</v>
      </c>
      <c r="C37" s="1297"/>
    </row>
    <row r="38" spans="1:13" ht="11.85" customHeight="1" x14ac:dyDescent="0.2">
      <c r="B38" s="1417" t="s">
        <v>1849</v>
      </c>
      <c r="C38" s="1417"/>
    </row>
    <row r="39" spans="1:13" ht="9.6" customHeight="1" x14ac:dyDescent="0.2">
      <c r="B39" s="1297" t="s">
        <v>1348</v>
      </c>
      <c r="C39" s="1297"/>
      <c r="M39" s="1418"/>
    </row>
    <row r="40" spans="1:13" ht="12.6" customHeight="1" x14ac:dyDescent="0.2">
      <c r="B40" s="1417" t="s">
        <v>1850</v>
      </c>
      <c r="C40" s="1417"/>
      <c r="M40" s="1418"/>
    </row>
    <row r="41" spans="1:13" ht="9.6" customHeight="1" x14ac:dyDescent="0.2">
      <c r="B41" s="1297"/>
      <c r="C41" s="1297"/>
      <c r="M41" s="141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55" t="str">
        <f>'Single Audit Cover'!A7</f>
        <v>Morrisonville CUSD 1</v>
      </c>
      <c r="C1" s="2555"/>
      <c r="D1" s="2555"/>
      <c r="E1" s="2555"/>
      <c r="F1" s="2555"/>
      <c r="G1" s="2555"/>
      <c r="H1" s="2555"/>
      <c r="I1" s="2555"/>
      <c r="J1" s="2555"/>
      <c r="K1" s="2555"/>
      <c r="L1" s="1462"/>
    </row>
    <row r="2" spans="1:12" ht="12.75" customHeight="1" x14ac:dyDescent="0.2">
      <c r="B2" s="2556">
        <f>'Single Audit Cover'!E7</f>
        <v>3011001026</v>
      </c>
      <c r="C2" s="2556"/>
      <c r="D2" s="2556"/>
      <c r="E2" s="2556"/>
      <c r="F2" s="2556"/>
      <c r="G2" s="2556"/>
      <c r="H2" s="2556"/>
      <c r="I2" s="2556"/>
      <c r="J2" s="2556"/>
      <c r="K2" s="2556"/>
      <c r="L2" s="1463"/>
    </row>
    <row r="3" spans="1:12" ht="12.75" customHeight="1" x14ac:dyDescent="0.2">
      <c r="B3" s="2548" t="s">
        <v>1347</v>
      </c>
      <c r="C3" s="2548"/>
      <c r="D3" s="2548"/>
      <c r="E3" s="2548"/>
      <c r="F3" s="2548"/>
      <c r="G3" s="2548"/>
      <c r="H3" s="2548"/>
      <c r="I3" s="2548"/>
      <c r="J3" s="2548"/>
      <c r="K3" s="2548"/>
      <c r="L3" s="1374"/>
    </row>
    <row r="4" spans="1:12" ht="12.75" customHeight="1" x14ac:dyDescent="0.2">
      <c r="B4" s="2548" t="str">
        <f>'Single Audit Cover'!A4</f>
        <v>Year Ending June 30, 2018</v>
      </c>
      <c r="C4" s="2548"/>
      <c r="D4" s="2548"/>
      <c r="E4" s="2548"/>
      <c r="F4" s="2548"/>
      <c r="G4" s="2548"/>
      <c r="H4" s="2548"/>
      <c r="I4" s="2548"/>
      <c r="J4" s="2548"/>
      <c r="K4" s="2548"/>
      <c r="L4" s="1374"/>
    </row>
    <row r="5" spans="1:12" ht="5.25" customHeight="1" x14ac:dyDescent="0.2">
      <c r="B5" s="1257" t="s">
        <v>1231</v>
      </c>
      <c r="C5" s="1257"/>
      <c r="L5" s="322"/>
    </row>
    <row r="6" spans="1:12" ht="30.75" customHeight="1" x14ac:dyDescent="0.2">
      <c r="A6" s="322"/>
      <c r="B6" s="2557" t="s">
        <v>1375</v>
      </c>
      <c r="C6" s="2557"/>
      <c r="D6" s="2557"/>
      <c r="E6" s="2557"/>
      <c r="F6" s="2557"/>
      <c r="G6" s="2557"/>
      <c r="H6" s="2557"/>
      <c r="I6" s="2557"/>
      <c r="J6" s="2557"/>
      <c r="K6" s="2557"/>
      <c r="L6" s="322"/>
    </row>
    <row r="7" spans="1:12" ht="4.5" customHeight="1" x14ac:dyDescent="0.2">
      <c r="B7" s="1376"/>
      <c r="C7" s="1376"/>
      <c r="D7" s="1376"/>
      <c r="E7" s="1376"/>
      <c r="F7" s="1376"/>
      <c r="G7" s="1377"/>
      <c r="H7" s="1376"/>
      <c r="I7" s="1377"/>
      <c r="J7" s="1376"/>
      <c r="K7" s="1376"/>
      <c r="L7" s="322"/>
    </row>
    <row r="8" spans="1:12" ht="13.5" customHeight="1" x14ac:dyDescent="0.2">
      <c r="B8" s="1384" t="s">
        <v>1859</v>
      </c>
      <c r="C8" s="1464" t="s">
        <v>1952</v>
      </c>
      <c r="D8" s="1465"/>
      <c r="E8" s="322"/>
      <c r="F8" s="1381" t="s">
        <v>1362</v>
      </c>
      <c r="G8" s="1466"/>
      <c r="H8" s="1467" t="s">
        <v>1374</v>
      </c>
      <c r="I8" s="1466"/>
      <c r="J8" s="1468" t="s">
        <v>1373</v>
      </c>
      <c r="L8" s="322"/>
    </row>
    <row r="9" spans="1:12" ht="13.5" customHeight="1" x14ac:dyDescent="0.2">
      <c r="D9" s="322"/>
      <c r="E9" s="322"/>
      <c r="F9" s="322"/>
      <c r="G9" s="1380"/>
      <c r="H9" s="322"/>
      <c r="I9" s="1469" t="s">
        <v>1359</v>
      </c>
      <c r="J9" s="322"/>
      <c r="K9" s="1470"/>
      <c r="L9" s="322"/>
    </row>
    <row r="10" spans="1:12" ht="4.5" customHeight="1" x14ac:dyDescent="0.2">
      <c r="B10" s="1471"/>
      <c r="C10" s="1471"/>
      <c r="D10" s="1424"/>
      <c r="E10" s="1424"/>
      <c r="F10" s="1424"/>
      <c r="G10" s="1425"/>
      <c r="H10" s="1424"/>
      <c r="I10" s="1425"/>
      <c r="J10" s="1424"/>
      <c r="K10" s="1424"/>
      <c r="L10" s="322"/>
    </row>
    <row r="11" spans="1:12" ht="5.25" customHeight="1" x14ac:dyDescent="0.2">
      <c r="B11" s="322"/>
      <c r="C11" s="322"/>
      <c r="D11" s="304"/>
      <c r="E11" s="322"/>
      <c r="F11" s="322"/>
      <c r="G11" s="1380"/>
      <c r="H11" s="322"/>
      <c r="I11" s="1380"/>
      <c r="J11" s="322"/>
      <c r="K11" s="1429"/>
      <c r="L11" s="322"/>
    </row>
    <row r="12" spans="1:12" ht="13.5" customHeight="1" x14ac:dyDescent="0.2">
      <c r="B12" s="1381" t="s">
        <v>1372</v>
      </c>
      <c r="C12" s="1381"/>
      <c r="D12" s="304"/>
      <c r="E12" s="322"/>
      <c r="F12" s="2539"/>
      <c r="G12" s="2539"/>
      <c r="H12" s="2539"/>
      <c r="I12" s="2539"/>
      <c r="J12" s="2539"/>
      <c r="K12" s="2539"/>
      <c r="L12" s="322"/>
    </row>
    <row r="13" spans="1:12" ht="9.6" customHeight="1" x14ac:dyDescent="0.2">
      <c r="B13" s="1254"/>
      <c r="C13" s="1254"/>
      <c r="D13" s="304"/>
      <c r="E13" s="322"/>
      <c r="F13" s="322"/>
      <c r="G13" s="1380"/>
      <c r="H13" s="322"/>
      <c r="I13" s="1380"/>
      <c r="J13" s="322"/>
      <c r="K13" s="1429"/>
      <c r="L13" s="322"/>
    </row>
    <row r="14" spans="1:12" ht="13.5" customHeight="1" x14ac:dyDescent="0.2">
      <c r="B14" s="1384" t="s">
        <v>1371</v>
      </c>
      <c r="C14" s="1384"/>
      <c r="D14" s="2552"/>
      <c r="E14" s="2552"/>
      <c r="F14" s="2552"/>
      <c r="H14" s="1472" t="s">
        <v>1370</v>
      </c>
      <c r="I14" s="2553"/>
      <c r="J14" s="2553"/>
      <c r="K14" s="2553"/>
      <c r="L14" s="322"/>
    </row>
    <row r="15" spans="1:12" ht="9.4" customHeight="1" x14ac:dyDescent="0.2">
      <c r="B15" s="1384"/>
      <c r="C15" s="1384"/>
      <c r="D15" s="1370"/>
      <c r="E15" s="1257"/>
      <c r="F15" s="1257"/>
      <c r="G15" s="1283"/>
      <c r="H15" s="1257"/>
      <c r="I15" s="1473"/>
      <c r="J15" s="1291"/>
      <c r="K15" s="1288"/>
      <c r="L15" s="322"/>
    </row>
    <row r="16" spans="1:12" ht="13.5" customHeight="1" x14ac:dyDescent="0.2">
      <c r="B16" s="1384" t="s">
        <v>1369</v>
      </c>
      <c r="C16" s="1384"/>
      <c r="D16" s="2553"/>
      <c r="E16" s="2553"/>
      <c r="F16" s="2553"/>
      <c r="G16" s="2553"/>
      <c r="H16" s="2553"/>
      <c r="I16" s="2553"/>
      <c r="J16" s="2553"/>
      <c r="K16" s="2553"/>
      <c r="L16" s="322"/>
    </row>
    <row r="17" spans="2:12" ht="13.5" customHeight="1" x14ac:dyDescent="0.2">
      <c r="B17" s="1384" t="s">
        <v>1368</v>
      </c>
      <c r="C17" s="1384"/>
      <c r="D17" s="2554"/>
      <c r="E17" s="2554"/>
      <c r="F17" s="2554"/>
      <c r="G17" s="2554"/>
      <c r="H17" s="2554"/>
      <c r="I17" s="2554"/>
      <c r="J17" s="2554"/>
      <c r="K17" s="2554"/>
      <c r="L17" s="322"/>
    </row>
    <row r="18" spans="2:12" ht="9.4" customHeight="1" x14ac:dyDescent="0.2">
      <c r="B18" s="1424"/>
      <c r="C18" s="1424"/>
      <c r="D18" s="1424"/>
      <c r="E18" s="1424"/>
      <c r="F18" s="1424"/>
      <c r="G18" s="1425"/>
      <c r="H18" s="1424"/>
      <c r="I18" s="1425"/>
      <c r="J18" s="1424"/>
      <c r="K18" s="1424"/>
      <c r="L18" s="322"/>
    </row>
    <row r="19" spans="2:12" ht="13.5" customHeight="1" x14ac:dyDescent="0.2">
      <c r="B19" s="1474" t="s">
        <v>1367</v>
      </c>
      <c r="C19" s="1474"/>
      <c r="D19" s="328"/>
      <c r="E19" s="328"/>
      <c r="F19" s="328"/>
      <c r="G19" s="1475"/>
      <c r="H19" s="328"/>
      <c r="I19" s="1475"/>
      <c r="J19" s="322"/>
      <c r="K19" s="322"/>
      <c r="L19" s="322"/>
    </row>
    <row r="20" spans="2:12" ht="35.25" customHeight="1" x14ac:dyDescent="0.2">
      <c r="B20" s="2547"/>
      <c r="C20" s="2547"/>
      <c r="D20" s="2547"/>
      <c r="E20" s="2547"/>
      <c r="F20" s="2547"/>
      <c r="G20" s="2547"/>
      <c r="H20" s="2547"/>
      <c r="I20" s="2547"/>
      <c r="J20" s="2547"/>
      <c r="K20" s="2547"/>
      <c r="L20" s="1429"/>
    </row>
    <row r="21" spans="2:12" ht="4.5" customHeight="1" x14ac:dyDescent="0.2">
      <c r="B21" s="1476"/>
      <c r="C21" s="1476"/>
      <c r="D21" s="1477"/>
      <c r="E21" s="1477"/>
      <c r="F21" s="1477"/>
      <c r="G21" s="1425"/>
      <c r="H21" s="1477"/>
      <c r="I21" s="1425"/>
      <c r="J21" s="1477"/>
      <c r="K21" s="1477"/>
      <c r="L21" s="1429"/>
    </row>
    <row r="22" spans="2:12" ht="13.35" customHeight="1" x14ac:dyDescent="0.2">
      <c r="B22" s="1474" t="s">
        <v>1860</v>
      </c>
      <c r="C22" s="1474"/>
      <c r="D22" s="322"/>
      <c r="E22" s="322"/>
      <c r="F22" s="322"/>
      <c r="G22" s="1380"/>
      <c r="H22" s="322"/>
      <c r="I22" s="1380"/>
      <c r="J22" s="322"/>
      <c r="K22" s="322"/>
      <c r="L22" s="322"/>
    </row>
    <row r="23" spans="2:12" ht="37.5" customHeight="1" x14ac:dyDescent="0.2">
      <c r="B23" s="2547"/>
      <c r="C23" s="2547"/>
      <c r="D23" s="2547"/>
      <c r="E23" s="2547"/>
      <c r="F23" s="2547"/>
      <c r="G23" s="2547"/>
      <c r="H23" s="2547"/>
      <c r="I23" s="2547"/>
      <c r="J23" s="2547"/>
      <c r="K23" s="2547"/>
      <c r="L23" s="322"/>
    </row>
    <row r="24" spans="2:12" ht="4.5" customHeight="1" x14ac:dyDescent="0.2">
      <c r="B24" s="1476"/>
      <c r="C24" s="1476"/>
      <c r="D24" s="1424"/>
      <c r="E24" s="1424"/>
      <c r="F24" s="1424"/>
      <c r="G24" s="1425"/>
      <c r="H24" s="1424"/>
      <c r="I24" s="1425"/>
      <c r="J24" s="1424"/>
      <c r="K24" s="1424"/>
      <c r="L24" s="322"/>
    </row>
    <row r="25" spans="2:12" ht="13.5" customHeight="1" x14ac:dyDescent="0.2">
      <c r="B25" s="1474" t="s">
        <v>1861</v>
      </c>
      <c r="C25" s="1474"/>
      <c r="D25" s="322"/>
      <c r="E25" s="322"/>
      <c r="F25" s="322"/>
      <c r="G25" s="1380"/>
      <c r="H25" s="322"/>
      <c r="I25" s="1380"/>
      <c r="J25" s="322"/>
      <c r="K25" s="322"/>
      <c r="L25" s="322"/>
    </row>
    <row r="26" spans="2:12" ht="37.5" customHeight="1" x14ac:dyDescent="0.2">
      <c r="B26" s="2547"/>
      <c r="C26" s="2547"/>
      <c r="D26" s="2547"/>
      <c r="E26" s="2547"/>
      <c r="F26" s="2547"/>
      <c r="G26" s="2547"/>
      <c r="H26" s="2547"/>
      <c r="I26" s="2547"/>
      <c r="J26" s="2547"/>
      <c r="K26" s="2547"/>
      <c r="L26" s="322"/>
    </row>
    <row r="27" spans="2:12" ht="4.5" customHeight="1" x14ac:dyDescent="0.2">
      <c r="B27" s="1478"/>
      <c r="C27" s="1478"/>
      <c r="D27" s="1478"/>
      <c r="E27" s="1424"/>
      <c r="F27" s="1424"/>
      <c r="G27" s="1425"/>
      <c r="H27" s="1424"/>
      <c r="I27" s="1425"/>
      <c r="J27" s="1424"/>
      <c r="K27" s="1424"/>
      <c r="L27" s="322"/>
    </row>
    <row r="28" spans="2:12" ht="13.5" customHeight="1" x14ac:dyDescent="0.2">
      <c r="B28" s="1474" t="s">
        <v>1862</v>
      </c>
      <c r="C28" s="1474"/>
      <c r="D28" s="322"/>
      <c r="E28" s="322"/>
      <c r="F28" s="322"/>
      <c r="G28" s="1380"/>
      <c r="H28" s="322"/>
      <c r="I28" s="1380"/>
      <c r="J28" s="322"/>
      <c r="K28" s="322"/>
      <c r="L28" s="322"/>
    </row>
    <row r="29" spans="2:12" ht="37.5" customHeight="1" x14ac:dyDescent="0.2">
      <c r="B29" s="2547"/>
      <c r="C29" s="2547"/>
      <c r="D29" s="2547"/>
      <c r="E29" s="2547"/>
      <c r="F29" s="2547"/>
      <c r="G29" s="2547"/>
      <c r="H29" s="2547"/>
      <c r="I29" s="2547"/>
      <c r="J29" s="2547"/>
      <c r="K29" s="2547"/>
      <c r="L29" s="322"/>
    </row>
    <row r="30" spans="2:12" ht="4.5" customHeight="1" x14ac:dyDescent="0.2">
      <c r="B30" s="1476"/>
      <c r="C30" s="1476"/>
      <c r="D30" s="1424"/>
      <c r="E30" s="1424"/>
      <c r="F30" s="1424"/>
      <c r="G30" s="1425"/>
      <c r="H30" s="1424"/>
      <c r="I30" s="1425"/>
      <c r="J30" s="1424"/>
      <c r="K30" s="1424"/>
      <c r="L30" s="322"/>
    </row>
    <row r="31" spans="2:12" ht="13.5" customHeight="1" x14ac:dyDescent="0.2">
      <c r="B31" s="1474" t="s">
        <v>1366</v>
      </c>
      <c r="C31" s="1474"/>
      <c r="D31" s="322"/>
      <c r="E31" s="322"/>
      <c r="F31" s="322"/>
      <c r="G31" s="1380"/>
      <c r="H31" s="322"/>
      <c r="I31" s="1380"/>
      <c r="J31" s="322"/>
      <c r="K31" s="322"/>
      <c r="L31" s="322"/>
    </row>
    <row r="32" spans="2:12" ht="37.5" customHeight="1" x14ac:dyDescent="0.2">
      <c r="B32" s="2547"/>
      <c r="C32" s="2547"/>
      <c r="D32" s="2547"/>
      <c r="E32" s="2547"/>
      <c r="F32" s="2547"/>
      <c r="G32" s="2547"/>
      <c r="H32" s="2547"/>
      <c r="I32" s="2547"/>
      <c r="J32" s="2547"/>
      <c r="K32" s="2547"/>
      <c r="L32" s="322"/>
    </row>
    <row r="33" spans="2:12" ht="4.5" customHeight="1" x14ac:dyDescent="0.2">
      <c r="B33" s="1476"/>
      <c r="C33" s="1476"/>
      <c r="D33" s="1424"/>
      <c r="E33" s="1424"/>
      <c r="F33" s="1424"/>
      <c r="G33" s="1425"/>
      <c r="H33" s="1424"/>
      <c r="I33" s="1425"/>
      <c r="J33" s="1424"/>
      <c r="K33" s="1424"/>
      <c r="L33" s="322"/>
    </row>
    <row r="34" spans="2:12" ht="13.5" customHeight="1" x14ac:dyDescent="0.2">
      <c r="B34" s="1381" t="s">
        <v>1365</v>
      </c>
      <c r="C34" s="1381"/>
      <c r="D34" s="322"/>
      <c r="E34" s="322"/>
      <c r="F34" s="322"/>
      <c r="G34" s="1380"/>
      <c r="H34" s="322"/>
      <c r="I34" s="1380"/>
      <c r="J34" s="322"/>
      <c r="K34" s="322"/>
      <c r="L34" s="322"/>
    </row>
    <row r="35" spans="2:12" ht="37.5" customHeight="1" x14ac:dyDescent="0.2">
      <c r="B35" s="2547"/>
      <c r="C35" s="2547"/>
      <c r="D35" s="2547"/>
      <c r="E35" s="2547"/>
      <c r="F35" s="2547"/>
      <c r="G35" s="2547"/>
      <c r="H35" s="2547"/>
      <c r="I35" s="2547"/>
      <c r="J35" s="2547"/>
      <c r="K35" s="2547"/>
      <c r="L35" s="322"/>
    </row>
    <row r="36" spans="2:12" ht="4.5" customHeight="1" x14ac:dyDescent="0.2">
      <c r="B36" s="1476"/>
      <c r="C36" s="1476"/>
      <c r="D36" s="1424"/>
      <c r="E36" s="1424"/>
      <c r="F36" s="1424"/>
      <c r="G36" s="1425"/>
      <c r="H36" s="1424"/>
      <c r="I36" s="1425"/>
      <c r="J36" s="1424"/>
      <c r="K36" s="1424"/>
      <c r="L36" s="322"/>
    </row>
    <row r="37" spans="2:12" ht="13.5" customHeight="1" x14ac:dyDescent="0.2">
      <c r="B37" s="1381" t="s">
        <v>1364</v>
      </c>
      <c r="C37" s="1381"/>
      <c r="D37" s="322"/>
      <c r="E37" s="322"/>
      <c r="F37" s="322"/>
      <c r="G37" s="1380"/>
      <c r="H37" s="322"/>
      <c r="I37" s="1380"/>
      <c r="J37" s="322"/>
      <c r="K37" s="322"/>
      <c r="L37" s="322"/>
    </row>
    <row r="38" spans="2:12" ht="35.25" customHeight="1" x14ac:dyDescent="0.2">
      <c r="B38" s="2547"/>
      <c r="C38" s="2547"/>
      <c r="D38" s="2547"/>
      <c r="E38" s="2547"/>
      <c r="F38" s="2547"/>
      <c r="G38" s="2547"/>
      <c r="H38" s="2547"/>
      <c r="I38" s="2547"/>
      <c r="J38" s="2547"/>
      <c r="K38" s="2547"/>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1863</v>
      </c>
      <c r="C40" s="1400"/>
      <c r="D40" s="1375"/>
      <c r="E40" s="1376"/>
      <c r="F40" s="1376"/>
      <c r="G40" s="1377"/>
      <c r="H40" s="1376"/>
      <c r="I40" s="1377"/>
      <c r="J40" s="1376"/>
      <c r="K40" s="1376"/>
    </row>
    <row r="41" spans="2:12" s="322" customFormat="1" ht="33.75" customHeight="1" x14ac:dyDescent="0.2">
      <c r="B41" s="2547"/>
      <c r="C41" s="2547"/>
      <c r="D41" s="2547"/>
      <c r="E41" s="2547"/>
      <c r="F41" s="2547"/>
      <c r="G41" s="2547"/>
      <c r="H41" s="2547"/>
      <c r="I41" s="2547"/>
      <c r="J41" s="2547"/>
      <c r="K41" s="2547"/>
    </row>
    <row r="42" spans="2:12" s="322" customFormat="1" ht="4.5" customHeight="1" x14ac:dyDescent="0.2">
      <c r="B42" s="1399"/>
      <c r="C42" s="1399"/>
      <c r="G42" s="1380"/>
      <c r="I42" s="1380"/>
    </row>
    <row r="43" spans="2:12" s="322" customFormat="1" ht="13.5" customHeight="1" x14ac:dyDescent="0.2">
      <c r="B43" s="1479" t="s">
        <v>1353</v>
      </c>
      <c r="C43" s="1480"/>
      <c r="D43" s="1401"/>
      <c r="E43" s="1401"/>
      <c r="F43" s="1401"/>
      <c r="G43" s="1402"/>
      <c r="H43" s="1401"/>
      <c r="I43" s="1402"/>
      <c r="J43" s="1401"/>
      <c r="K43" s="1403"/>
      <c r="L43" s="1481"/>
    </row>
    <row r="44" spans="2:12" s="322" customFormat="1" ht="13.5" customHeight="1" x14ac:dyDescent="0.2">
      <c r="B44" s="1404" t="s">
        <v>1352</v>
      </c>
      <c r="C44" s="1405"/>
      <c r="D44" s="1482"/>
      <c r="E44" s="1406"/>
      <c r="F44" s="1410" t="s">
        <v>1351</v>
      </c>
      <c r="G44" s="1408"/>
      <c r="H44" s="1407"/>
      <c r="I44" s="1408"/>
      <c r="J44" s="1483"/>
      <c r="K44" s="1484"/>
      <c r="L44" s="1481"/>
    </row>
    <row r="45" spans="2:12" s="322" customFormat="1" ht="13.5" customHeight="1" x14ac:dyDescent="0.2">
      <c r="B45" s="1404" t="s">
        <v>1350</v>
      </c>
      <c r="C45" s="1405"/>
      <c r="D45" s="1483"/>
      <c r="E45" s="1407"/>
      <c r="F45" s="1410" t="s">
        <v>1349</v>
      </c>
      <c r="G45" s="1408"/>
      <c r="H45" s="1407"/>
      <c r="I45" s="1408"/>
      <c r="J45" s="1483"/>
      <c r="K45" s="1484"/>
      <c r="L45" s="1481"/>
    </row>
    <row r="46" spans="2:12" s="322" customFormat="1" ht="13.5" customHeight="1" x14ac:dyDescent="0.2">
      <c r="B46" s="1411"/>
      <c r="C46" s="1409"/>
      <c r="D46" s="1409"/>
      <c r="E46" s="1409"/>
      <c r="F46" s="1409"/>
      <c r="G46" s="1412"/>
      <c r="H46" s="1409"/>
      <c r="I46" s="1412"/>
      <c r="J46" s="1409"/>
      <c r="K46" s="1413"/>
      <c r="L46" s="1481"/>
    </row>
    <row r="47" spans="2:12" ht="7.5" customHeight="1" x14ac:dyDescent="0.25">
      <c r="B47" s="1485"/>
      <c r="C47" s="1485"/>
      <c r="D47" s="1486"/>
      <c r="E47" s="1486"/>
      <c r="F47" s="1486"/>
      <c r="G47" s="1487"/>
      <c r="H47" s="1486"/>
      <c r="I47" s="1487"/>
      <c r="J47" s="1486"/>
      <c r="K47" s="1486"/>
    </row>
    <row r="48" spans="2:12" ht="13.5" customHeight="1" x14ac:dyDescent="0.2">
      <c r="B48" s="1416" t="s">
        <v>1864</v>
      </c>
      <c r="C48" s="1416"/>
      <c r="D48" s="322"/>
      <c r="E48" s="322"/>
      <c r="F48" s="322"/>
    </row>
    <row r="49" spans="2:3" s="317" customFormat="1" ht="10.5" customHeight="1" x14ac:dyDescent="0.2">
      <c r="B49" s="1417" t="s">
        <v>1865</v>
      </c>
      <c r="C49" s="1417"/>
    </row>
    <row r="50" spans="2:3" s="317" customFormat="1" ht="11.1" customHeight="1" x14ac:dyDescent="0.2">
      <c r="B50" s="1417" t="s">
        <v>1866</v>
      </c>
      <c r="C50" s="1417"/>
    </row>
    <row r="51" spans="2:3" s="317" customFormat="1" ht="11.1" customHeight="1" x14ac:dyDescent="0.2">
      <c r="B51" s="1417" t="s">
        <v>1867</v>
      </c>
      <c r="C51" s="1417"/>
    </row>
    <row r="52" spans="2:3" s="317" customFormat="1" ht="11.1" customHeight="1" x14ac:dyDescent="0.2">
      <c r="B52" s="1417" t="s">
        <v>1868</v>
      </c>
      <c r="C52" s="14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532" t="str">
        <f>'Single Audit Cover'!A7</f>
        <v>Morrisonville CUSD 1</v>
      </c>
      <c r="C1" s="2532"/>
      <c r="D1" s="2532"/>
      <c r="E1" s="1488"/>
    </row>
    <row r="2" spans="2:5" s="1279" customFormat="1" ht="12.75" customHeight="1" x14ac:dyDescent="0.2">
      <c r="B2" s="2534">
        <f>'Single Audit Cover'!E7</f>
        <v>3011001026</v>
      </c>
      <c r="C2" s="2534"/>
      <c r="D2" s="2534"/>
      <c r="E2" s="1489"/>
    </row>
    <row r="3" spans="2:5" ht="12.75" customHeight="1" x14ac:dyDescent="0.2">
      <c r="B3" s="2548" t="s">
        <v>1869</v>
      </c>
      <c r="C3" s="2548"/>
      <c r="D3" s="2548"/>
      <c r="E3" s="1271"/>
    </row>
    <row r="4" spans="2:5" s="1279" customFormat="1" ht="12.75" customHeight="1" x14ac:dyDescent="0.2">
      <c r="B4" s="2558" t="str">
        <f>'Single Audit Cover'!A4</f>
        <v>Year Ending June 30, 2018</v>
      </c>
      <c r="C4" s="2558"/>
      <c r="D4" s="2558"/>
      <c r="E4" s="1490"/>
    </row>
    <row r="5" spans="2:5" s="1279" customFormat="1" ht="40.15" customHeight="1" x14ac:dyDescent="0.2">
      <c r="B5" s="1491" t="s">
        <v>1870</v>
      </c>
      <c r="C5" s="328"/>
      <c r="D5" s="328"/>
      <c r="E5" s="328"/>
    </row>
    <row r="6" spans="2:5" s="1279" customFormat="1" ht="13.5" customHeight="1" x14ac:dyDescent="0.2">
      <c r="B6" s="1492" t="s">
        <v>1382</v>
      </c>
      <c r="C6" s="1492" t="s">
        <v>1381</v>
      </c>
      <c r="D6" s="1492" t="s">
        <v>1871</v>
      </c>
    </row>
    <row r="7" spans="2:5" ht="13.5" customHeight="1" x14ac:dyDescent="0.2">
      <c r="B7" s="1493"/>
      <c r="C7" s="324"/>
      <c r="D7" s="324"/>
      <c r="E7" s="324"/>
    </row>
    <row r="8" spans="2:5" ht="13.5" customHeight="1" x14ac:dyDescent="0.2">
      <c r="B8" s="1493"/>
      <c r="C8" s="324"/>
      <c r="D8" s="324"/>
      <c r="E8" s="324"/>
    </row>
    <row r="9" spans="2:5" ht="13.5" customHeight="1" x14ac:dyDescent="0.2">
      <c r="B9" s="1494"/>
      <c r="C9" s="323"/>
      <c r="D9" s="323"/>
      <c r="E9" s="323"/>
    </row>
    <row r="10" spans="2:5" ht="13.5" customHeight="1" x14ac:dyDescent="0.2">
      <c r="B10" s="1493"/>
      <c r="C10" s="323"/>
      <c r="D10" s="323"/>
      <c r="E10" s="323"/>
    </row>
    <row r="11" spans="2:5" ht="13.5" customHeight="1" x14ac:dyDescent="0.2">
      <c r="B11" s="1493"/>
      <c r="C11" s="323"/>
      <c r="D11" s="323"/>
      <c r="E11" s="323"/>
    </row>
    <row r="12" spans="2:5" ht="13.5" customHeight="1" x14ac:dyDescent="0.2">
      <c r="B12" s="1493"/>
      <c r="C12" s="323"/>
      <c r="D12" s="323"/>
      <c r="E12" s="323"/>
    </row>
    <row r="13" spans="2:5" ht="13.5" customHeight="1" x14ac:dyDescent="0.2">
      <c r="B13" s="1493"/>
      <c r="C13" s="323"/>
      <c r="D13" s="323"/>
      <c r="E13" s="323"/>
    </row>
    <row r="14" spans="2:5" ht="13.5" customHeight="1" x14ac:dyDescent="0.2">
      <c r="B14" s="1493"/>
      <c r="C14" s="323"/>
      <c r="D14" s="323"/>
      <c r="E14" s="323"/>
    </row>
    <row r="15" spans="2:5" ht="13.5" customHeight="1" x14ac:dyDescent="0.2">
      <c r="B15" s="1493"/>
      <c r="C15" s="323"/>
      <c r="D15" s="323"/>
      <c r="E15" s="323"/>
    </row>
    <row r="16" spans="2:5" ht="13.5" customHeight="1" x14ac:dyDescent="0.2">
      <c r="B16" s="1493"/>
      <c r="C16" s="323"/>
      <c r="D16" s="323"/>
      <c r="E16" s="323"/>
    </row>
    <row r="17" spans="2:5" ht="13.5" customHeight="1" x14ac:dyDescent="0.2">
      <c r="B17" s="1493"/>
      <c r="C17" s="323"/>
      <c r="D17" s="323"/>
      <c r="E17" s="323"/>
    </row>
    <row r="18" spans="2:5" ht="13.5" customHeight="1" x14ac:dyDescent="0.2">
      <c r="B18" s="1493"/>
      <c r="C18" s="323"/>
      <c r="D18" s="323"/>
      <c r="E18" s="323"/>
    </row>
    <row r="19" spans="2:5" ht="13.5" customHeight="1" x14ac:dyDescent="0.2">
      <c r="B19" s="1493"/>
      <c r="C19" s="323"/>
      <c r="D19" s="323"/>
      <c r="E19" s="323"/>
    </row>
    <row r="20" spans="2:5" ht="13.5" customHeight="1" x14ac:dyDescent="0.2">
      <c r="B20" s="1493"/>
      <c r="C20" s="323"/>
      <c r="D20" s="323"/>
      <c r="E20" s="323"/>
    </row>
    <row r="21" spans="2:5" ht="13.5" customHeight="1" x14ac:dyDescent="0.2">
      <c r="B21" s="1493"/>
      <c r="C21" s="323"/>
      <c r="D21" s="323"/>
      <c r="E21" s="323"/>
    </row>
    <row r="22" spans="2:5" ht="13.5" customHeight="1" x14ac:dyDescent="0.2">
      <c r="B22" s="1493"/>
      <c r="C22" s="323"/>
      <c r="D22" s="323"/>
      <c r="E22" s="323"/>
    </row>
    <row r="23" spans="2:5" ht="13.5" customHeight="1" x14ac:dyDescent="0.2">
      <c r="B23" s="1493"/>
      <c r="C23" s="323"/>
      <c r="D23" s="323"/>
      <c r="E23" s="323"/>
    </row>
    <row r="24" spans="2:5" ht="13.5" customHeight="1" x14ac:dyDescent="0.2">
      <c r="B24" s="1493"/>
      <c r="C24" s="323"/>
      <c r="D24" s="323"/>
      <c r="E24" s="323"/>
    </row>
    <row r="25" spans="2:5" ht="13.5" customHeight="1" x14ac:dyDescent="0.2">
      <c r="B25" s="1493"/>
      <c r="C25" s="323"/>
      <c r="D25" s="323"/>
      <c r="E25" s="323"/>
    </row>
    <row r="26" spans="2:5" ht="13.5" customHeight="1" x14ac:dyDescent="0.2">
      <c r="B26" s="1493"/>
      <c r="C26" s="323"/>
      <c r="D26" s="323"/>
      <c r="E26" s="323"/>
    </row>
    <row r="27" spans="2:5" ht="13.5" customHeight="1" x14ac:dyDescent="0.2">
      <c r="B27" s="1493"/>
      <c r="C27" s="323"/>
      <c r="D27" s="323"/>
      <c r="E27" s="323"/>
    </row>
    <row r="28" spans="2:5" ht="13.5" customHeight="1" x14ac:dyDescent="0.2">
      <c r="B28" s="1493"/>
      <c r="C28" s="323"/>
      <c r="D28" s="323"/>
      <c r="E28" s="323"/>
    </row>
    <row r="29" spans="2:5" ht="13.5" customHeight="1" x14ac:dyDescent="0.2">
      <c r="B29" s="1493"/>
      <c r="C29" s="323"/>
      <c r="D29" s="323"/>
      <c r="E29" s="323"/>
    </row>
    <row r="30" spans="2:5" ht="13.5" customHeight="1" x14ac:dyDescent="0.2">
      <c r="B30" s="1493"/>
      <c r="C30" s="323"/>
      <c r="D30" s="323"/>
      <c r="E30" s="323"/>
    </row>
    <row r="31" spans="2:5" ht="13.5" customHeight="1" x14ac:dyDescent="0.2">
      <c r="B31" s="1493"/>
      <c r="C31" s="323"/>
      <c r="D31" s="323"/>
      <c r="E31" s="323"/>
    </row>
    <row r="32" spans="2:5" ht="13.5" customHeight="1" x14ac:dyDescent="0.2">
      <c r="B32" s="1495"/>
      <c r="C32" s="323"/>
      <c r="D32" s="323"/>
      <c r="E32" s="323"/>
    </row>
    <row r="33" spans="2:5" ht="13.5" customHeight="1" x14ac:dyDescent="0.2">
      <c r="B33" s="1496"/>
      <c r="C33" s="323"/>
      <c r="D33" s="323"/>
      <c r="E33" s="323"/>
    </row>
    <row r="34" spans="2:5" ht="13.5" customHeight="1" x14ac:dyDescent="0.2">
      <c r="B34" s="1497"/>
      <c r="C34" s="323"/>
      <c r="D34" s="323"/>
      <c r="E34" s="323"/>
    </row>
    <row r="35" spans="2:5" ht="13.5" customHeight="1" x14ac:dyDescent="0.2">
      <c r="B35" s="1496"/>
      <c r="C35" s="323"/>
      <c r="D35" s="323"/>
      <c r="E35" s="323"/>
    </row>
    <row r="36" spans="2:5" ht="13.5" customHeight="1" x14ac:dyDescent="0.2">
      <c r="B36" s="1497"/>
      <c r="C36" s="323"/>
      <c r="D36" s="323"/>
      <c r="E36" s="323"/>
    </row>
    <row r="37" spans="2:5" ht="13.5" customHeight="1" x14ac:dyDescent="0.2">
      <c r="B37" s="1497"/>
      <c r="C37" s="323"/>
      <c r="D37" s="323"/>
      <c r="E37" s="323"/>
    </row>
    <row r="38" spans="2:5" ht="13.5" customHeight="1" x14ac:dyDescent="0.2">
      <c r="B38" s="1496"/>
      <c r="C38" s="323"/>
      <c r="D38" s="323"/>
      <c r="E38" s="323"/>
    </row>
    <row r="39" spans="2:5" ht="13.5" customHeight="1" x14ac:dyDescent="0.2">
      <c r="B39" s="1497"/>
      <c r="C39" s="323"/>
      <c r="D39" s="323"/>
      <c r="E39" s="323"/>
    </row>
    <row r="40" spans="2:5" ht="13.5" customHeight="1" x14ac:dyDescent="0.2">
      <c r="B40" s="1496"/>
      <c r="C40" s="323"/>
      <c r="D40" s="323"/>
      <c r="E40" s="323"/>
    </row>
    <row r="41" spans="2:5" ht="13.5" customHeight="1" x14ac:dyDescent="0.2">
      <c r="B41" s="1498"/>
      <c r="C41" s="323"/>
      <c r="D41" s="323"/>
      <c r="E41" s="323"/>
    </row>
    <row r="42" spans="2:5" ht="13.5" customHeight="1" x14ac:dyDescent="0.2">
      <c r="B42" s="1499"/>
      <c r="C42" s="323"/>
      <c r="D42" s="323"/>
      <c r="E42" s="323"/>
    </row>
    <row r="43" spans="2:5" ht="12.75" customHeight="1" x14ac:dyDescent="0.2">
      <c r="B43" s="1500"/>
      <c r="C43" s="1501"/>
      <c r="D43" s="1501"/>
      <c r="E43" s="323"/>
    </row>
    <row r="44" spans="2:5" ht="12.2" customHeight="1" x14ac:dyDescent="0.2">
      <c r="B44" s="1254" t="s">
        <v>1380</v>
      </c>
      <c r="C44" s="322"/>
    </row>
    <row r="45" spans="2:5" ht="12.2" customHeight="1" x14ac:dyDescent="0.2">
      <c r="B45" s="1502" t="s">
        <v>1872</v>
      </c>
    </row>
    <row r="46" spans="2:5" ht="12.2" customHeight="1" x14ac:dyDescent="0.2">
      <c r="B46" s="1502" t="s">
        <v>1873</v>
      </c>
    </row>
    <row r="47" spans="2:5" ht="12.2" customHeight="1" x14ac:dyDescent="0.2">
      <c r="B47" s="1503" t="s">
        <v>1379</v>
      </c>
    </row>
    <row r="48" spans="2:5" ht="12.2" customHeight="1" x14ac:dyDescent="0.2">
      <c r="B48" s="1503" t="s">
        <v>1378</v>
      </c>
    </row>
    <row r="49" spans="2:5" ht="12.2" customHeight="1" x14ac:dyDescent="0.2">
      <c r="B49" s="1503" t="s">
        <v>1377</v>
      </c>
    </row>
    <row r="50" spans="2:5" ht="12.2" customHeight="1" x14ac:dyDescent="0.2">
      <c r="B50" s="1503" t="s">
        <v>1376</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6"/>
    </row>
    <row r="68" spans="2:2" x14ac:dyDescent="0.2">
      <c r="B68" s="1297"/>
    </row>
    <row r="69" spans="2:2" x14ac:dyDescent="0.2">
      <c r="B69" s="1297"/>
    </row>
    <row r="70" spans="2:2" x14ac:dyDescent="0.2">
      <c r="B70" s="1417"/>
    </row>
    <row r="71" spans="2:2" x14ac:dyDescent="0.2">
      <c r="B71" s="1417"/>
    </row>
    <row r="72" spans="2:2" x14ac:dyDescent="0.2">
      <c r="B72" s="1417"/>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72"/>
  <sheetViews>
    <sheetView showGridLines="0" defaultGridColor="0" colorId="8" zoomScale="110" zoomScaleNormal="110" workbookViewId="0">
      <selection activeCell="G16" sqref="G1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52" t="s">
        <v>404</v>
      </c>
      <c r="B1" s="2152"/>
      <c r="C1" s="2152"/>
      <c r="D1" s="2152"/>
      <c r="E1" s="2152"/>
      <c r="F1" s="2152"/>
      <c r="G1" s="2152"/>
      <c r="H1" s="2152"/>
      <c r="I1" s="2152"/>
      <c r="J1" s="2152"/>
      <c r="K1" s="2152"/>
      <c r="L1" s="2152"/>
      <c r="M1" s="215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44770727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0.03</v>
      </c>
      <c r="E10" s="356" t="s">
        <v>1062</v>
      </c>
      <c r="F10" s="355">
        <v>5.0000000000000001E-3</v>
      </c>
      <c r="G10" s="356" t="s">
        <v>1062</v>
      </c>
      <c r="H10" s="355">
        <v>2E-3</v>
      </c>
      <c r="I10" s="356" t="s">
        <v>1063</v>
      </c>
      <c r="J10" s="1751">
        <f>ROUND(D10+F10+H10,5)</f>
        <v>3.6999999999999998E-2</v>
      </c>
      <c r="K10" s="222"/>
      <c r="L10" s="355">
        <v>5.0000000000000001E-4</v>
      </c>
      <c r="M10" s="222"/>
    </row>
    <row r="11" spans="1:14" ht="7.5" customHeight="1" x14ac:dyDescent="0.2">
      <c r="B11" s="222"/>
      <c r="C11" s="222"/>
      <c r="D11" s="2162" t="str">
        <f>IF(SUM(J10)&lt;=0.0999999,"","Enter the Tax Rates by moving the decimal two places to the left.")</f>
        <v/>
      </c>
      <c r="E11" s="2163"/>
      <c r="F11" s="2163"/>
      <c r="G11" s="2163"/>
      <c r="H11" s="2163"/>
      <c r="I11" s="2163"/>
      <c r="J11" s="216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2">
        <f>SUM('Acct Summary 7-8'!C8,'Acct Summary 7-8'!D8,'Acct Summary 7-8'!F8,'Acct Summary 7-8'!I8)</f>
        <v>3125496</v>
      </c>
      <c r="E16" s="356"/>
      <c r="F16" s="1752">
        <f>SUM('Acct Summary 7-8'!C17,'Acct Summary 7-8'!D17,'Acct Summary 7-8'!F17)</f>
        <v>2956573</v>
      </c>
      <c r="G16" s="356"/>
      <c r="H16" s="1752">
        <f>SUM(D16-F16)</f>
        <v>168923</v>
      </c>
      <c r="I16" s="222"/>
      <c r="J16" s="1752">
        <f>SUM('Acct Summary 7-8'!C81,'Acct Summary 7-8'!D81,'Acct Summary 7-8'!F81,'Acct Summary 7-8'!I81)</f>
        <v>965496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2">
        <f>'Short-Term Long-Term Debt 24'!F4</f>
        <v>0</v>
      </c>
      <c r="E22" s="356" t="s">
        <v>1062</v>
      </c>
      <c r="F22" s="1752">
        <f>'Short-Term Long-Term Debt 24'!F15</f>
        <v>0</v>
      </c>
      <c r="G22" s="356" t="s">
        <v>1062</v>
      </c>
      <c r="H22" s="1752">
        <f>'Short-Term Long-Term Debt 24'!F21</f>
        <v>0</v>
      </c>
      <c r="I22" s="356" t="s">
        <v>1062</v>
      </c>
      <c r="J22" s="1752">
        <f>'Short-Term Long-Term Debt 24'!F23</f>
        <v>0</v>
      </c>
      <c r="K22" s="356" t="s">
        <v>1062</v>
      </c>
      <c r="L22" s="1752">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2">
        <f>'Short-Term Long-Term Debt 24'!F27</f>
        <v>0</v>
      </c>
      <c r="E24" s="356" t="s">
        <v>1063</v>
      </c>
      <c r="F24" s="1753">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4">
        <f>IF(B31="X",(J7*0.069),IF(B32="X",(J7*0.138),"Enter x in a.or b."))</f>
        <v>6178360.3260000004</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3">
        <f>'Assets-Liab 5-6'!N36</f>
        <v>1816071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53"/>
      <c r="C54" s="2154"/>
      <c r="D54" s="2154"/>
      <c r="E54" s="2154"/>
      <c r="F54" s="2154"/>
      <c r="G54" s="2154"/>
      <c r="H54" s="2154"/>
      <c r="I54" s="2154"/>
      <c r="J54" s="2154"/>
      <c r="K54" s="2154"/>
      <c r="L54" s="2155"/>
      <c r="M54" s="380"/>
    </row>
    <row r="55" spans="1:13" ht="12.75" customHeight="1" x14ac:dyDescent="0.2">
      <c r="B55" s="2156"/>
      <c r="C55" s="2157"/>
      <c r="D55" s="2157"/>
      <c r="E55" s="2157"/>
      <c r="F55" s="2157"/>
      <c r="G55" s="2157"/>
      <c r="H55" s="2157"/>
      <c r="I55" s="2157"/>
      <c r="J55" s="2157"/>
      <c r="K55" s="2157"/>
      <c r="L55" s="2158"/>
      <c r="M55" s="380"/>
    </row>
    <row r="56" spans="1:13" ht="12.75" customHeight="1" x14ac:dyDescent="0.2">
      <c r="B56" s="2156"/>
      <c r="C56" s="2157"/>
      <c r="D56" s="2157"/>
      <c r="E56" s="2157"/>
      <c r="F56" s="2157"/>
      <c r="G56" s="2157"/>
      <c r="H56" s="2157"/>
      <c r="I56" s="2157"/>
      <c r="J56" s="2157"/>
      <c r="K56" s="2157"/>
      <c r="L56" s="2158"/>
      <c r="M56" s="222"/>
    </row>
    <row r="57" spans="1:13" ht="12.75" customHeight="1" x14ac:dyDescent="0.2">
      <c r="B57" s="2156"/>
      <c r="C57" s="2157"/>
      <c r="D57" s="2157"/>
      <c r="E57" s="2157"/>
      <c r="F57" s="2157"/>
      <c r="G57" s="2157"/>
      <c r="H57" s="2157"/>
      <c r="I57" s="2157"/>
      <c r="J57" s="2157"/>
      <c r="K57" s="2157"/>
      <c r="L57" s="2158"/>
      <c r="M57" s="222"/>
    </row>
    <row r="58" spans="1:13" x14ac:dyDescent="0.2">
      <c r="B58" s="2159"/>
      <c r="C58" s="2160"/>
      <c r="D58" s="2160"/>
      <c r="E58" s="2160"/>
      <c r="F58" s="2160"/>
      <c r="G58" s="2160"/>
      <c r="H58" s="2160"/>
      <c r="I58" s="2160"/>
      <c r="J58" s="2160"/>
      <c r="K58" s="2160"/>
      <c r="L58" s="216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64"/>
      <c r="D61" s="216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orizontalCentered="1" headings="1"/>
  <pageMargins left="1" right="0.75" top="1.25" bottom="0.75" header="1" footer="0.25"/>
  <pageSetup scale="85" firstPageNumber="3" orientation="portrait" useFirstPageNumber="1" r:id="rId1"/>
  <headerFooter alignWithMargins="0">
    <oddHeader>&amp;L&amp;8Page &amp;P&amp;C &amp;R&amp;8Page &amp;P</oddHeader>
    <oddFooter>&amp;L&amp;8Printed: &amp;D
&amp;F&amp;CReference should be made to accountant's report regarding this information.
55</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R44"/>
  <sheetViews>
    <sheetView showGridLines="0" topLeftCell="A4" zoomScale="110" zoomScaleNormal="110" workbookViewId="0">
      <selection activeCell="D8" sqref="D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67"/>
      <c r="B1" s="2168"/>
      <c r="C1" s="2168"/>
      <c r="D1" s="384"/>
      <c r="E1" s="384"/>
      <c r="F1" s="384"/>
      <c r="G1" s="384"/>
      <c r="H1" s="384"/>
      <c r="I1" s="384"/>
      <c r="J1" s="384"/>
      <c r="K1" s="384"/>
      <c r="L1" s="384"/>
      <c r="M1" s="384"/>
      <c r="N1" s="384"/>
      <c r="O1" s="2167"/>
      <c r="P1" s="2168"/>
      <c r="Q1" s="2168"/>
    </row>
    <row r="2" spans="1:18" ht="15" x14ac:dyDescent="0.2">
      <c r="A2" s="2171" t="s">
        <v>577</v>
      </c>
      <c r="B2" s="2171"/>
      <c r="C2" s="2171"/>
      <c r="D2" s="2171"/>
      <c r="E2" s="2171"/>
      <c r="F2" s="2171"/>
      <c r="G2" s="2171"/>
      <c r="H2" s="2171"/>
      <c r="I2" s="2171"/>
      <c r="J2" s="2171"/>
      <c r="K2" s="2171"/>
      <c r="L2" s="2171"/>
      <c r="M2" s="2171"/>
      <c r="N2" s="2171"/>
      <c r="O2" s="2171"/>
      <c r="P2" s="2171"/>
      <c r="Q2" s="2171"/>
      <c r="R2" s="2171"/>
    </row>
    <row r="3" spans="1:18" ht="12.75" x14ac:dyDescent="0.2">
      <c r="A3" s="2172" t="s">
        <v>1480</v>
      </c>
      <c r="B3" s="2172"/>
      <c r="C3" s="2172"/>
      <c r="D3" s="2172"/>
      <c r="E3" s="2172"/>
      <c r="F3" s="2172"/>
      <c r="G3" s="2172"/>
      <c r="H3" s="2172"/>
      <c r="I3" s="2172"/>
      <c r="J3" s="2172"/>
      <c r="K3" s="2172"/>
      <c r="L3" s="2172"/>
      <c r="M3" s="2172"/>
      <c r="N3" s="2172"/>
      <c r="O3" s="2172"/>
      <c r="P3" s="2172"/>
      <c r="Q3" s="2172"/>
      <c r="R3" s="2172"/>
    </row>
    <row r="4" spans="1:18" x14ac:dyDescent="0.2">
      <c r="A4" s="2173" t="s">
        <v>1635</v>
      </c>
      <c r="B4" s="2173"/>
      <c r="C4" s="2173"/>
      <c r="D4" s="2173"/>
      <c r="E4" s="2173"/>
      <c r="F4" s="2173"/>
      <c r="G4" s="2173"/>
      <c r="H4" s="2173"/>
      <c r="I4" s="2173"/>
      <c r="J4" s="2173"/>
      <c r="K4" s="2173"/>
      <c r="L4" s="2173"/>
      <c r="M4" s="2173"/>
      <c r="N4" s="2173"/>
      <c r="O4" s="2173"/>
      <c r="P4" s="2173"/>
      <c r="Q4" s="2173"/>
      <c r="R4" s="217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Morrisonville CUSD 1</v>
      </c>
      <c r="E7" s="391"/>
      <c r="G7" s="252"/>
      <c r="H7" s="387"/>
      <c r="I7" s="387"/>
      <c r="J7" s="387"/>
      <c r="K7" s="387"/>
      <c r="L7" s="329"/>
      <c r="M7" s="329"/>
      <c r="N7" s="329"/>
      <c r="O7" s="329"/>
      <c r="P7" s="329"/>
    </row>
    <row r="8" spans="1:18" ht="12.75" x14ac:dyDescent="0.2">
      <c r="A8" s="329"/>
      <c r="B8" s="329"/>
      <c r="C8" s="389" t="s">
        <v>1187</v>
      </c>
      <c r="D8" s="392">
        <f>COVER!A13</f>
        <v>3011001026</v>
      </c>
      <c r="E8" s="393"/>
      <c r="G8" s="329"/>
      <c r="H8" s="329"/>
      <c r="I8" s="329"/>
      <c r="J8" s="329"/>
      <c r="K8" s="329"/>
      <c r="L8" s="329"/>
      <c r="M8" s="329"/>
      <c r="N8" s="329"/>
      <c r="O8" s="329"/>
      <c r="P8" s="329"/>
    </row>
    <row r="9" spans="1:18" ht="12.75" x14ac:dyDescent="0.2">
      <c r="A9" s="329"/>
      <c r="B9" s="329"/>
      <c r="C9" s="389" t="s">
        <v>737</v>
      </c>
      <c r="D9" s="394" t="str">
        <f>COVER!A15</f>
        <v>Christian/Montgomery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965496</v>
      </c>
      <c r="I12" s="404"/>
      <c r="J12" s="404"/>
      <c r="K12" s="405">
        <f>TRUNC((H12/H13*100000),5)/100000</f>
        <v>0.3089096898</v>
      </c>
      <c r="L12" s="406"/>
      <c r="M12" s="360" t="s">
        <v>1206</v>
      </c>
      <c r="N12" s="360"/>
      <c r="O12" s="407">
        <v>0.35</v>
      </c>
      <c r="P12" s="218"/>
      <c r="Q12" s="218"/>
    </row>
    <row r="13" spans="1:18" s="408" customFormat="1" ht="12.75" x14ac:dyDescent="0.2">
      <c r="A13" s="218"/>
      <c r="B13" s="401"/>
      <c r="C13" s="2169" t="s">
        <v>1391</v>
      </c>
      <c r="D13" s="2170"/>
      <c r="E13" s="218"/>
      <c r="F13" s="409" t="s">
        <v>826</v>
      </c>
      <c r="G13" s="402"/>
      <c r="H13" s="403">
        <f>SUM('Acct Summary 7-8'!C8+'Acct Summary 7-8'!D8+'Acct Summary 7-8'!F8+'Acct Summary 7-8'!I8)+H14</f>
        <v>3125496</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2956573</v>
      </c>
      <c r="I17" s="404"/>
      <c r="J17" s="416"/>
      <c r="K17" s="405">
        <f>TRUNC((H17/H18*100000),5)/100000</f>
        <v>0.94595321830000001</v>
      </c>
      <c r="L17" s="406"/>
      <c r="M17" s="417" t="s">
        <v>1233</v>
      </c>
      <c r="O17" s="418" t="str">
        <f>IF(AND(O16="2", J20 &gt; 2),"1",IF(AND(O16 = "1", J20 &gt; 2),"2",IF(AND(O16="1", J20 &gt;1),"1","0")))</f>
        <v>0</v>
      </c>
      <c r="P17" s="218"/>
    </row>
    <row r="18" spans="1:18" s="408" customFormat="1" ht="11.25" x14ac:dyDescent="0.2">
      <c r="A18" s="218"/>
      <c r="B18" s="401"/>
      <c r="C18" s="2169" t="s">
        <v>1384</v>
      </c>
      <c r="D18" s="2170"/>
      <c r="E18" s="218"/>
      <c r="F18" s="419" t="s">
        <v>827</v>
      </c>
      <c r="G18" s="402"/>
      <c r="H18" s="403">
        <f>SUM('Acct Summary 7-8'!C8+'Acct Summary 7-8'!D8+'Acct Summary 7-8'!F8+'Acct Summary 7-8'!I8)+H19</f>
        <v>3125496</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66" t="s">
        <v>1479</v>
      </c>
      <c r="D24" s="2166"/>
      <c r="E24" s="218"/>
      <c r="F24" s="218" t="s">
        <v>465</v>
      </c>
      <c r="G24" s="402"/>
      <c r="H24" s="403">
        <f>SUM('Assets-Liab 5-6'!C4+'Assets-Liab 5-6'!D4+'Assets-Liab 5-6'!F4+'Assets-Liab 5-6'!I4+'Assets-Liab 5-6'!C5+'Assets-Liab 5-6'!D5+'Assets-Liab 5-6'!F5+'Assets-Liab 5-6'!I5)</f>
        <v>965496</v>
      </c>
      <c r="I24" s="422"/>
      <c r="J24" s="422"/>
      <c r="K24" s="423">
        <f>TRUNC(((H24/H25*100000)/100000),2)</f>
        <v>117.56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8212.7027799999996</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1408039.36415</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1816071</v>
      </c>
      <c r="I32" s="420"/>
      <c r="J32" s="420"/>
      <c r="K32" s="423">
        <f>TRUNC(100-((((H32/H33*100))*100)/100),2)</f>
        <v>70.599999999999994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6178360.3260000004</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orizontalCentered="1" headings="1"/>
  <pageMargins left="0.5" right="0.5" top="1.4" bottom="0.75" header="1" footer="0.5"/>
  <pageSetup scale="82" firstPageNumber="4" orientation="landscape" useFirstPageNumber="1" r:id="rId3"/>
  <headerFooter alignWithMargins="0">
    <oddHeader>&amp;L&amp;8Page &amp;P&amp;C &amp;R&amp;8Page &amp;P</oddHeader>
    <oddFooter>&amp;L&amp;8Printed: &amp;D
&amp;F&amp;CReference should be made to accountant's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E1" colorId="8" zoomScale="130" zoomScaleNormal="130" workbookViewId="0">
      <pane ySplit="2" topLeftCell="A27" activePane="bottomLeft" state="frozen"/>
      <selection activeCell="A47" sqref="A47"/>
      <selection pane="bottomLeft" activeCell="H38" sqref="H3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7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7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76" t="s">
        <v>1030</v>
      </c>
      <c r="B3" s="2177"/>
      <c r="C3" s="1578"/>
      <c r="D3" s="1579"/>
      <c r="E3" s="1579"/>
      <c r="F3" s="1579"/>
      <c r="G3" s="1579"/>
      <c r="H3" s="1579"/>
      <c r="I3" s="1579"/>
      <c r="J3" s="1579"/>
      <c r="K3" s="1579"/>
      <c r="L3" s="1579"/>
      <c r="M3" s="1580"/>
      <c r="N3" s="1581"/>
    </row>
    <row r="4" spans="1:14" ht="13.5" customHeight="1" x14ac:dyDescent="0.2">
      <c r="A4" s="463" t="s">
        <v>1750</v>
      </c>
      <c r="B4" s="464"/>
      <c r="C4" s="465">
        <f>1500+3000+215938</f>
        <v>220438</v>
      </c>
      <c r="D4" s="466">
        <v>23378</v>
      </c>
      <c r="E4" s="466">
        <v>8856</v>
      </c>
      <c r="F4" s="466">
        <v>131290</v>
      </c>
      <c r="G4" s="466">
        <v>68349</v>
      </c>
      <c r="H4" s="466">
        <v>118750</v>
      </c>
      <c r="I4" s="466">
        <v>65004</v>
      </c>
      <c r="J4" s="467">
        <v>64428</v>
      </c>
      <c r="K4" s="466">
        <v>15695</v>
      </c>
      <c r="L4" s="466">
        <f>1515+30969+11241+24378</f>
        <v>68103</v>
      </c>
      <c r="M4" s="468"/>
      <c r="N4" s="469"/>
    </row>
    <row r="5" spans="1:14" x14ac:dyDescent="0.2">
      <c r="A5" s="463" t="s">
        <v>1049</v>
      </c>
      <c r="B5" s="470">
        <v>120</v>
      </c>
      <c r="C5" s="465">
        <f>393+312891</f>
        <v>313284</v>
      </c>
      <c r="D5" s="466"/>
      <c r="E5" s="466">
        <v>1</v>
      </c>
      <c r="F5" s="466">
        <v>134</v>
      </c>
      <c r="G5" s="466">
        <v>186</v>
      </c>
      <c r="H5" s="466"/>
      <c r="I5" s="466">
        <f>224+210932+813-1</f>
        <v>211968</v>
      </c>
      <c r="J5" s="467"/>
      <c r="K5" s="471">
        <f>659+11089-1</f>
        <v>11747</v>
      </c>
      <c r="L5" s="472">
        <v>3480</v>
      </c>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5" t="s">
        <v>665</v>
      </c>
      <c r="B13" s="1728"/>
      <c r="C13" s="1756">
        <f>SUM(C4:C12)</f>
        <v>533722</v>
      </c>
      <c r="D13" s="1756">
        <f t="shared" ref="D13:L13" si="0">SUM(D4:D12)</f>
        <v>23378</v>
      </c>
      <c r="E13" s="1756">
        <f t="shared" si="0"/>
        <v>8857</v>
      </c>
      <c r="F13" s="1756">
        <f t="shared" si="0"/>
        <v>131424</v>
      </c>
      <c r="G13" s="1756">
        <f t="shared" si="0"/>
        <v>68535</v>
      </c>
      <c r="H13" s="1756">
        <f t="shared" si="0"/>
        <v>118750</v>
      </c>
      <c r="I13" s="1756">
        <f t="shared" si="0"/>
        <v>276972</v>
      </c>
      <c r="J13" s="1756">
        <f t="shared" si="0"/>
        <v>64428</v>
      </c>
      <c r="K13" s="1756">
        <f t="shared" si="0"/>
        <v>27442</v>
      </c>
      <c r="L13" s="1756">
        <f t="shared" si="0"/>
        <v>71583</v>
      </c>
      <c r="M13" s="468"/>
      <c r="N13" s="469"/>
    </row>
    <row r="14" spans="1:14" ht="18" customHeight="1" thickTop="1" x14ac:dyDescent="0.2">
      <c r="A14" s="2178" t="s">
        <v>149</v>
      </c>
      <c r="B14" s="2179"/>
      <c r="C14" s="1582"/>
      <c r="D14" s="1583"/>
      <c r="E14" s="1583"/>
      <c r="F14" s="1583"/>
      <c r="G14" s="1583"/>
      <c r="H14" s="1583"/>
      <c r="I14" s="1583"/>
      <c r="J14" s="1583"/>
      <c r="K14" s="1583"/>
      <c r="L14" s="1583"/>
      <c r="M14" s="1584"/>
      <c r="N14" s="1585"/>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78982</v>
      </c>
      <c r="N16" s="484"/>
    </row>
    <row r="17" spans="1:14" s="485" customFormat="1" ht="12.75" customHeight="1" x14ac:dyDescent="0.2">
      <c r="A17" s="482" t="s">
        <v>1470</v>
      </c>
      <c r="B17" s="483">
        <v>230</v>
      </c>
      <c r="C17" s="477"/>
      <c r="D17" s="477"/>
      <c r="E17" s="477"/>
      <c r="F17" s="477"/>
      <c r="G17" s="477"/>
      <c r="H17" s="477"/>
      <c r="I17" s="477"/>
      <c r="J17" s="477"/>
      <c r="K17" s="477"/>
      <c r="L17" s="477"/>
      <c r="M17" s="467">
        <v>5389527</v>
      </c>
      <c r="N17" s="484"/>
    </row>
    <row r="18" spans="1:14" s="485" customFormat="1" ht="12.75" customHeight="1" x14ac:dyDescent="0.2">
      <c r="A18" s="482" t="s">
        <v>1471</v>
      </c>
      <c r="B18" s="483">
        <v>240</v>
      </c>
      <c r="C18" s="477"/>
      <c r="D18" s="477"/>
      <c r="E18" s="477"/>
      <c r="F18" s="477"/>
      <c r="G18" s="477"/>
      <c r="H18" s="477"/>
      <c r="I18" s="477"/>
      <c r="J18" s="477"/>
      <c r="K18" s="477"/>
      <c r="L18" s="477"/>
      <c r="M18" s="467">
        <v>156037</v>
      </c>
      <c r="N18" s="484"/>
    </row>
    <row r="19" spans="1:14" s="485" customFormat="1" ht="12.75" customHeight="1" x14ac:dyDescent="0.2">
      <c r="A19" s="482" t="s">
        <v>1472</v>
      </c>
      <c r="B19" s="483">
        <v>250</v>
      </c>
      <c r="C19" s="477"/>
      <c r="D19" s="477"/>
      <c r="E19" s="477"/>
      <c r="F19" s="477"/>
      <c r="G19" s="477"/>
      <c r="H19" s="477"/>
      <c r="I19" s="477"/>
      <c r="J19" s="477"/>
      <c r="K19" s="477"/>
      <c r="L19" s="477"/>
      <c r="M19" s="467">
        <v>587991</v>
      </c>
      <c r="N19" s="484"/>
    </row>
    <row r="20" spans="1:14" s="485" customFormat="1" ht="12.75" customHeight="1" x14ac:dyDescent="0.2">
      <c r="A20" s="482" t="s">
        <v>1473</v>
      </c>
      <c r="B20" s="483">
        <v>260</v>
      </c>
      <c r="C20" s="477"/>
      <c r="D20" s="477"/>
      <c r="E20" s="477"/>
      <c r="F20" s="477"/>
      <c r="G20" s="477"/>
      <c r="H20" s="477"/>
      <c r="I20" s="477"/>
      <c r="J20" s="477"/>
      <c r="K20" s="477"/>
      <c r="L20" s="477"/>
      <c r="M20" s="467">
        <v>2200</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8857</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1807214</v>
      </c>
    </row>
    <row r="23" spans="1:14" ht="13.5" customHeight="1" thickBot="1" x14ac:dyDescent="0.25">
      <c r="A23" s="1755" t="s">
        <v>664</v>
      </c>
      <c r="B23" s="1760"/>
      <c r="C23" s="468"/>
      <c r="D23" s="468"/>
      <c r="E23" s="468"/>
      <c r="F23" s="468"/>
      <c r="G23" s="468"/>
      <c r="H23" s="468"/>
      <c r="I23" s="468"/>
      <c r="J23" s="468"/>
      <c r="K23" s="468"/>
      <c r="L23" s="468"/>
      <c r="M23" s="1707">
        <f>SUM(M15:M22)</f>
        <v>6214737</v>
      </c>
      <c r="N23" s="1707">
        <f>SUM(N21:N22)</f>
        <v>1816071</v>
      </c>
    </row>
    <row r="24" spans="1:14" ht="18" customHeight="1" thickTop="1" x14ac:dyDescent="0.2">
      <c r="A24" s="2180" t="s">
        <v>619</v>
      </c>
      <c r="B24" s="2181"/>
      <c r="C24" s="1587"/>
      <c r="D24" s="1584"/>
      <c r="E24" s="1584"/>
      <c r="F24" s="1584"/>
      <c r="G24" s="1584"/>
      <c r="H24" s="1584"/>
      <c r="I24" s="1584"/>
      <c r="J24" s="1584"/>
      <c r="K24" s="1584"/>
      <c r="L24" s="1584"/>
      <c r="M24" s="1583"/>
      <c r="N24" s="1588"/>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71583</v>
      </c>
      <c r="M33" s="468"/>
      <c r="N33" s="469"/>
    </row>
    <row r="34" spans="1:14" ht="13.5" customHeight="1" thickBot="1" x14ac:dyDescent="0.25">
      <c r="A34" s="1757" t="s">
        <v>675</v>
      </c>
      <c r="B34" s="1758"/>
      <c r="C34" s="1759">
        <f>SUM(C25:C33)</f>
        <v>0</v>
      </c>
      <c r="D34" s="1759">
        <f t="shared" ref="D34:K34" si="1">SUM(D25:D33)</f>
        <v>0</v>
      </c>
      <c r="E34" s="1759">
        <f t="shared" si="1"/>
        <v>0</v>
      </c>
      <c r="F34" s="1759">
        <f t="shared" si="1"/>
        <v>0</v>
      </c>
      <c r="G34" s="1759">
        <f t="shared" si="1"/>
        <v>0</v>
      </c>
      <c r="H34" s="1759">
        <f t="shared" si="1"/>
        <v>0</v>
      </c>
      <c r="I34" s="1759">
        <f t="shared" si="1"/>
        <v>0</v>
      </c>
      <c r="J34" s="1759">
        <f t="shared" si="1"/>
        <v>0</v>
      </c>
      <c r="K34" s="1759">
        <f t="shared" si="1"/>
        <v>0</v>
      </c>
      <c r="L34" s="1740">
        <f>SUM(L33)</f>
        <v>71583</v>
      </c>
      <c r="M34" s="468"/>
      <c r="N34" s="480"/>
    </row>
    <row r="35" spans="1:14" ht="18" customHeight="1" thickTop="1" x14ac:dyDescent="0.2">
      <c r="A35" s="2182" t="s">
        <v>550</v>
      </c>
      <c r="B35" s="2183"/>
      <c r="C35" s="1589"/>
      <c r="D35" s="1590"/>
      <c r="E35" s="1590"/>
      <c r="F35" s="1590"/>
      <c r="G35" s="1590"/>
      <c r="H35" s="1590"/>
      <c r="I35" s="1590"/>
      <c r="J35" s="1590"/>
      <c r="K35" s="1590"/>
      <c r="L35" s="1590"/>
      <c r="M35" s="1584"/>
      <c r="N35" s="1588"/>
    </row>
    <row r="36" spans="1:14" x14ac:dyDescent="0.2">
      <c r="A36" s="494" t="s">
        <v>1</v>
      </c>
      <c r="B36" s="470">
        <v>511</v>
      </c>
      <c r="C36" s="477"/>
      <c r="D36" s="477"/>
      <c r="E36" s="477"/>
      <c r="F36" s="477"/>
      <c r="G36" s="477"/>
      <c r="H36" s="477"/>
      <c r="I36" s="477"/>
      <c r="J36" s="477"/>
      <c r="K36" s="477"/>
      <c r="L36" s="468"/>
      <c r="M36" s="468"/>
      <c r="N36" s="495">
        <f>'Short-Term Long-Term Debt 24'!I49</f>
        <v>1816071</v>
      </c>
    </row>
    <row r="37" spans="1:14" ht="13.5" thickBot="1" x14ac:dyDescent="0.25">
      <c r="A37" s="1755" t="s">
        <v>674</v>
      </c>
      <c r="B37" s="1760"/>
      <c r="C37" s="477"/>
      <c r="D37" s="477"/>
      <c r="E37" s="477"/>
      <c r="F37" s="477"/>
      <c r="G37" s="477"/>
      <c r="H37" s="477"/>
      <c r="I37" s="477"/>
      <c r="J37" s="477"/>
      <c r="K37" s="477"/>
      <c r="L37" s="480"/>
      <c r="M37" s="468"/>
      <c r="N37" s="1707">
        <f>SUM(N36:N36)</f>
        <v>1816071</v>
      </c>
    </row>
    <row r="38" spans="1:14" s="329" customFormat="1" ht="13.5" customHeight="1" thickTop="1" x14ac:dyDescent="0.2">
      <c r="A38" s="496" t="s">
        <v>440</v>
      </c>
      <c r="B38" s="483">
        <v>714</v>
      </c>
      <c r="C38" s="466"/>
      <c r="D38" s="466"/>
      <c r="E38" s="466"/>
      <c r="F38" s="466"/>
      <c r="G38" s="466"/>
      <c r="H38" s="466">
        <v>118750</v>
      </c>
      <c r="I38" s="466"/>
      <c r="J38" s="467"/>
      <c r="K38" s="466"/>
      <c r="L38" s="481"/>
      <c r="M38" s="497"/>
      <c r="N38" s="497"/>
    </row>
    <row r="39" spans="1:14" s="329" customFormat="1" ht="13.5" customHeight="1" x14ac:dyDescent="0.2">
      <c r="A39" s="496" t="s">
        <v>360</v>
      </c>
      <c r="B39" s="483">
        <v>730</v>
      </c>
      <c r="C39" s="466">
        <v>533722</v>
      </c>
      <c r="D39" s="466">
        <v>23378</v>
      </c>
      <c r="E39" s="466">
        <v>8857</v>
      </c>
      <c r="F39" s="466">
        <v>131424</v>
      </c>
      <c r="G39" s="466">
        <v>68535</v>
      </c>
      <c r="H39" s="466"/>
      <c r="I39" s="466">
        <v>276972</v>
      </c>
      <c r="J39" s="467">
        <v>64428</v>
      </c>
      <c r="K39" s="466">
        <v>27442</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6214737</v>
      </c>
      <c r="N40" s="497"/>
    </row>
    <row r="41" spans="1:14" ht="13.5" customHeight="1" thickBot="1" x14ac:dyDescent="0.25">
      <c r="A41" s="1755" t="s">
        <v>676</v>
      </c>
      <c r="B41" s="1725"/>
      <c r="C41" s="1707">
        <f>(SUM(C34,C37,C38,C39))</f>
        <v>533722</v>
      </c>
      <c r="D41" s="1707">
        <f t="shared" ref="D41:L41" si="2">SUM(D34,D37,D38:D39)</f>
        <v>23378</v>
      </c>
      <c r="E41" s="1707">
        <f t="shared" si="2"/>
        <v>8857</v>
      </c>
      <c r="F41" s="1707">
        <f t="shared" si="2"/>
        <v>131424</v>
      </c>
      <c r="G41" s="1707">
        <f t="shared" si="2"/>
        <v>68535</v>
      </c>
      <c r="H41" s="1707">
        <f t="shared" si="2"/>
        <v>118750</v>
      </c>
      <c r="I41" s="1707">
        <f t="shared" si="2"/>
        <v>276972</v>
      </c>
      <c r="J41" s="1707">
        <f t="shared" si="2"/>
        <v>64428</v>
      </c>
      <c r="K41" s="1707">
        <f t="shared" si="2"/>
        <v>27442</v>
      </c>
      <c r="L41" s="1707">
        <f t="shared" si="2"/>
        <v>71583</v>
      </c>
      <c r="M41" s="1707">
        <f>SUM(M40)</f>
        <v>6214737</v>
      </c>
      <c r="N41" s="1707">
        <f>SUM(N37)</f>
        <v>1816071</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orizontalCentered="1" headings="1" gridLinesSet="0"/>
  <pageMargins left="0.5" right="0.5" top="1.4" bottom="0.75" header="1" footer="0.5"/>
  <pageSetup scale="72" firstPageNumber="5" fitToHeight="2"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view="pageBreakPreview" colorId="8" zoomScaleNormal="110" zoomScaleSheetLayoutView="100" workbookViewId="0">
      <pane ySplit="2" topLeftCell="A15" activePane="bottomLeft" state="frozenSplit"/>
      <selection activeCell="A47" sqref="A47"/>
      <selection pane="bottomLeft" activeCell="A50" sqref="A5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9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9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204" t="s">
        <v>1237</v>
      </c>
      <c r="B3" s="2205"/>
      <c r="C3" s="1592"/>
      <c r="D3" s="1593"/>
      <c r="E3" s="1593"/>
      <c r="F3" s="1593"/>
      <c r="G3" s="1593"/>
      <c r="H3" s="1593"/>
      <c r="I3" s="1593"/>
      <c r="J3" s="1593"/>
      <c r="K3" s="1594"/>
      <c r="L3" s="506"/>
    </row>
    <row r="4" spans="1:13" ht="15.75" customHeight="1" x14ac:dyDescent="0.2">
      <c r="A4" s="1951" t="s">
        <v>1579</v>
      </c>
      <c r="B4" s="1952">
        <v>1000</v>
      </c>
      <c r="C4" s="1761">
        <f>'Revenues 9-14'!C109</f>
        <v>1487920</v>
      </c>
      <c r="D4" s="1761">
        <f>'Revenues 9-14'!D109</f>
        <v>215055</v>
      </c>
      <c r="E4" s="1761">
        <f>'Revenues 9-14'!E109</f>
        <v>287845</v>
      </c>
      <c r="F4" s="1761">
        <f>'Revenues 9-14'!F109</f>
        <v>86651</v>
      </c>
      <c r="G4" s="1761">
        <f>'Revenues 9-14'!G109</f>
        <v>107811</v>
      </c>
      <c r="H4" s="1761">
        <f>'Revenues 9-14'!H109</f>
        <v>0</v>
      </c>
      <c r="I4" s="1761">
        <f>'Revenues 9-14'!I109</f>
        <v>21767</v>
      </c>
      <c r="J4" s="1761">
        <f>'Revenues 9-14'!J109</f>
        <v>229563</v>
      </c>
      <c r="K4" s="1761">
        <f>'Revenues 9-14'!K109</f>
        <v>21497</v>
      </c>
      <c r="L4" s="347"/>
    </row>
    <row r="5" spans="1:13" ht="15.75" customHeight="1" x14ac:dyDescent="0.2">
      <c r="A5" s="1595" t="s">
        <v>1580</v>
      </c>
      <c r="B5" s="1596">
        <v>2000</v>
      </c>
      <c r="C5" s="1762">
        <f>'Revenues 9-14'!C114</f>
        <v>0</v>
      </c>
      <c r="D5" s="1762">
        <f>'Revenues 9-14'!D114</f>
        <v>0</v>
      </c>
      <c r="E5" s="508"/>
      <c r="F5" s="1762">
        <f>'Revenues 9-14'!F114</f>
        <v>0</v>
      </c>
      <c r="G5" s="1762">
        <f>'Revenues 9-14'!G114</f>
        <v>0</v>
      </c>
      <c r="H5" s="509" t="s">
        <v>1231</v>
      </c>
      <c r="I5" s="510" t="s">
        <v>1231</v>
      </c>
      <c r="J5" s="511" t="s">
        <v>1231</v>
      </c>
      <c r="K5" s="512" t="s">
        <v>1231</v>
      </c>
      <c r="L5" s="347"/>
    </row>
    <row r="6" spans="1:13" ht="15.75" customHeight="1" x14ac:dyDescent="0.2">
      <c r="A6" s="1595" t="s">
        <v>1581</v>
      </c>
      <c r="B6" s="1597">
        <v>3000</v>
      </c>
      <c r="C6" s="1762">
        <f>'Revenues 9-14'!C173</f>
        <v>1096665</v>
      </c>
      <c r="D6" s="1762">
        <f>'Revenues 9-14'!D173</f>
        <v>0</v>
      </c>
      <c r="E6" s="1762">
        <f>'Revenues 9-14'!E173</f>
        <v>0</v>
      </c>
      <c r="F6" s="1762">
        <f>'Revenues 9-14'!F173</f>
        <v>95445</v>
      </c>
      <c r="G6" s="1762">
        <f>'Revenues 9-14'!G173</f>
        <v>0</v>
      </c>
      <c r="H6" s="1762">
        <f>'Revenues 9-14'!H173</f>
        <v>0</v>
      </c>
      <c r="I6" s="1762">
        <f>'Revenues 9-14'!I173</f>
        <v>0</v>
      </c>
      <c r="J6" s="1762">
        <f>'Revenues 9-14'!J173</f>
        <v>0</v>
      </c>
      <c r="K6" s="1762">
        <f>'Revenues 9-14'!K173</f>
        <v>0</v>
      </c>
      <c r="L6" s="347"/>
      <c r="M6" s="513"/>
    </row>
    <row r="7" spans="1:13" ht="15.75" customHeight="1" x14ac:dyDescent="0.2">
      <c r="A7" s="1595" t="s">
        <v>1582</v>
      </c>
      <c r="B7" s="1597">
        <v>4000</v>
      </c>
      <c r="C7" s="1762">
        <f>'Revenues 9-14'!C274</f>
        <v>121993</v>
      </c>
      <c r="D7" s="1762">
        <f>'Revenues 9-14'!D274</f>
        <v>0</v>
      </c>
      <c r="E7" s="1762">
        <f>'Revenues 9-14'!E274</f>
        <v>0</v>
      </c>
      <c r="F7" s="1762">
        <f>'Revenues 9-14'!F274</f>
        <v>0</v>
      </c>
      <c r="G7" s="1762">
        <f>'Revenues 9-14'!G274</f>
        <v>0</v>
      </c>
      <c r="H7" s="1762">
        <f>'Revenues 9-14'!H274</f>
        <v>0</v>
      </c>
      <c r="I7" s="1762">
        <f>'Revenues 9-14'!I274</f>
        <v>0</v>
      </c>
      <c r="J7" s="1762">
        <f>'Revenues 9-14'!J274</f>
        <v>0</v>
      </c>
      <c r="K7" s="1762">
        <f>'Revenues 9-14'!K274</f>
        <v>0</v>
      </c>
      <c r="L7" s="347"/>
      <c r="M7" s="513"/>
    </row>
    <row r="8" spans="1:13" ht="13.5" thickBot="1" x14ac:dyDescent="0.25">
      <c r="A8" s="1755" t="s">
        <v>1234</v>
      </c>
      <c r="B8" s="1728"/>
      <c r="C8" s="1707">
        <f>SUM(C4:C7)</f>
        <v>2706578</v>
      </c>
      <c r="D8" s="1707">
        <f t="shared" ref="D8:K8" si="0">SUM(D4:D7)</f>
        <v>215055</v>
      </c>
      <c r="E8" s="1707">
        <f t="shared" si="0"/>
        <v>287845</v>
      </c>
      <c r="F8" s="1707">
        <f t="shared" si="0"/>
        <v>182096</v>
      </c>
      <c r="G8" s="1707">
        <f t="shared" si="0"/>
        <v>107811</v>
      </c>
      <c r="H8" s="1707">
        <f t="shared" si="0"/>
        <v>0</v>
      </c>
      <c r="I8" s="1707">
        <f t="shared" si="0"/>
        <v>21767</v>
      </c>
      <c r="J8" s="1707">
        <f t="shared" si="0"/>
        <v>229563</v>
      </c>
      <c r="K8" s="1707">
        <f t="shared" si="0"/>
        <v>21497</v>
      </c>
      <c r="L8" s="347"/>
    </row>
    <row r="9" spans="1:13" ht="15.75" thickTop="1" x14ac:dyDescent="0.2">
      <c r="A9" s="514" t="s">
        <v>1752</v>
      </c>
      <c r="B9" s="515">
        <v>3998</v>
      </c>
      <c r="C9" s="481">
        <f>1021594+16797</f>
        <v>1038391</v>
      </c>
      <c r="D9" s="516"/>
      <c r="E9" s="481"/>
      <c r="F9" s="481"/>
      <c r="G9" s="517"/>
      <c r="H9" s="481"/>
      <c r="I9" s="509" t="s">
        <v>1231</v>
      </c>
      <c r="J9" s="478"/>
      <c r="K9" s="481"/>
      <c r="L9" s="347"/>
    </row>
    <row r="10" spans="1:13" s="519" customFormat="1" ht="13.5" thickBot="1" x14ac:dyDescent="0.25">
      <c r="A10" s="1755" t="s">
        <v>1235</v>
      </c>
      <c r="B10" s="1728"/>
      <c r="C10" s="1707">
        <f>SUM(C8:C9)</f>
        <v>3744969</v>
      </c>
      <c r="D10" s="1707">
        <f t="shared" ref="D10:K10" si="1">SUM(D8:D9)</f>
        <v>215055</v>
      </c>
      <c r="E10" s="1707">
        <f t="shared" si="1"/>
        <v>287845</v>
      </c>
      <c r="F10" s="1707">
        <f t="shared" si="1"/>
        <v>182096</v>
      </c>
      <c r="G10" s="1707">
        <f t="shared" si="1"/>
        <v>107811</v>
      </c>
      <c r="H10" s="1707">
        <f t="shared" si="1"/>
        <v>0</v>
      </c>
      <c r="I10" s="1707">
        <f t="shared" si="1"/>
        <v>21767</v>
      </c>
      <c r="J10" s="1707">
        <f t="shared" si="1"/>
        <v>229563</v>
      </c>
      <c r="K10" s="1707">
        <f t="shared" si="1"/>
        <v>21497</v>
      </c>
      <c r="L10" s="518"/>
    </row>
    <row r="11" spans="1:13" s="519" customFormat="1" ht="16.7" customHeight="1" thickTop="1" x14ac:dyDescent="0.2">
      <c r="A11" s="2178" t="s">
        <v>1238</v>
      </c>
      <c r="B11" s="2179"/>
      <c r="C11" s="1589"/>
      <c r="D11" s="1590"/>
      <c r="E11" s="1590"/>
      <c r="F11" s="1590"/>
      <c r="G11" s="1590"/>
      <c r="H11" s="1590"/>
      <c r="I11" s="1590"/>
      <c r="J11" s="1590"/>
      <c r="K11" s="1591"/>
      <c r="L11" s="518"/>
    </row>
    <row r="12" spans="1:13" ht="15.75" customHeight="1" x14ac:dyDescent="0.2">
      <c r="A12" s="1595" t="s">
        <v>476</v>
      </c>
      <c r="B12" s="1597">
        <v>1000</v>
      </c>
      <c r="C12" s="1761">
        <f>'Expenditures 15-22'!K33</f>
        <v>1529939</v>
      </c>
      <c r="D12" s="520" t="s">
        <v>1231</v>
      </c>
      <c r="E12" s="468" t="s">
        <v>1231</v>
      </c>
      <c r="F12" s="468" t="s">
        <v>1231</v>
      </c>
      <c r="G12" s="1761">
        <f>'Expenditures 15-22'!K229</f>
        <v>28148</v>
      </c>
      <c r="H12" s="521"/>
      <c r="I12" s="468" t="s">
        <v>1231</v>
      </c>
      <c r="J12" s="468" t="s">
        <v>1231</v>
      </c>
      <c r="K12" s="521" t="s">
        <v>1231</v>
      </c>
      <c r="L12" s="347"/>
    </row>
    <row r="13" spans="1:13" ht="15.75" customHeight="1" x14ac:dyDescent="0.2">
      <c r="A13" s="1595" t="s">
        <v>477</v>
      </c>
      <c r="B13" s="1597">
        <v>2000</v>
      </c>
      <c r="C13" s="1762">
        <f>'Expenditures 15-22'!K74</f>
        <v>622331</v>
      </c>
      <c r="D13" s="1762">
        <f>'Expenditures 15-22'!K129</f>
        <v>249129</v>
      </c>
      <c r="E13" s="469" t="s">
        <v>1231</v>
      </c>
      <c r="F13" s="1762">
        <f>'Expenditures 15-22'!K184</f>
        <v>171625</v>
      </c>
      <c r="G13" s="1762">
        <f>'Expenditures 15-22'!K279</f>
        <v>67314</v>
      </c>
      <c r="H13" s="1762">
        <f>'Expenditures 15-22'!K303</f>
        <v>36127</v>
      </c>
      <c r="I13" s="468" t="s">
        <v>1231</v>
      </c>
      <c r="J13" s="1762">
        <f>'Expenditures 15-22'!K330</f>
        <v>167453</v>
      </c>
      <c r="K13" s="1766">
        <f>'Expenditures 15-22'!K352</f>
        <v>9383</v>
      </c>
      <c r="L13" s="347"/>
    </row>
    <row r="14" spans="1:13" ht="15.75" customHeight="1" x14ac:dyDescent="0.2">
      <c r="A14" s="1595" t="s">
        <v>469</v>
      </c>
      <c r="B14" s="1597">
        <v>3000</v>
      </c>
      <c r="C14" s="1762">
        <f>'Expenditures 15-22'!K75</f>
        <v>29907</v>
      </c>
      <c r="D14" s="1762">
        <f>'Expenditures 15-22'!K130</f>
        <v>0</v>
      </c>
      <c r="E14" s="520" t="s">
        <v>1231</v>
      </c>
      <c r="F14" s="1762">
        <f>'Expenditures 15-22'!K185</f>
        <v>0</v>
      </c>
      <c r="G14" s="1762">
        <f>'Expenditures 15-22'!K280</f>
        <v>1429</v>
      </c>
      <c r="H14" s="512"/>
      <c r="I14" s="468" t="s">
        <v>1231</v>
      </c>
      <c r="J14" s="468" t="s">
        <v>1231</v>
      </c>
      <c r="K14" s="512" t="s">
        <v>1231</v>
      </c>
      <c r="L14" s="347"/>
    </row>
    <row r="15" spans="1:13" ht="15.75" customHeight="1" x14ac:dyDescent="0.2">
      <c r="A15" s="1595" t="s">
        <v>109</v>
      </c>
      <c r="B15" s="1597">
        <v>4000</v>
      </c>
      <c r="C15" s="1762">
        <f>'Expenditures 15-22'!K102</f>
        <v>335290</v>
      </c>
      <c r="D15" s="1762">
        <f>'Expenditures 15-22'!K139</f>
        <v>0</v>
      </c>
      <c r="E15" s="1762">
        <f>'Expenditures 15-22'!K160</f>
        <v>0</v>
      </c>
      <c r="F15" s="1762">
        <f>'Expenditures 15-22'!K196</f>
        <v>0</v>
      </c>
      <c r="G15" s="1762">
        <f>'Expenditures 15-22'!K285</f>
        <v>0</v>
      </c>
      <c r="H15" s="1762">
        <f>'Expenditures 15-22'!K310</f>
        <v>0</v>
      </c>
      <c r="I15" s="468" t="s">
        <v>1231</v>
      </c>
      <c r="J15" s="1855">
        <f>'Expenditures 15-22'!K334</f>
        <v>0</v>
      </c>
      <c r="K15" s="1762">
        <f>'Expenditures 15-22'!K357</f>
        <v>0</v>
      </c>
      <c r="L15" s="347"/>
    </row>
    <row r="16" spans="1:13" ht="15.75" customHeight="1" x14ac:dyDescent="0.2">
      <c r="A16" s="1595" t="s">
        <v>470</v>
      </c>
      <c r="B16" s="1597">
        <v>5000</v>
      </c>
      <c r="C16" s="1762">
        <f>'Expenditures 15-22'!K112</f>
        <v>0</v>
      </c>
      <c r="D16" s="1762">
        <f>'Expenditures 15-22'!K149</f>
        <v>0</v>
      </c>
      <c r="E16" s="1762">
        <f>'Expenditures 15-22'!K172</f>
        <v>298614</v>
      </c>
      <c r="F16" s="1762">
        <f>'Expenditures 15-22'!K208</f>
        <v>18352</v>
      </c>
      <c r="G16" s="1762">
        <f>'Expenditures 15-22'!K293</f>
        <v>0</v>
      </c>
      <c r="H16" s="523"/>
      <c r="I16" s="468" t="s">
        <v>1231</v>
      </c>
      <c r="J16" s="1767">
        <f>'Expenditures 15-22'!K340</f>
        <v>0</v>
      </c>
      <c r="K16" s="1762">
        <f>'Expenditures 15-22'!K365</f>
        <v>0</v>
      </c>
      <c r="L16" s="347"/>
    </row>
    <row r="17" spans="1:12" ht="13.5" thickBot="1" x14ac:dyDescent="0.25">
      <c r="A17" s="1727" t="s">
        <v>50</v>
      </c>
      <c r="B17" s="1728"/>
      <c r="C17" s="1707">
        <f t="shared" ref="C17:H17" si="2">SUM(C12:C16)</f>
        <v>2517467</v>
      </c>
      <c r="D17" s="1707">
        <f t="shared" si="2"/>
        <v>249129</v>
      </c>
      <c r="E17" s="1707">
        <f t="shared" si="2"/>
        <v>298614</v>
      </c>
      <c r="F17" s="1707">
        <f t="shared" si="2"/>
        <v>189977</v>
      </c>
      <c r="G17" s="1707">
        <f t="shared" si="2"/>
        <v>96891</v>
      </c>
      <c r="H17" s="1707">
        <f t="shared" si="2"/>
        <v>36127</v>
      </c>
      <c r="I17" s="468"/>
      <c r="J17" s="1707">
        <f>SUM(J12:J16)</f>
        <v>167453</v>
      </c>
      <c r="K17" s="1707">
        <f>SUM(K12:K16)</f>
        <v>9383</v>
      </c>
      <c r="L17" s="347"/>
    </row>
    <row r="18" spans="1:12" ht="15" customHeight="1" thickTop="1" x14ac:dyDescent="0.2">
      <c r="A18" s="1763" t="s">
        <v>1753</v>
      </c>
      <c r="B18" s="1764">
        <v>4180</v>
      </c>
      <c r="C18" s="1761">
        <f t="shared" ref="C18:H18" si="3">C9</f>
        <v>1038391</v>
      </c>
      <c r="D18" s="1761">
        <f t="shared" si="3"/>
        <v>0</v>
      </c>
      <c r="E18" s="1761">
        <f t="shared" si="3"/>
        <v>0</v>
      </c>
      <c r="F18" s="1761">
        <f t="shared" si="3"/>
        <v>0</v>
      </c>
      <c r="G18" s="1761">
        <f t="shared" si="3"/>
        <v>0</v>
      </c>
      <c r="H18" s="1761">
        <f t="shared" si="3"/>
        <v>0</v>
      </c>
      <c r="I18" s="468"/>
      <c r="J18" s="1761">
        <f>J9</f>
        <v>0</v>
      </c>
      <c r="K18" s="1761">
        <f>K9</f>
        <v>0</v>
      </c>
      <c r="L18" s="347"/>
    </row>
    <row r="19" spans="1:12" ht="13.5" thickBot="1" x14ac:dyDescent="0.25">
      <c r="A19" s="1727" t="s">
        <v>526</v>
      </c>
      <c r="B19" s="1728"/>
      <c r="C19" s="1707">
        <f t="shared" ref="C19:H19" si="4">SUM(C17:C18)</f>
        <v>3555858</v>
      </c>
      <c r="D19" s="1707">
        <f t="shared" si="4"/>
        <v>249129</v>
      </c>
      <c r="E19" s="1707">
        <f t="shared" si="4"/>
        <v>298614</v>
      </c>
      <c r="F19" s="1707">
        <f t="shared" si="4"/>
        <v>189977</v>
      </c>
      <c r="G19" s="1707">
        <f t="shared" si="4"/>
        <v>96891</v>
      </c>
      <c r="H19" s="1707">
        <f t="shared" si="4"/>
        <v>36127</v>
      </c>
      <c r="I19" s="468"/>
      <c r="J19" s="1707">
        <f>SUM(J17:J18)</f>
        <v>167453</v>
      </c>
      <c r="K19" s="1707">
        <f>SUM(K17:K18)</f>
        <v>9383</v>
      </c>
      <c r="L19" s="347"/>
    </row>
    <row r="20" spans="1:12" ht="16.5" thickTop="1" thickBot="1" x14ac:dyDescent="0.25">
      <c r="A20" s="2194" t="s">
        <v>1754</v>
      </c>
      <c r="B20" s="2195"/>
      <c r="C20" s="1765">
        <f>C8-C17</f>
        <v>189111</v>
      </c>
      <c r="D20" s="1765">
        <f t="shared" ref="D20:K20" si="5">D8-D17</f>
        <v>-34074</v>
      </c>
      <c r="E20" s="1765">
        <f t="shared" si="5"/>
        <v>-10769</v>
      </c>
      <c r="F20" s="1765">
        <f t="shared" si="5"/>
        <v>-7881</v>
      </c>
      <c r="G20" s="1765">
        <f t="shared" si="5"/>
        <v>10920</v>
      </c>
      <c r="H20" s="1765">
        <f t="shared" si="5"/>
        <v>-36127</v>
      </c>
      <c r="I20" s="1765">
        <f t="shared" si="5"/>
        <v>21767</v>
      </c>
      <c r="J20" s="1765">
        <f t="shared" si="5"/>
        <v>62110</v>
      </c>
      <c r="K20" s="1765">
        <f t="shared" si="5"/>
        <v>12114</v>
      </c>
      <c r="L20" s="347"/>
    </row>
    <row r="21" spans="1:12" ht="16.7" customHeight="1" thickTop="1" x14ac:dyDescent="0.2">
      <c r="A21" s="2206" t="s">
        <v>616</v>
      </c>
      <c r="B21" s="2207"/>
      <c r="C21" s="1589"/>
      <c r="D21" s="1590"/>
      <c r="E21" s="1590"/>
      <c r="F21" s="1590"/>
      <c r="G21" s="1590"/>
      <c r="H21" s="1590"/>
      <c r="I21" s="1590"/>
      <c r="J21" s="1590"/>
      <c r="K21" s="1591"/>
      <c r="L21" s="524"/>
    </row>
    <row r="22" spans="1:12" ht="15.75" customHeight="1" collapsed="1" x14ac:dyDescent="0.2">
      <c r="A22" s="2202" t="s">
        <v>617</v>
      </c>
      <c r="B22" s="2203"/>
      <c r="C22" s="477"/>
      <c r="D22" s="477"/>
      <c r="E22" s="477"/>
      <c r="F22" s="477"/>
      <c r="G22" s="477"/>
      <c r="H22" s="477"/>
      <c r="I22" s="477"/>
      <c r="J22" s="477"/>
      <c r="K22" s="477"/>
      <c r="L22" s="347"/>
    </row>
    <row r="23" spans="1:12" s="485" customFormat="1" ht="15.75" customHeight="1" x14ac:dyDescent="0.2">
      <c r="A23" s="2198" t="s">
        <v>311</v>
      </c>
      <c r="B23" s="2199"/>
      <c r="C23" s="480"/>
      <c r="D23" s="477"/>
      <c r="E23" s="477"/>
      <c r="F23" s="477"/>
      <c r="G23" s="477"/>
      <c r="H23" s="477"/>
      <c r="I23" s="477"/>
      <c r="J23" s="477"/>
      <c r="K23" s="477"/>
      <c r="L23" s="524"/>
    </row>
    <row r="24" spans="1:12" s="485" customFormat="1" ht="13.5" customHeight="1" x14ac:dyDescent="0.2">
      <c r="A24" s="1508" t="s">
        <v>1755</v>
      </c>
      <c r="B24" s="525">
        <v>7110</v>
      </c>
      <c r="C24" s="467"/>
      <c r="D24" s="477"/>
      <c r="E24" s="477"/>
      <c r="F24" s="477"/>
      <c r="G24" s="477"/>
      <c r="H24" s="477"/>
      <c r="I24" s="477"/>
      <c r="J24" s="477"/>
      <c r="K24" s="477"/>
      <c r="L24" s="524"/>
    </row>
    <row r="25" spans="1:12" s="485" customFormat="1" ht="13.5" customHeight="1" x14ac:dyDescent="0.2">
      <c r="A25" s="1508" t="s">
        <v>1756</v>
      </c>
      <c r="B25" s="525">
        <v>7110</v>
      </c>
      <c r="C25" s="467"/>
      <c r="D25" s="467"/>
      <c r="E25" s="467"/>
      <c r="F25" s="467"/>
      <c r="G25" s="467"/>
      <c r="H25" s="467"/>
      <c r="I25" s="477"/>
      <c r="J25" s="467"/>
      <c r="K25" s="467"/>
      <c r="L25" s="524"/>
    </row>
    <row r="26" spans="1:12" s="485" customFormat="1" ht="13.5" customHeight="1" x14ac:dyDescent="0.2">
      <c r="A26" s="1508" t="s">
        <v>193</v>
      </c>
      <c r="B26" s="483">
        <v>7120</v>
      </c>
      <c r="C26" s="467"/>
      <c r="D26" s="467"/>
      <c r="E26" s="467"/>
      <c r="F26" s="467"/>
      <c r="G26" s="467"/>
      <c r="H26" s="467"/>
      <c r="I26" s="477"/>
      <c r="J26" s="467"/>
      <c r="K26" s="467"/>
      <c r="L26" s="524"/>
    </row>
    <row r="27" spans="1:12" s="485" customFormat="1" ht="13.5" customHeight="1" x14ac:dyDescent="0.2">
      <c r="A27" s="1508" t="s">
        <v>194</v>
      </c>
      <c r="B27" s="483">
        <v>7130</v>
      </c>
      <c r="C27" s="467"/>
      <c r="D27" s="467"/>
      <c r="E27" s="526"/>
      <c r="F27" s="467"/>
      <c r="G27" s="480"/>
      <c r="H27" s="480"/>
      <c r="I27" s="480"/>
      <c r="J27" s="480"/>
      <c r="K27" s="480"/>
      <c r="L27" s="524"/>
    </row>
    <row r="28" spans="1:12" s="485" customFormat="1" ht="13.5" customHeight="1" x14ac:dyDescent="0.2">
      <c r="A28" s="1508" t="s">
        <v>1465</v>
      </c>
      <c r="B28" s="483">
        <v>7140</v>
      </c>
      <c r="C28" s="467"/>
      <c r="D28" s="467"/>
      <c r="E28" s="467"/>
      <c r="F28" s="467"/>
      <c r="G28" s="467"/>
      <c r="H28" s="467"/>
      <c r="I28" s="467"/>
      <c r="J28" s="467"/>
      <c r="K28" s="467"/>
      <c r="L28" s="524"/>
    </row>
    <row r="29" spans="1:12" s="485" customFormat="1" ht="13.5" customHeight="1" x14ac:dyDescent="0.2">
      <c r="A29" s="1508" t="s">
        <v>312</v>
      </c>
      <c r="B29" s="483">
        <v>7150</v>
      </c>
      <c r="C29" s="475"/>
      <c r="D29" s="467"/>
      <c r="E29" s="475"/>
      <c r="F29" s="475"/>
      <c r="G29" s="475"/>
      <c r="H29" s="475"/>
      <c r="I29" s="475"/>
      <c r="J29" s="475"/>
      <c r="K29" s="475"/>
      <c r="L29" s="524"/>
    </row>
    <row r="30" spans="1:12" s="485" customFormat="1" ht="26.25" x14ac:dyDescent="0.2">
      <c r="A30" s="1508" t="s">
        <v>1897</v>
      </c>
      <c r="B30" s="527">
        <v>7160</v>
      </c>
      <c r="C30" s="477"/>
      <c r="D30" s="467"/>
      <c r="E30" s="477"/>
      <c r="F30" s="477"/>
      <c r="G30" s="477"/>
      <c r="H30" s="477"/>
      <c r="I30" s="477"/>
      <c r="J30" s="477"/>
      <c r="K30" s="477"/>
      <c r="L30" s="524"/>
    </row>
    <row r="31" spans="1:12" s="485" customFormat="1" ht="26.25" x14ac:dyDescent="0.2">
      <c r="A31" s="1508" t="s">
        <v>1901</v>
      </c>
      <c r="B31" s="527">
        <v>7170</v>
      </c>
      <c r="C31" s="477"/>
      <c r="D31" s="477"/>
      <c r="E31" s="474"/>
      <c r="F31" s="477"/>
      <c r="G31" s="477"/>
      <c r="H31" s="477"/>
      <c r="I31" s="477"/>
      <c r="J31" s="477"/>
      <c r="K31" s="477"/>
      <c r="L31" s="524"/>
    </row>
    <row r="32" spans="1:12" s="485" customFormat="1" ht="15.75" customHeight="1" x14ac:dyDescent="0.2">
      <c r="A32" s="2200" t="s">
        <v>1038</v>
      </c>
      <c r="B32" s="2201"/>
      <c r="C32" s="477"/>
      <c r="D32" s="477"/>
      <c r="E32" s="475"/>
      <c r="F32" s="477"/>
      <c r="G32" s="477"/>
      <c r="H32" s="477"/>
      <c r="I32" s="477"/>
      <c r="J32" s="477"/>
      <c r="K32" s="477"/>
      <c r="L32" s="524"/>
    </row>
    <row r="33" spans="1:12" s="485" customFormat="1" x14ac:dyDescent="0.2">
      <c r="A33" s="1508" t="s">
        <v>432</v>
      </c>
      <c r="B33" s="525">
        <v>7210</v>
      </c>
      <c r="C33" s="467"/>
      <c r="D33" s="467"/>
      <c r="E33" s="467"/>
      <c r="F33" s="467"/>
      <c r="G33" s="477"/>
      <c r="H33" s="467"/>
      <c r="I33" s="467"/>
      <c r="J33" s="467"/>
      <c r="K33" s="467"/>
      <c r="L33" s="524"/>
    </row>
    <row r="34" spans="1:12" s="485" customFormat="1" x14ac:dyDescent="0.2">
      <c r="A34" s="1508" t="s">
        <v>1058</v>
      </c>
      <c r="B34" s="525">
        <v>7220</v>
      </c>
      <c r="C34" s="467"/>
      <c r="D34" s="467"/>
      <c r="E34" s="467"/>
      <c r="F34" s="467"/>
      <c r="G34" s="477"/>
      <c r="H34" s="478"/>
      <c r="I34" s="478"/>
      <c r="J34" s="478"/>
      <c r="K34" s="478"/>
      <c r="L34" s="524"/>
    </row>
    <row r="35" spans="1:12" s="485" customFormat="1" x14ac:dyDescent="0.2">
      <c r="A35" s="1508" t="s">
        <v>1047</v>
      </c>
      <c r="B35" s="525">
        <v>7230</v>
      </c>
      <c r="C35" s="467"/>
      <c r="D35" s="467"/>
      <c r="E35" s="467"/>
      <c r="F35" s="467"/>
      <c r="G35" s="480"/>
      <c r="H35" s="467"/>
      <c r="I35" s="467"/>
      <c r="J35" s="467"/>
      <c r="K35" s="467"/>
      <c r="L35" s="524"/>
    </row>
    <row r="36" spans="1:12" s="485" customFormat="1" ht="15" x14ac:dyDescent="0.2">
      <c r="A36" s="1508" t="s">
        <v>1757</v>
      </c>
      <c r="B36" s="525">
        <v>7300</v>
      </c>
      <c r="C36" s="467"/>
      <c r="D36" s="467"/>
      <c r="E36" s="467"/>
      <c r="F36" s="467"/>
      <c r="G36" s="467"/>
      <c r="H36" s="467"/>
      <c r="I36" s="475"/>
      <c r="J36" s="467"/>
      <c r="K36" s="467"/>
      <c r="L36" s="524"/>
    </row>
    <row r="37" spans="1:12" s="485" customFormat="1" x14ac:dyDescent="0.2">
      <c r="A37" s="1508" t="s">
        <v>461</v>
      </c>
      <c r="B37" s="525">
        <v>7400</v>
      </c>
      <c r="C37" s="475"/>
      <c r="D37" s="475"/>
      <c r="E37" s="1762">
        <f>SUM(C54:D57,H54:H57)</f>
        <v>0</v>
      </c>
      <c r="F37" s="475"/>
      <c r="G37" s="475"/>
      <c r="H37" s="475"/>
      <c r="I37" s="477"/>
      <c r="J37" s="475"/>
      <c r="K37" s="475"/>
      <c r="L37" s="524"/>
    </row>
    <row r="38" spans="1:12" s="485" customFormat="1" x14ac:dyDescent="0.2">
      <c r="A38" s="1508" t="s">
        <v>462</v>
      </c>
      <c r="B38" s="525">
        <v>7500</v>
      </c>
      <c r="C38" s="477"/>
      <c r="D38" s="477"/>
      <c r="E38" s="1762">
        <f>SUM(C58:D61,H58:H61)</f>
        <v>0</v>
      </c>
      <c r="F38" s="477"/>
      <c r="G38" s="477"/>
      <c r="H38" s="477"/>
      <c r="I38" s="477"/>
      <c r="J38" s="477"/>
      <c r="K38" s="477"/>
      <c r="L38" s="524"/>
    </row>
    <row r="39" spans="1:12" s="485" customFormat="1" x14ac:dyDescent="0.2">
      <c r="A39" s="1508" t="s">
        <v>463</v>
      </c>
      <c r="B39" s="525">
        <v>7600</v>
      </c>
      <c r="C39" s="477"/>
      <c r="D39" s="477"/>
      <c r="E39" s="1762">
        <f>SUM(C62:D65)</f>
        <v>0</v>
      </c>
      <c r="F39" s="477"/>
      <c r="G39" s="477"/>
      <c r="H39" s="477"/>
      <c r="I39" s="477"/>
      <c r="J39" s="477"/>
      <c r="K39" s="477"/>
      <c r="L39" s="524"/>
    </row>
    <row r="40" spans="1:12" s="485" customFormat="1" ht="13.5" customHeight="1" x14ac:dyDescent="0.2">
      <c r="A40" s="1508" t="s">
        <v>663</v>
      </c>
      <c r="B40" s="483">
        <v>7700</v>
      </c>
      <c r="C40" s="477"/>
      <c r="D40" s="477"/>
      <c r="E40" s="1762">
        <f>SUM(C66:D69)</f>
        <v>0</v>
      </c>
      <c r="F40" s="477"/>
      <c r="G40" s="477"/>
      <c r="H40" s="480"/>
      <c r="I40" s="477"/>
      <c r="J40" s="477"/>
      <c r="K40" s="477"/>
      <c r="L40" s="524"/>
    </row>
    <row r="41" spans="1:12" s="485" customFormat="1" ht="13.5" customHeight="1" x14ac:dyDescent="0.2">
      <c r="A41" s="1508" t="s">
        <v>661</v>
      </c>
      <c r="B41" s="483">
        <v>7800</v>
      </c>
      <c r="C41" s="480"/>
      <c r="D41" s="480"/>
      <c r="E41" s="526"/>
      <c r="F41" s="480"/>
      <c r="G41" s="480"/>
      <c r="H41" s="1762">
        <f>SUM(C70:D73)</f>
        <v>0</v>
      </c>
      <c r="I41" s="477"/>
      <c r="J41" s="477"/>
      <c r="K41" s="480"/>
      <c r="L41" s="524"/>
    </row>
    <row r="42" spans="1:12" s="485" customFormat="1" ht="13.5" customHeight="1" x14ac:dyDescent="0.2">
      <c r="A42" s="1508" t="s">
        <v>662</v>
      </c>
      <c r="B42" s="483">
        <v>7900</v>
      </c>
      <c r="C42" s="467"/>
      <c r="D42" s="467"/>
      <c r="E42" s="467"/>
      <c r="F42" s="467"/>
      <c r="G42" s="467"/>
      <c r="H42" s="467"/>
      <c r="I42" s="480"/>
      <c r="J42" s="480"/>
      <c r="K42" s="467"/>
      <c r="L42" s="524"/>
    </row>
    <row r="43" spans="1:12" s="485" customFormat="1" ht="13.5" customHeight="1" x14ac:dyDescent="0.2">
      <c r="A43" s="1508" t="s">
        <v>391</v>
      </c>
      <c r="B43" s="483">
        <v>7990</v>
      </c>
      <c r="C43" s="467"/>
      <c r="D43" s="467"/>
      <c r="E43" s="467">
        <v>10111</v>
      </c>
      <c r="F43" s="467"/>
      <c r="G43" s="467"/>
      <c r="H43" s="467"/>
      <c r="I43" s="467"/>
      <c r="J43" s="467"/>
      <c r="K43" s="467"/>
      <c r="L43" s="524"/>
    </row>
    <row r="44" spans="1:12" s="485" customFormat="1" ht="13.5" customHeight="1" thickBot="1" x14ac:dyDescent="0.25">
      <c r="A44" s="2208" t="s">
        <v>392</v>
      </c>
      <c r="B44" s="2209"/>
      <c r="C44" s="1722">
        <f>SUM(C24:C43)</f>
        <v>0</v>
      </c>
      <c r="D44" s="1722">
        <f t="shared" ref="D44:K44" si="6">SUM(D24:D43)</f>
        <v>0</v>
      </c>
      <c r="E44" s="1722">
        <f t="shared" si="6"/>
        <v>10111</v>
      </c>
      <c r="F44" s="1722">
        <f t="shared" si="6"/>
        <v>0</v>
      </c>
      <c r="G44" s="1722">
        <f t="shared" si="6"/>
        <v>0</v>
      </c>
      <c r="H44" s="1722">
        <f t="shared" si="6"/>
        <v>0</v>
      </c>
      <c r="I44" s="1722">
        <f t="shared" si="6"/>
        <v>0</v>
      </c>
      <c r="J44" s="1722">
        <f t="shared" si="6"/>
        <v>0</v>
      </c>
      <c r="K44" s="1722">
        <f t="shared" si="6"/>
        <v>0</v>
      </c>
      <c r="L44" s="524"/>
    </row>
    <row r="45" spans="1:12" ht="15.75" customHeight="1" thickTop="1" x14ac:dyDescent="0.2">
      <c r="A45" s="2202" t="s">
        <v>110</v>
      </c>
      <c r="B45" s="2203"/>
      <c r="C45" s="528"/>
      <c r="D45" s="528"/>
      <c r="E45" s="528"/>
      <c r="F45" s="528"/>
      <c r="G45" s="528"/>
      <c r="H45" s="528"/>
      <c r="I45" s="528"/>
      <c r="J45" s="528"/>
      <c r="K45" s="528"/>
      <c r="L45" s="347"/>
    </row>
    <row r="46" spans="1:12" s="485" customFormat="1" ht="15.75" customHeight="1" x14ac:dyDescent="0.2">
      <c r="A46" s="2210" t="s">
        <v>111</v>
      </c>
      <c r="B46" s="2211"/>
      <c r="C46" s="477"/>
      <c r="D46" s="477"/>
      <c r="E46" s="477"/>
      <c r="F46" s="477"/>
      <c r="G46" s="477"/>
      <c r="H46" s="477"/>
      <c r="I46" s="480"/>
      <c r="J46" s="477"/>
      <c r="K46" s="477"/>
      <c r="L46" s="529"/>
    </row>
    <row r="47" spans="1:12" s="485" customFormat="1" ht="15" x14ac:dyDescent="0.2">
      <c r="A47" s="1509" t="s">
        <v>1758</v>
      </c>
      <c r="B47" s="483">
        <v>8110</v>
      </c>
      <c r="C47" s="477"/>
      <c r="D47" s="477"/>
      <c r="E47" s="477"/>
      <c r="F47" s="477"/>
      <c r="G47" s="477"/>
      <c r="H47" s="477"/>
      <c r="I47" s="1762">
        <f>SUM(C24,C25:H25,J25:K25)</f>
        <v>0</v>
      </c>
      <c r="J47" s="477"/>
      <c r="K47" s="477"/>
      <c r="L47" s="529"/>
    </row>
    <row r="48" spans="1:12" s="485" customFormat="1" ht="15" x14ac:dyDescent="0.2">
      <c r="A48" s="1509" t="s">
        <v>1759</v>
      </c>
      <c r="B48" s="483">
        <v>8120</v>
      </c>
      <c r="C48" s="480"/>
      <c r="D48" s="480"/>
      <c r="E48" s="477"/>
      <c r="F48" s="480"/>
      <c r="G48" s="477"/>
      <c r="H48" s="477"/>
      <c r="I48" s="1762">
        <f>SUM(C26:H26,J26,K26)</f>
        <v>0</v>
      </c>
      <c r="J48" s="477"/>
      <c r="K48" s="477"/>
      <c r="L48" s="529"/>
    </row>
    <row r="49" spans="1:12" s="485" customFormat="1" x14ac:dyDescent="0.2">
      <c r="A49" s="1509" t="s">
        <v>194</v>
      </c>
      <c r="B49" s="483">
        <v>8130</v>
      </c>
      <c r="C49" s="467"/>
      <c r="D49" s="467"/>
      <c r="E49" s="480"/>
      <c r="F49" s="467"/>
      <c r="G49" s="480"/>
      <c r="H49" s="480"/>
      <c r="I49" s="477"/>
      <c r="J49" s="480"/>
      <c r="K49" s="477"/>
      <c r="L49" s="524"/>
    </row>
    <row r="50" spans="1:12" s="485" customFormat="1" x14ac:dyDescent="0.2">
      <c r="A50" s="1509" t="s">
        <v>1465</v>
      </c>
      <c r="B50" s="483">
        <v>8140</v>
      </c>
      <c r="C50" s="467"/>
      <c r="D50" s="467"/>
      <c r="E50" s="467"/>
      <c r="F50" s="467"/>
      <c r="G50" s="467"/>
      <c r="H50" s="467"/>
      <c r="I50" s="477"/>
      <c r="J50" s="467"/>
      <c r="K50" s="477"/>
      <c r="L50" s="524"/>
    </row>
    <row r="51" spans="1:12" s="485" customFormat="1" x14ac:dyDescent="0.2">
      <c r="A51" s="1509" t="s">
        <v>312</v>
      </c>
      <c r="B51" s="483">
        <v>8150</v>
      </c>
      <c r="C51" s="475"/>
      <c r="D51" s="475"/>
      <c r="E51" s="475"/>
      <c r="F51" s="475"/>
      <c r="G51" s="475"/>
      <c r="H51" s="1762">
        <f>SUM(D29)</f>
        <v>0</v>
      </c>
      <c r="I51" s="477"/>
      <c r="J51" s="475"/>
      <c r="K51" s="480"/>
      <c r="L51" s="524"/>
    </row>
    <row r="52" spans="1:12" s="485" customFormat="1" ht="26.25" x14ac:dyDescent="0.2">
      <c r="A52" s="1509" t="s">
        <v>1900</v>
      </c>
      <c r="B52" s="483">
        <v>8160</v>
      </c>
      <c r="C52" s="477"/>
      <c r="D52" s="477"/>
      <c r="E52" s="477"/>
      <c r="F52" s="477"/>
      <c r="G52" s="477"/>
      <c r="H52" s="477"/>
      <c r="I52" s="477"/>
      <c r="J52" s="477"/>
      <c r="K52" s="1762">
        <f>D30</f>
        <v>0</v>
      </c>
      <c r="L52" s="524"/>
    </row>
    <row r="53" spans="1:12" s="485" customFormat="1" ht="26.25" x14ac:dyDescent="0.2">
      <c r="A53" s="1509" t="s">
        <v>1899</v>
      </c>
      <c r="B53" s="483">
        <v>8170</v>
      </c>
      <c r="C53" s="480"/>
      <c r="D53" s="480"/>
      <c r="E53" s="477"/>
      <c r="F53" s="477"/>
      <c r="G53" s="477"/>
      <c r="H53" s="480"/>
      <c r="I53" s="477"/>
      <c r="J53" s="477"/>
      <c r="K53" s="1762">
        <f>E31</f>
        <v>0</v>
      </c>
      <c r="L53" s="524"/>
    </row>
    <row r="54" spans="1:12" s="485" customFormat="1" ht="13.5" thickBot="1" x14ac:dyDescent="0.25">
      <c r="A54" s="1509" t="s">
        <v>716</v>
      </c>
      <c r="B54" s="483">
        <v>8410</v>
      </c>
      <c r="C54" s="530"/>
      <c r="D54" s="530"/>
      <c r="E54" s="477"/>
      <c r="F54" s="477"/>
      <c r="G54" s="477"/>
      <c r="H54" s="530"/>
      <c r="I54" s="477"/>
      <c r="J54" s="477"/>
      <c r="K54" s="475"/>
      <c r="L54" s="524"/>
    </row>
    <row r="55" spans="1:12" s="485" customFormat="1" ht="14.25" thickTop="1" thickBot="1" x14ac:dyDescent="0.25">
      <c r="A55" s="1510" t="s">
        <v>717</v>
      </c>
      <c r="B55" s="483">
        <v>8420</v>
      </c>
      <c r="C55" s="531"/>
      <c r="D55" s="531"/>
      <c r="E55" s="477"/>
      <c r="F55" s="477"/>
      <c r="G55" s="477"/>
      <c r="H55" s="530"/>
      <c r="I55" s="477"/>
      <c r="J55" s="477"/>
      <c r="K55" s="477"/>
      <c r="L55" s="524"/>
    </row>
    <row r="56" spans="1:12" s="485" customFormat="1" ht="14.25" thickTop="1" thickBot="1" x14ac:dyDescent="0.25">
      <c r="A56" s="1509" t="s">
        <v>602</v>
      </c>
      <c r="B56" s="483">
        <v>8430</v>
      </c>
      <c r="C56" s="531"/>
      <c r="D56" s="531"/>
      <c r="E56" s="477"/>
      <c r="F56" s="477"/>
      <c r="G56" s="477"/>
      <c r="H56" s="530"/>
      <c r="I56" s="477"/>
      <c r="J56" s="477"/>
      <c r="K56" s="477"/>
      <c r="L56" s="524"/>
    </row>
    <row r="57" spans="1:12" s="485" customFormat="1" ht="14.25" thickTop="1" thickBot="1" x14ac:dyDescent="0.25">
      <c r="A57" s="1510" t="s">
        <v>599</v>
      </c>
      <c r="B57" s="483">
        <v>8440</v>
      </c>
      <c r="C57" s="531"/>
      <c r="D57" s="531"/>
      <c r="E57" s="477"/>
      <c r="F57" s="477"/>
      <c r="G57" s="477"/>
      <c r="H57" s="530"/>
      <c r="I57" s="477"/>
      <c r="J57" s="477"/>
      <c r="K57" s="477"/>
      <c r="L57" s="524"/>
    </row>
    <row r="58" spans="1:12" s="485" customFormat="1" ht="14.25" thickTop="1" thickBot="1" x14ac:dyDescent="0.25">
      <c r="A58" s="1509" t="s">
        <v>600</v>
      </c>
      <c r="B58" s="483">
        <v>8510</v>
      </c>
      <c r="C58" s="531"/>
      <c r="D58" s="531"/>
      <c r="E58" s="477"/>
      <c r="F58" s="477"/>
      <c r="G58" s="477"/>
      <c r="H58" s="530"/>
      <c r="I58" s="477"/>
      <c r="J58" s="477"/>
      <c r="K58" s="477"/>
      <c r="L58" s="524"/>
    </row>
    <row r="59" spans="1:12" s="485" customFormat="1" ht="14.25" thickTop="1" thickBot="1" x14ac:dyDescent="0.25">
      <c r="A59" s="1511" t="s">
        <v>718</v>
      </c>
      <c r="B59" s="483">
        <v>8520</v>
      </c>
      <c r="C59" s="531"/>
      <c r="D59" s="531"/>
      <c r="E59" s="477"/>
      <c r="F59" s="477"/>
      <c r="G59" s="477"/>
      <c r="H59" s="530"/>
      <c r="I59" s="477"/>
      <c r="J59" s="477"/>
      <c r="K59" s="477"/>
      <c r="L59" s="524"/>
    </row>
    <row r="60" spans="1:12" s="485" customFormat="1" ht="14.25" thickTop="1" thickBot="1" x14ac:dyDescent="0.25">
      <c r="A60" s="1509" t="s">
        <v>601</v>
      </c>
      <c r="B60" s="483">
        <v>8530</v>
      </c>
      <c r="C60" s="531"/>
      <c r="D60" s="531"/>
      <c r="E60" s="477"/>
      <c r="F60" s="477"/>
      <c r="G60" s="477"/>
      <c r="H60" s="530"/>
      <c r="I60" s="477"/>
      <c r="J60" s="477"/>
      <c r="K60" s="477"/>
      <c r="L60" s="524"/>
    </row>
    <row r="61" spans="1:12" s="485" customFormat="1" ht="14.25" thickTop="1" thickBot="1" x14ac:dyDescent="0.25">
      <c r="A61" s="1510" t="s">
        <v>767</v>
      </c>
      <c r="B61" s="483">
        <v>8540</v>
      </c>
      <c r="C61" s="531"/>
      <c r="D61" s="531"/>
      <c r="E61" s="477"/>
      <c r="F61" s="477"/>
      <c r="G61" s="477"/>
      <c r="H61" s="530"/>
      <c r="I61" s="477"/>
      <c r="J61" s="477"/>
      <c r="K61" s="477"/>
      <c r="L61" s="524"/>
    </row>
    <row r="62" spans="1:12" s="485" customFormat="1" ht="13.5" customHeight="1" thickTop="1" thickBot="1" x14ac:dyDescent="0.25">
      <c r="A62" s="1509" t="s">
        <v>768</v>
      </c>
      <c r="B62" s="483">
        <v>8610</v>
      </c>
      <c r="C62" s="531"/>
      <c r="D62" s="531"/>
      <c r="E62" s="477"/>
      <c r="F62" s="477"/>
      <c r="G62" s="477"/>
      <c r="H62" s="477"/>
      <c r="I62" s="477"/>
      <c r="J62" s="477"/>
      <c r="K62" s="477"/>
      <c r="L62" s="524"/>
    </row>
    <row r="63" spans="1:12" s="485" customFormat="1" ht="14.25" thickTop="1" thickBot="1" x14ac:dyDescent="0.25">
      <c r="A63" s="1510" t="s">
        <v>719</v>
      </c>
      <c r="B63" s="483">
        <v>8620</v>
      </c>
      <c r="C63" s="531"/>
      <c r="D63" s="531"/>
      <c r="E63" s="477"/>
      <c r="F63" s="477"/>
      <c r="G63" s="477"/>
      <c r="H63" s="477"/>
      <c r="I63" s="477"/>
      <c r="J63" s="477"/>
      <c r="K63" s="477"/>
      <c r="L63" s="524"/>
    </row>
    <row r="64" spans="1:12" s="485" customFormat="1" ht="13.5" customHeight="1" thickTop="1" thickBot="1" x14ac:dyDescent="0.25">
      <c r="A64" s="1509" t="s">
        <v>769</v>
      </c>
      <c r="B64" s="483">
        <v>8630</v>
      </c>
      <c r="C64" s="531"/>
      <c r="D64" s="531"/>
      <c r="E64" s="477"/>
      <c r="F64" s="477"/>
      <c r="G64" s="477"/>
      <c r="H64" s="477"/>
      <c r="I64" s="477"/>
      <c r="J64" s="477"/>
      <c r="K64" s="477"/>
      <c r="L64" s="524"/>
    </row>
    <row r="65" spans="1:12" s="485" customFormat="1" ht="14.25" thickTop="1" thickBot="1" x14ac:dyDescent="0.25">
      <c r="A65" s="1510" t="s">
        <v>770</v>
      </c>
      <c r="B65" s="483">
        <v>8640</v>
      </c>
      <c r="C65" s="531"/>
      <c r="D65" s="531"/>
      <c r="E65" s="477"/>
      <c r="F65" s="477"/>
      <c r="G65" s="477"/>
      <c r="H65" s="477"/>
      <c r="I65" s="477"/>
      <c r="J65" s="477"/>
      <c r="K65" s="477"/>
      <c r="L65" s="524"/>
    </row>
    <row r="66" spans="1:12" s="485" customFormat="1" ht="14.25" thickTop="1" thickBot="1" x14ac:dyDescent="0.25">
      <c r="A66" s="1509" t="s">
        <v>771</v>
      </c>
      <c r="B66" s="483">
        <v>8710</v>
      </c>
      <c r="C66" s="531"/>
      <c r="D66" s="531"/>
      <c r="E66" s="477"/>
      <c r="F66" s="477"/>
      <c r="G66" s="477"/>
      <c r="H66" s="477"/>
      <c r="I66" s="477"/>
      <c r="J66" s="477"/>
      <c r="K66" s="477"/>
      <c r="L66" s="524"/>
    </row>
    <row r="67" spans="1:12" s="485" customFormat="1" ht="14.25" thickTop="1" thickBot="1" x14ac:dyDescent="0.25">
      <c r="A67" s="1510" t="s">
        <v>720</v>
      </c>
      <c r="B67" s="483">
        <v>8720</v>
      </c>
      <c r="C67" s="531"/>
      <c r="D67" s="531"/>
      <c r="E67" s="477"/>
      <c r="F67" s="477"/>
      <c r="G67" s="477"/>
      <c r="H67" s="477"/>
      <c r="I67" s="477"/>
      <c r="J67" s="477"/>
      <c r="K67" s="477"/>
      <c r="L67" s="524"/>
    </row>
    <row r="68" spans="1:12" s="485" customFormat="1" ht="14.25" thickTop="1" thickBot="1" x14ac:dyDescent="0.25">
      <c r="A68" s="1511" t="s">
        <v>772</v>
      </c>
      <c r="B68" s="483">
        <v>8730</v>
      </c>
      <c r="C68" s="531"/>
      <c r="D68" s="531"/>
      <c r="E68" s="477"/>
      <c r="F68" s="477"/>
      <c r="G68" s="477"/>
      <c r="H68" s="477"/>
      <c r="I68" s="477"/>
      <c r="J68" s="477"/>
      <c r="K68" s="477"/>
      <c r="L68" s="524"/>
    </row>
    <row r="69" spans="1:12" s="485" customFormat="1" ht="14.25" thickTop="1" thickBot="1" x14ac:dyDescent="0.25">
      <c r="A69" s="1510" t="s">
        <v>773</v>
      </c>
      <c r="B69" s="483">
        <v>8740</v>
      </c>
      <c r="C69" s="531"/>
      <c r="D69" s="531"/>
      <c r="E69" s="477"/>
      <c r="F69" s="477"/>
      <c r="G69" s="477"/>
      <c r="H69" s="477"/>
      <c r="I69" s="477"/>
      <c r="J69" s="477"/>
      <c r="K69" s="477"/>
      <c r="L69" s="524"/>
    </row>
    <row r="70" spans="1:12" s="485" customFormat="1" ht="14.25" thickTop="1" thickBot="1" x14ac:dyDescent="0.25">
      <c r="A70" s="1509" t="s">
        <v>774</v>
      </c>
      <c r="B70" s="483">
        <v>8810</v>
      </c>
      <c r="C70" s="531"/>
      <c r="D70" s="531"/>
      <c r="E70" s="477"/>
      <c r="F70" s="477"/>
      <c r="G70" s="477"/>
      <c r="H70" s="477"/>
      <c r="I70" s="477"/>
      <c r="J70" s="477"/>
      <c r="K70" s="477"/>
      <c r="L70" s="524"/>
    </row>
    <row r="71" spans="1:12" s="485" customFormat="1" ht="14.25" thickTop="1" thickBot="1" x14ac:dyDescent="0.25">
      <c r="A71" s="1509" t="s">
        <v>778</v>
      </c>
      <c r="B71" s="483">
        <v>8820</v>
      </c>
      <c r="C71" s="531"/>
      <c r="D71" s="531"/>
      <c r="E71" s="477"/>
      <c r="F71" s="477"/>
      <c r="G71" s="477"/>
      <c r="H71" s="477"/>
      <c r="I71" s="477"/>
      <c r="J71" s="477"/>
      <c r="K71" s="477"/>
      <c r="L71" s="524"/>
    </row>
    <row r="72" spans="1:12" s="485" customFormat="1" ht="14.25" thickTop="1" thickBot="1" x14ac:dyDescent="0.25">
      <c r="A72" s="1509" t="s">
        <v>775</v>
      </c>
      <c r="B72" s="483">
        <v>8830</v>
      </c>
      <c r="C72" s="531"/>
      <c r="D72" s="531"/>
      <c r="E72" s="477"/>
      <c r="F72" s="477"/>
      <c r="G72" s="477"/>
      <c r="H72" s="477"/>
      <c r="I72" s="477"/>
      <c r="J72" s="477"/>
      <c r="K72" s="477"/>
      <c r="L72" s="524"/>
    </row>
    <row r="73" spans="1:12" s="485" customFormat="1" ht="14.25" thickTop="1" thickBot="1" x14ac:dyDescent="0.25">
      <c r="A73" s="1509" t="s">
        <v>776</v>
      </c>
      <c r="B73" s="483">
        <v>8840</v>
      </c>
      <c r="C73" s="531"/>
      <c r="D73" s="531"/>
      <c r="E73" s="477"/>
      <c r="F73" s="477"/>
      <c r="G73" s="477"/>
      <c r="H73" s="477"/>
      <c r="I73" s="477"/>
      <c r="J73" s="477"/>
      <c r="K73" s="480"/>
      <c r="L73" s="524"/>
    </row>
    <row r="74" spans="1:12" s="485" customFormat="1" ht="14.25" thickTop="1" thickBot="1" x14ac:dyDescent="0.25">
      <c r="A74" s="1509" t="s">
        <v>393</v>
      </c>
      <c r="B74" s="483">
        <v>8910</v>
      </c>
      <c r="C74" s="531"/>
      <c r="D74" s="531"/>
      <c r="E74" s="480"/>
      <c r="F74" s="530"/>
      <c r="G74" s="530"/>
      <c r="H74" s="530"/>
      <c r="I74" s="480"/>
      <c r="J74" s="480"/>
      <c r="K74" s="530"/>
      <c r="L74" s="524"/>
    </row>
    <row r="75" spans="1:12" s="485" customFormat="1" ht="14.25" thickTop="1" thickBot="1" x14ac:dyDescent="0.25">
      <c r="A75" s="1512" t="s">
        <v>459</v>
      </c>
      <c r="B75" s="483">
        <v>8990</v>
      </c>
      <c r="C75" s="531"/>
      <c r="D75" s="531"/>
      <c r="E75" s="530"/>
      <c r="F75" s="532"/>
      <c r="G75" s="532"/>
      <c r="H75" s="532">
        <v>10111</v>
      </c>
      <c r="I75" s="530"/>
      <c r="J75" s="530"/>
      <c r="K75" s="532"/>
      <c r="L75" s="524"/>
    </row>
    <row r="76" spans="1:12" s="485" customFormat="1" ht="14.25" thickTop="1" thickBot="1" x14ac:dyDescent="0.25">
      <c r="A76" s="2184" t="s">
        <v>460</v>
      </c>
      <c r="B76" s="2185"/>
      <c r="C76" s="1722">
        <f t="shared" ref="C76:K76" si="7">SUM(C47:C75)</f>
        <v>0</v>
      </c>
      <c r="D76" s="1722">
        <f t="shared" si="7"/>
        <v>0</v>
      </c>
      <c r="E76" s="1722">
        <f t="shared" si="7"/>
        <v>0</v>
      </c>
      <c r="F76" s="1722">
        <f t="shared" si="7"/>
        <v>0</v>
      </c>
      <c r="G76" s="1722">
        <f t="shared" si="7"/>
        <v>0</v>
      </c>
      <c r="H76" s="1722">
        <f t="shared" si="7"/>
        <v>10111</v>
      </c>
      <c r="I76" s="1722">
        <f t="shared" si="7"/>
        <v>0</v>
      </c>
      <c r="J76" s="1722">
        <f t="shared" si="7"/>
        <v>0</v>
      </c>
      <c r="K76" s="1722">
        <f t="shared" si="7"/>
        <v>0</v>
      </c>
      <c r="L76" s="524"/>
    </row>
    <row r="77" spans="1:12" ht="14.25" thickTop="1" thickBot="1" x14ac:dyDescent="0.25">
      <c r="A77" s="2186" t="s">
        <v>1239</v>
      </c>
      <c r="B77" s="2187"/>
      <c r="C77" s="1722">
        <f t="shared" ref="C77:K77" si="8">C44-C76</f>
        <v>0</v>
      </c>
      <c r="D77" s="1722">
        <f t="shared" si="8"/>
        <v>0</v>
      </c>
      <c r="E77" s="1722">
        <f t="shared" si="8"/>
        <v>10111</v>
      </c>
      <c r="F77" s="1722">
        <f t="shared" si="8"/>
        <v>0</v>
      </c>
      <c r="G77" s="1722">
        <f t="shared" si="8"/>
        <v>0</v>
      </c>
      <c r="H77" s="1722">
        <f t="shared" si="8"/>
        <v>-10111</v>
      </c>
      <c r="I77" s="1722">
        <f t="shared" si="8"/>
        <v>0</v>
      </c>
      <c r="J77" s="1722">
        <f t="shared" si="8"/>
        <v>0</v>
      </c>
      <c r="K77" s="1722">
        <f t="shared" si="8"/>
        <v>0</v>
      </c>
      <c r="L77" s="347"/>
    </row>
    <row r="78" spans="1:12" ht="21.75" customHeight="1" thickTop="1" thickBot="1" x14ac:dyDescent="0.25">
      <c r="A78" s="2190" t="s">
        <v>618</v>
      </c>
      <c r="B78" s="2191"/>
      <c r="C78" s="1721">
        <f t="shared" ref="C78:K78" si="9">C20+C77</f>
        <v>189111</v>
      </c>
      <c r="D78" s="1721">
        <f t="shared" si="9"/>
        <v>-34074</v>
      </c>
      <c r="E78" s="1721">
        <f t="shared" si="9"/>
        <v>-658</v>
      </c>
      <c r="F78" s="1721">
        <f t="shared" si="9"/>
        <v>-7881</v>
      </c>
      <c r="G78" s="1721">
        <f t="shared" si="9"/>
        <v>10920</v>
      </c>
      <c r="H78" s="1721">
        <f t="shared" si="9"/>
        <v>-46238</v>
      </c>
      <c r="I78" s="1721">
        <f t="shared" si="9"/>
        <v>21767</v>
      </c>
      <c r="J78" s="1721">
        <f t="shared" si="9"/>
        <v>62110</v>
      </c>
      <c r="K78" s="1721">
        <f t="shared" si="9"/>
        <v>12114</v>
      </c>
      <c r="L78" s="533"/>
    </row>
    <row r="79" spans="1:12" ht="13.5" thickTop="1" x14ac:dyDescent="0.2">
      <c r="A79" s="1513" t="s">
        <v>2071</v>
      </c>
      <c r="B79" s="534"/>
      <c r="C79" s="478">
        <v>344611</v>
      </c>
      <c r="D79" s="535">
        <v>57452</v>
      </c>
      <c r="E79" s="535">
        <v>9515</v>
      </c>
      <c r="F79" s="535">
        <v>139305</v>
      </c>
      <c r="G79" s="535">
        <v>57615</v>
      </c>
      <c r="H79" s="535">
        <v>164988</v>
      </c>
      <c r="I79" s="535">
        <v>255205</v>
      </c>
      <c r="J79" s="535">
        <v>2318</v>
      </c>
      <c r="K79" s="535">
        <v>15328</v>
      </c>
      <c r="L79" s="347"/>
    </row>
    <row r="80" spans="1:12" x14ac:dyDescent="0.2">
      <c r="A80" s="2196" t="s">
        <v>1898</v>
      </c>
      <c r="B80" s="2197"/>
      <c r="C80" s="467"/>
      <c r="D80" s="467"/>
      <c r="E80" s="467"/>
      <c r="F80" s="467"/>
      <c r="G80" s="467"/>
      <c r="H80" s="467"/>
      <c r="I80" s="467"/>
      <c r="J80" s="467"/>
      <c r="K80" s="467"/>
      <c r="L80" s="347"/>
    </row>
    <row r="81" spans="1:12" ht="13.5" thickBot="1" x14ac:dyDescent="0.25">
      <c r="A81" s="2188" t="s">
        <v>2072</v>
      </c>
      <c r="B81" s="2189"/>
      <c r="C81" s="1707">
        <f>(SUM(C78:C80))</f>
        <v>533722</v>
      </c>
      <c r="D81" s="1707">
        <f>SUM(D78:D80)</f>
        <v>23378</v>
      </c>
      <c r="E81" s="1707">
        <f t="shared" ref="E81:K81" si="10">SUM(E78:E80)</f>
        <v>8857</v>
      </c>
      <c r="F81" s="1707">
        <f t="shared" si="10"/>
        <v>131424</v>
      </c>
      <c r="G81" s="1707">
        <f t="shared" si="10"/>
        <v>68535</v>
      </c>
      <c r="H81" s="1707">
        <f t="shared" si="10"/>
        <v>118750</v>
      </c>
      <c r="I81" s="1707">
        <f t="shared" si="10"/>
        <v>276972</v>
      </c>
      <c r="J81" s="1707">
        <f t="shared" si="10"/>
        <v>64428</v>
      </c>
      <c r="K81" s="1707">
        <f t="shared" si="10"/>
        <v>27442</v>
      </c>
      <c r="L81" s="347"/>
    </row>
    <row r="82" spans="1:12" ht="0.75" customHeight="1" thickTop="1" thickBot="1" x14ac:dyDescent="0.25">
      <c r="A82" s="536" t="s">
        <v>361</v>
      </c>
      <c r="B82" s="537"/>
      <c r="C82" s="538">
        <f>(C81-C79)</f>
        <v>189111</v>
      </c>
      <c r="D82" s="538">
        <f t="shared" ref="D82:K82" si="11">(D81-D79)</f>
        <v>-34074</v>
      </c>
      <c r="E82" s="538">
        <f t="shared" si="11"/>
        <v>-658</v>
      </c>
      <c r="F82" s="538">
        <f t="shared" si="11"/>
        <v>-7881</v>
      </c>
      <c r="G82" s="538">
        <f t="shared" si="11"/>
        <v>10920</v>
      </c>
      <c r="H82" s="538">
        <f t="shared" si="11"/>
        <v>-46238</v>
      </c>
      <c r="I82" s="538">
        <f t="shared" si="11"/>
        <v>21767</v>
      </c>
      <c r="J82" s="538">
        <f t="shared" si="11"/>
        <v>62110</v>
      </c>
      <c r="K82" s="538">
        <f t="shared" si="11"/>
        <v>12114</v>
      </c>
    </row>
    <row r="83" spans="1:12" ht="14.25" hidden="1" thickTop="1" thickBot="1" x14ac:dyDescent="0.25">
      <c r="A83" s="539" t="s">
        <v>362</v>
      </c>
      <c r="B83" s="464"/>
      <c r="C83" s="540">
        <f>C82/C81</f>
        <v>0.35432491072131184</v>
      </c>
      <c r="D83" s="540">
        <f t="shared" ref="D83:K83" si="12">D82/D81</f>
        <v>-1.4575241680212165</v>
      </c>
      <c r="E83" s="540">
        <f t="shared" si="12"/>
        <v>-7.4291520830981145E-2</v>
      </c>
      <c r="F83" s="540">
        <f t="shared" si="12"/>
        <v>-5.9966216216216214E-2</v>
      </c>
      <c r="G83" s="540">
        <f t="shared" si="12"/>
        <v>0.15933464653096957</v>
      </c>
      <c r="H83" s="540">
        <f t="shared" si="12"/>
        <v>-0.38937263157894736</v>
      </c>
      <c r="I83" s="540">
        <f t="shared" si="12"/>
        <v>7.8589171468596106E-2</v>
      </c>
      <c r="J83" s="540">
        <f t="shared" si="12"/>
        <v>0.96402185385236228</v>
      </c>
      <c r="K83" s="540">
        <f t="shared" si="12"/>
        <v>0.44144012827053419</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orizontalCentered="1" headings="1"/>
  <pageMargins left="0.5" right="0.5" top="1.5" bottom="0.75" header="1" footer="0.5"/>
  <pageSetup scale="69"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4"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100" workbookViewId="0">
      <pane ySplit="2" topLeftCell="A101" activePane="bottomLeft" state="frozen"/>
      <selection activeCell="A47" sqref="A47"/>
      <selection pane="bottomLeft" activeCell="E103" sqref="E10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92" t="s">
        <v>1905</v>
      </c>
      <c r="B1" s="452"/>
      <c r="C1" s="453" t="s">
        <v>445</v>
      </c>
      <c r="D1" s="453" t="s">
        <v>446</v>
      </c>
      <c r="E1" s="453" t="s">
        <v>447</v>
      </c>
      <c r="F1" s="453" t="s">
        <v>448</v>
      </c>
      <c r="G1" s="453" t="s">
        <v>449</v>
      </c>
      <c r="H1" s="453" t="s">
        <v>450</v>
      </c>
      <c r="I1" s="453" t="s">
        <v>451</v>
      </c>
      <c r="J1" s="453" t="s">
        <v>452</v>
      </c>
      <c r="K1" s="453" t="s">
        <v>780</v>
      </c>
    </row>
    <row r="2" spans="1:12" ht="36" x14ac:dyDescent="0.2">
      <c r="A2" s="219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98" t="s">
        <v>115</v>
      </c>
      <c r="B3" s="1599"/>
      <c r="C3" s="1600"/>
      <c r="D3" s="1600"/>
      <c r="E3" s="1600"/>
      <c r="F3" s="1601"/>
      <c r="G3" s="1602"/>
      <c r="H3" s="1601"/>
      <c r="I3" s="1601"/>
      <c r="J3" s="1601"/>
      <c r="K3" s="1603"/>
    </row>
    <row r="4" spans="1:12" ht="15.75" customHeight="1" x14ac:dyDescent="0.2">
      <c r="A4" s="1609" t="s">
        <v>397</v>
      </c>
      <c r="B4" s="1610">
        <v>1100</v>
      </c>
      <c r="C4" s="543"/>
      <c r="D4" s="543"/>
      <c r="E4" s="543"/>
      <c r="F4" s="544"/>
      <c r="G4" s="545"/>
      <c r="H4" s="546"/>
      <c r="I4" s="546"/>
      <c r="J4" s="546"/>
      <c r="K4" s="546"/>
    </row>
    <row r="5" spans="1:12" ht="15" x14ac:dyDescent="0.2">
      <c r="A5" s="493" t="s">
        <v>1760</v>
      </c>
      <c r="B5" s="547"/>
      <c r="C5" s="481">
        <v>1283917</v>
      </c>
      <c r="D5" s="481">
        <v>213999</v>
      </c>
      <c r="E5" s="466">
        <v>157956</v>
      </c>
      <c r="F5" s="548">
        <v>85600</v>
      </c>
      <c r="G5" s="466">
        <v>29947</v>
      </c>
      <c r="H5" s="466"/>
      <c r="I5" s="466">
        <v>21400</v>
      </c>
      <c r="J5" s="467">
        <v>229563</v>
      </c>
      <c r="K5" s="466">
        <v>21400</v>
      </c>
    </row>
    <row r="6" spans="1:12" ht="15" x14ac:dyDescent="0.2">
      <c r="A6" s="463" t="s">
        <v>1761</v>
      </c>
      <c r="B6" s="470">
        <v>1130</v>
      </c>
      <c r="C6" s="466">
        <v>21941</v>
      </c>
      <c r="D6" s="466"/>
      <c r="E6" s="475"/>
      <c r="F6" s="475"/>
      <c r="G6" s="468"/>
      <c r="H6" s="468"/>
      <c r="I6" s="468"/>
      <c r="J6" s="468"/>
      <c r="K6" s="468"/>
    </row>
    <row r="7" spans="1:12" x14ac:dyDescent="0.2">
      <c r="A7" s="463" t="s">
        <v>112</v>
      </c>
      <c r="B7" s="549">
        <v>1140</v>
      </c>
      <c r="C7" s="466">
        <v>17120</v>
      </c>
      <c r="D7" s="466"/>
      <c r="E7" s="468"/>
      <c r="F7" s="467"/>
      <c r="G7" s="467"/>
      <c r="H7" s="467"/>
      <c r="I7" s="468"/>
      <c r="J7" s="468"/>
      <c r="K7" s="468"/>
    </row>
    <row r="8" spans="1:12" x14ac:dyDescent="0.2">
      <c r="A8" s="463" t="s">
        <v>433</v>
      </c>
      <c r="B8" s="470">
        <v>1150</v>
      </c>
      <c r="C8" s="475"/>
      <c r="D8" s="475"/>
      <c r="E8" s="477"/>
      <c r="F8" s="477"/>
      <c r="G8" s="481">
        <v>74861</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4" t="s">
        <v>29</v>
      </c>
      <c r="B12" s="1725"/>
      <c r="C12" s="1726">
        <f t="shared" ref="C12:K12" si="0">SUM(C5:C11)</f>
        <v>1322978</v>
      </c>
      <c r="D12" s="1726">
        <f t="shared" si="0"/>
        <v>213999</v>
      </c>
      <c r="E12" s="1726">
        <f t="shared" si="0"/>
        <v>157956</v>
      </c>
      <c r="F12" s="1726">
        <f t="shared" si="0"/>
        <v>85600</v>
      </c>
      <c r="G12" s="1726">
        <f t="shared" si="0"/>
        <v>104808</v>
      </c>
      <c r="H12" s="1726">
        <f t="shared" si="0"/>
        <v>0</v>
      </c>
      <c r="I12" s="1726">
        <f t="shared" si="0"/>
        <v>21400</v>
      </c>
      <c r="J12" s="1726">
        <f t="shared" si="0"/>
        <v>229563</v>
      </c>
      <c r="K12" s="1707">
        <f t="shared" si="0"/>
        <v>21400</v>
      </c>
    </row>
    <row r="13" spans="1:12" ht="15.75" customHeight="1" thickTop="1" x14ac:dyDescent="0.2">
      <c r="A13" s="1611" t="s">
        <v>471</v>
      </c>
      <c r="B13" s="1612">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63292</v>
      </c>
      <c r="D16" s="466"/>
      <c r="E16" s="466"/>
      <c r="F16" s="466"/>
      <c r="G16" s="466">
        <v>3000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7" t="s">
        <v>558</v>
      </c>
      <c r="B18" s="1728"/>
      <c r="C18" s="1729">
        <f>SUM(C14:C17)</f>
        <v>63292</v>
      </c>
      <c r="D18" s="1729">
        <f t="shared" ref="D18:K18" si="1">SUM(D14:D17)</f>
        <v>0</v>
      </c>
      <c r="E18" s="1729">
        <f t="shared" si="1"/>
        <v>0</v>
      </c>
      <c r="F18" s="1729">
        <f t="shared" si="1"/>
        <v>0</v>
      </c>
      <c r="G18" s="1729">
        <f t="shared" si="1"/>
        <v>3000</v>
      </c>
      <c r="H18" s="1729">
        <f t="shared" si="1"/>
        <v>0</v>
      </c>
      <c r="I18" s="1729">
        <f t="shared" si="1"/>
        <v>0</v>
      </c>
      <c r="J18" s="1729">
        <f t="shared" si="1"/>
        <v>0</v>
      </c>
      <c r="K18" s="1730">
        <f t="shared" si="1"/>
        <v>0</v>
      </c>
    </row>
    <row r="19" spans="1:11" ht="15.75" customHeight="1" thickTop="1" x14ac:dyDescent="0.2">
      <c r="A19" s="1611" t="s">
        <v>472</v>
      </c>
      <c r="B19" s="1612">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4" t="s">
        <v>615</v>
      </c>
      <c r="B39" s="556">
        <v>1354</v>
      </c>
      <c r="C39" s="489"/>
      <c r="D39" s="468"/>
      <c r="E39" s="468"/>
      <c r="F39" s="468"/>
      <c r="G39" s="468"/>
      <c r="H39" s="468"/>
      <c r="I39" s="468"/>
      <c r="J39" s="468"/>
      <c r="K39" s="468"/>
    </row>
    <row r="40" spans="1:11" ht="12.75" customHeight="1" thickBot="1" x14ac:dyDescent="0.25">
      <c r="A40" s="1727" t="s">
        <v>559</v>
      </c>
      <c r="B40" s="1728"/>
      <c r="C40" s="1707">
        <f>SUM(C20:C39)</f>
        <v>0</v>
      </c>
      <c r="D40" s="468"/>
      <c r="E40" s="468"/>
      <c r="F40" s="468"/>
      <c r="G40" s="468"/>
      <c r="H40" s="468"/>
      <c r="I40" s="468"/>
      <c r="J40" s="468"/>
      <c r="K40" s="468"/>
    </row>
    <row r="41" spans="1:11" ht="15.75" customHeight="1" thickTop="1" x14ac:dyDescent="0.2">
      <c r="A41" s="1611" t="s">
        <v>292</v>
      </c>
      <c r="B41" s="1612">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5" t="s">
        <v>62</v>
      </c>
      <c r="B51" s="557">
        <v>1431</v>
      </c>
      <c r="C51" s="468"/>
      <c r="D51" s="468"/>
      <c r="E51" s="468"/>
      <c r="F51" s="466"/>
      <c r="G51" s="468"/>
      <c r="H51" s="468"/>
      <c r="I51" s="468"/>
      <c r="J51" s="468"/>
      <c r="K51" s="468"/>
    </row>
    <row r="52" spans="1:11" ht="12.75" customHeight="1" x14ac:dyDescent="0.2">
      <c r="A52" s="1515" t="s">
        <v>1168</v>
      </c>
      <c r="B52" s="557">
        <v>1432</v>
      </c>
      <c r="C52" s="468"/>
      <c r="D52" s="468"/>
      <c r="E52" s="468"/>
      <c r="F52" s="466"/>
      <c r="G52" s="468"/>
      <c r="H52" s="468"/>
      <c r="I52" s="468"/>
      <c r="J52" s="468"/>
      <c r="K52" s="468"/>
    </row>
    <row r="53" spans="1:11" ht="12.75" customHeight="1" x14ac:dyDescent="0.2">
      <c r="A53" s="1515" t="s">
        <v>63</v>
      </c>
      <c r="B53" s="557">
        <v>1433</v>
      </c>
      <c r="C53" s="468"/>
      <c r="D53" s="468"/>
      <c r="E53" s="468"/>
      <c r="F53" s="466"/>
      <c r="G53" s="468"/>
      <c r="H53" s="468"/>
      <c r="I53" s="468"/>
      <c r="J53" s="468"/>
      <c r="K53" s="468"/>
    </row>
    <row r="54" spans="1:11" ht="12.75" customHeight="1" x14ac:dyDescent="0.2">
      <c r="A54" s="1515" t="s">
        <v>64</v>
      </c>
      <c r="B54" s="557">
        <v>1434</v>
      </c>
      <c r="C54" s="468"/>
      <c r="D54" s="468"/>
      <c r="E54" s="468"/>
      <c r="F54" s="467"/>
      <c r="G54" s="468"/>
      <c r="H54" s="468"/>
      <c r="I54" s="468"/>
      <c r="J54" s="468"/>
      <c r="K54" s="468"/>
    </row>
    <row r="55" spans="1:11" ht="12.75" customHeight="1" x14ac:dyDescent="0.2">
      <c r="A55" s="1515" t="s">
        <v>65</v>
      </c>
      <c r="B55" s="557">
        <v>1441</v>
      </c>
      <c r="C55" s="468"/>
      <c r="D55" s="468"/>
      <c r="E55" s="468"/>
      <c r="F55" s="466"/>
      <c r="G55" s="468"/>
      <c r="H55" s="468"/>
      <c r="I55" s="468"/>
      <c r="J55" s="468"/>
      <c r="K55" s="468"/>
    </row>
    <row r="56" spans="1:11" ht="12.75" customHeight="1" x14ac:dyDescent="0.2">
      <c r="A56" s="1515" t="s">
        <v>1169</v>
      </c>
      <c r="B56" s="557">
        <v>1442</v>
      </c>
      <c r="C56" s="468"/>
      <c r="D56" s="468"/>
      <c r="E56" s="468"/>
      <c r="F56" s="466"/>
      <c r="G56" s="468"/>
      <c r="H56" s="468"/>
      <c r="I56" s="468"/>
      <c r="J56" s="468"/>
      <c r="K56" s="468"/>
    </row>
    <row r="57" spans="1:11" ht="12.75" customHeight="1" x14ac:dyDescent="0.2">
      <c r="A57" s="1515" t="s">
        <v>510</v>
      </c>
      <c r="B57" s="557">
        <v>1443</v>
      </c>
      <c r="C57" s="468"/>
      <c r="D57" s="468"/>
      <c r="E57" s="468"/>
      <c r="F57" s="466"/>
      <c r="G57" s="468"/>
      <c r="H57" s="468"/>
      <c r="I57" s="468"/>
      <c r="J57" s="468"/>
      <c r="K57" s="468"/>
    </row>
    <row r="58" spans="1:11" ht="12.75" customHeight="1" x14ac:dyDescent="0.2">
      <c r="A58" s="1515" t="s">
        <v>67</v>
      </c>
      <c r="B58" s="557">
        <v>1444</v>
      </c>
      <c r="C58" s="468"/>
      <c r="D58" s="468"/>
      <c r="E58" s="468"/>
      <c r="F58" s="466"/>
      <c r="G58" s="468"/>
      <c r="H58" s="468"/>
      <c r="I58" s="468"/>
      <c r="J58" s="468"/>
      <c r="K58" s="468"/>
    </row>
    <row r="59" spans="1:11" ht="12.75" customHeight="1" x14ac:dyDescent="0.2">
      <c r="A59" s="1515" t="s">
        <v>933</v>
      </c>
      <c r="B59" s="557">
        <v>1451</v>
      </c>
      <c r="C59" s="468"/>
      <c r="D59" s="468"/>
      <c r="E59" s="468"/>
      <c r="F59" s="466"/>
      <c r="G59" s="468"/>
      <c r="H59" s="468"/>
      <c r="I59" s="468"/>
      <c r="J59" s="468"/>
      <c r="K59" s="468"/>
    </row>
    <row r="60" spans="1:11" ht="12.75" customHeight="1" x14ac:dyDescent="0.2">
      <c r="A60" s="1515"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6" t="s">
        <v>935</v>
      </c>
      <c r="B62" s="558">
        <v>1454</v>
      </c>
      <c r="C62" s="468"/>
      <c r="D62" s="468"/>
      <c r="E62" s="468"/>
      <c r="F62" s="467"/>
      <c r="G62" s="468"/>
      <c r="H62" s="468"/>
      <c r="I62" s="468"/>
      <c r="J62" s="468"/>
      <c r="K62" s="468"/>
    </row>
    <row r="63" spans="1:11" ht="12.75" customHeight="1" thickBot="1" x14ac:dyDescent="0.25">
      <c r="A63" s="1727" t="s">
        <v>506</v>
      </c>
      <c r="B63" s="1728"/>
      <c r="C63" s="468"/>
      <c r="D63" s="468"/>
      <c r="E63" s="468"/>
      <c r="F63" s="1707">
        <f>SUM(F42:F62)</f>
        <v>0</v>
      </c>
      <c r="G63" s="468"/>
      <c r="H63" s="468"/>
      <c r="I63" s="468"/>
      <c r="J63" s="468"/>
      <c r="K63" s="468"/>
    </row>
    <row r="64" spans="1:11" ht="15.75" customHeight="1" thickTop="1" x14ac:dyDescent="0.2">
      <c r="A64" s="1611" t="s">
        <v>474</v>
      </c>
      <c r="B64" s="1612">
        <v>1500</v>
      </c>
      <c r="C64" s="468"/>
      <c r="D64" s="468"/>
      <c r="E64" s="468"/>
      <c r="F64" s="468"/>
      <c r="G64" s="468"/>
      <c r="H64" s="468"/>
      <c r="I64" s="468"/>
      <c r="J64" s="468"/>
      <c r="K64" s="468"/>
    </row>
    <row r="65" spans="1:11" ht="12.75" customHeight="1" x14ac:dyDescent="0.2">
      <c r="A65" s="463" t="s">
        <v>568</v>
      </c>
      <c r="B65" s="470">
        <v>1510</v>
      </c>
      <c r="C65" s="466">
        <v>4444</v>
      </c>
      <c r="D65" s="466"/>
      <c r="E65" s="466"/>
      <c r="F65" s="467">
        <v>2</v>
      </c>
      <c r="G65" s="466">
        <v>3</v>
      </c>
      <c r="H65" s="466"/>
      <c r="I65" s="466">
        <v>367</v>
      </c>
      <c r="J65" s="467"/>
      <c r="K65" s="466">
        <v>97</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7" t="s">
        <v>507</v>
      </c>
      <c r="B67" s="1728"/>
      <c r="C67" s="1707">
        <f>SUM(C65:C66)</f>
        <v>4444</v>
      </c>
      <c r="D67" s="1707">
        <f t="shared" ref="D67:K67" si="2">SUM(D65:D66)</f>
        <v>0</v>
      </c>
      <c r="E67" s="1707">
        <f t="shared" si="2"/>
        <v>0</v>
      </c>
      <c r="F67" s="1707">
        <f t="shared" si="2"/>
        <v>2</v>
      </c>
      <c r="G67" s="1707">
        <f t="shared" si="2"/>
        <v>3</v>
      </c>
      <c r="H67" s="1707">
        <f t="shared" si="2"/>
        <v>0</v>
      </c>
      <c r="I67" s="1707">
        <f t="shared" si="2"/>
        <v>367</v>
      </c>
      <c r="J67" s="1707">
        <f t="shared" si="2"/>
        <v>0</v>
      </c>
      <c r="K67" s="1707">
        <f t="shared" si="2"/>
        <v>97</v>
      </c>
    </row>
    <row r="68" spans="1:11" ht="15.75" customHeight="1" thickTop="1" x14ac:dyDescent="0.2">
      <c r="A68" s="1611" t="s">
        <v>475</v>
      </c>
      <c r="B68" s="1613">
        <v>1600</v>
      </c>
      <c r="C68" s="553"/>
      <c r="D68" s="468"/>
      <c r="E68" s="468"/>
      <c r="F68" s="468"/>
      <c r="G68" s="468"/>
      <c r="H68" s="468"/>
      <c r="I68" s="468"/>
      <c r="J68" s="468"/>
      <c r="K68" s="468"/>
    </row>
    <row r="69" spans="1:11" ht="12.75" customHeight="1" x14ac:dyDescent="0.2">
      <c r="A69" s="463" t="s">
        <v>687</v>
      </c>
      <c r="B69" s="470">
        <v>1611</v>
      </c>
      <c r="C69" s="466">
        <v>26483</v>
      </c>
      <c r="D69" s="468"/>
      <c r="E69" s="468"/>
      <c r="F69" s="468"/>
      <c r="G69" s="468"/>
      <c r="H69" s="468"/>
      <c r="I69" s="468"/>
      <c r="J69" s="468"/>
      <c r="K69" s="468"/>
    </row>
    <row r="70" spans="1:11" ht="12.75" customHeight="1" x14ac:dyDescent="0.2">
      <c r="A70" s="463" t="s">
        <v>1054</v>
      </c>
      <c r="B70" s="470">
        <v>1612</v>
      </c>
      <c r="C70" s="551">
        <v>5064</v>
      </c>
      <c r="D70" s="468"/>
      <c r="E70" s="468"/>
      <c r="F70" s="468"/>
      <c r="G70" s="468"/>
      <c r="H70" s="468"/>
      <c r="I70" s="468"/>
      <c r="J70" s="468"/>
      <c r="K70" s="468"/>
    </row>
    <row r="71" spans="1:11" ht="12.75" customHeight="1" x14ac:dyDescent="0.2">
      <c r="A71" s="463" t="s">
        <v>291</v>
      </c>
      <c r="B71" s="470">
        <v>1613</v>
      </c>
      <c r="C71" s="551">
        <v>5569</v>
      </c>
      <c r="D71" s="468"/>
      <c r="E71" s="468"/>
      <c r="F71" s="468"/>
      <c r="G71" s="468"/>
      <c r="H71" s="468"/>
      <c r="I71" s="468"/>
      <c r="J71" s="468"/>
      <c r="K71" s="468"/>
    </row>
    <row r="72" spans="1:11" ht="12.75" customHeight="1" x14ac:dyDescent="0.2">
      <c r="A72" s="463" t="s">
        <v>24</v>
      </c>
      <c r="B72" s="470">
        <v>1614</v>
      </c>
      <c r="C72" s="551">
        <v>908</v>
      </c>
      <c r="D72" s="468"/>
      <c r="E72" s="468"/>
      <c r="F72" s="468"/>
      <c r="G72" s="468"/>
      <c r="H72" s="468"/>
      <c r="I72" s="468"/>
      <c r="J72" s="468"/>
      <c r="K72" s="468"/>
    </row>
    <row r="73" spans="1:11" ht="12.75" customHeight="1" x14ac:dyDescent="0.2">
      <c r="A73" s="463" t="s">
        <v>1055</v>
      </c>
      <c r="B73" s="470">
        <v>1620</v>
      </c>
      <c r="C73" s="551">
        <v>1721</v>
      </c>
      <c r="D73" s="468"/>
      <c r="E73" s="468"/>
      <c r="F73" s="468"/>
      <c r="G73" s="468"/>
      <c r="H73" s="468"/>
      <c r="I73" s="468"/>
      <c r="J73" s="468"/>
      <c r="K73" s="468"/>
    </row>
    <row r="74" spans="1:11" ht="12.75" customHeight="1" x14ac:dyDescent="0.2">
      <c r="A74" s="463" t="s">
        <v>25</v>
      </c>
      <c r="B74" s="470">
        <v>1690</v>
      </c>
      <c r="C74" s="551">
        <v>15</v>
      </c>
      <c r="D74" s="468"/>
      <c r="E74" s="468"/>
      <c r="F74" s="468"/>
      <c r="G74" s="468"/>
      <c r="H74" s="468"/>
      <c r="I74" s="468"/>
      <c r="J74" s="468"/>
      <c r="K74" s="468"/>
    </row>
    <row r="75" spans="1:11" ht="12.75" customHeight="1" thickBot="1" x14ac:dyDescent="0.25">
      <c r="A75" s="1727" t="s">
        <v>569</v>
      </c>
      <c r="B75" s="1728"/>
      <c r="C75" s="1707">
        <f>SUM(C69:C74)</f>
        <v>39760</v>
      </c>
      <c r="D75" s="468"/>
      <c r="E75" s="468"/>
      <c r="F75" s="468"/>
      <c r="G75" s="468"/>
      <c r="H75" s="468"/>
      <c r="I75" s="468"/>
      <c r="J75" s="468"/>
      <c r="K75" s="468"/>
    </row>
    <row r="76" spans="1:11" ht="15.75" customHeight="1" thickTop="1" x14ac:dyDescent="0.2">
      <c r="A76" s="1611" t="s">
        <v>936</v>
      </c>
      <c r="B76" s="1613">
        <v>1700</v>
      </c>
      <c r="C76" s="553"/>
      <c r="D76" s="468"/>
      <c r="E76" s="468"/>
      <c r="F76" s="468"/>
      <c r="G76" s="468"/>
      <c r="H76" s="468"/>
      <c r="I76" s="468"/>
      <c r="J76" s="468"/>
      <c r="K76" s="468"/>
    </row>
    <row r="77" spans="1:11" ht="12.75" customHeight="1" x14ac:dyDescent="0.2">
      <c r="A77" s="463" t="s">
        <v>570</v>
      </c>
      <c r="B77" s="470">
        <v>1711</v>
      </c>
      <c r="C77" s="516">
        <v>11854</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f>105+145+2021+1138+7</f>
        <v>3416</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f>7105+960</f>
        <v>8065</v>
      </c>
      <c r="D81" s="466"/>
      <c r="E81" s="468"/>
      <c r="F81" s="468"/>
      <c r="G81" s="468"/>
      <c r="H81" s="468"/>
      <c r="I81" s="468"/>
      <c r="J81" s="468"/>
      <c r="K81" s="468"/>
    </row>
    <row r="82" spans="1:11" ht="12.75" customHeight="1" thickBot="1" x14ac:dyDescent="0.25">
      <c r="A82" s="1727" t="s">
        <v>259</v>
      </c>
      <c r="B82" s="1728"/>
      <c r="C82" s="1726">
        <f>SUM(C77:C81)</f>
        <v>23335</v>
      </c>
      <c r="D82" s="1707">
        <f>SUM(D77:D81)</f>
        <v>0</v>
      </c>
      <c r="E82" s="468"/>
      <c r="F82" s="468"/>
      <c r="G82" s="468"/>
      <c r="H82" s="468"/>
      <c r="I82" s="468"/>
      <c r="J82" s="468"/>
      <c r="K82" s="468"/>
    </row>
    <row r="83" spans="1:11" ht="15.75" customHeight="1" thickTop="1" x14ac:dyDescent="0.2">
      <c r="A83" s="1611" t="s">
        <v>260</v>
      </c>
      <c r="B83" s="1613">
        <v>1800</v>
      </c>
      <c r="C83" s="553"/>
      <c r="D83" s="468"/>
      <c r="E83" s="468"/>
      <c r="F83" s="468"/>
      <c r="G83" s="468"/>
      <c r="H83" s="468"/>
      <c r="I83" s="468"/>
      <c r="J83" s="468"/>
      <c r="K83" s="468"/>
    </row>
    <row r="84" spans="1:11" ht="12.75" customHeight="1" x14ac:dyDescent="0.2">
      <c r="A84" s="463" t="s">
        <v>573</v>
      </c>
      <c r="B84" s="470">
        <v>1811</v>
      </c>
      <c r="C84" s="466">
        <v>14377</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7" t="s">
        <v>261</v>
      </c>
      <c r="B93" s="1728"/>
      <c r="C93" s="1707">
        <f>SUM(C84:C92)</f>
        <v>14377</v>
      </c>
      <c r="D93" s="468"/>
      <c r="E93" s="468"/>
      <c r="F93" s="468"/>
      <c r="G93" s="468"/>
      <c r="H93" s="468"/>
      <c r="I93" s="468"/>
      <c r="J93" s="468"/>
      <c r="K93" s="468"/>
    </row>
    <row r="94" spans="1:11" ht="15.75" customHeight="1" thickTop="1" x14ac:dyDescent="0.2">
      <c r="A94" s="1611" t="s">
        <v>1199</v>
      </c>
      <c r="B94" s="1613">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v>1056</v>
      </c>
      <c r="E96" s="479"/>
      <c r="F96" s="478"/>
      <c r="G96" s="478"/>
      <c r="H96" s="478"/>
      <c r="I96" s="478"/>
      <c r="J96" s="478"/>
      <c r="K96" s="478"/>
    </row>
    <row r="97" spans="1:12" ht="12.75" customHeight="1" x14ac:dyDescent="0.2">
      <c r="A97" s="1514"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7386</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1116</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v>129889</v>
      </c>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11232</v>
      </c>
      <c r="D107" s="466"/>
      <c r="E107" s="466"/>
      <c r="F107" s="466">
        <v>1049</v>
      </c>
      <c r="G107" s="466"/>
      <c r="H107" s="466"/>
      <c r="I107" s="466"/>
      <c r="J107" s="467"/>
      <c r="K107" s="466"/>
    </row>
    <row r="108" spans="1:12" ht="12.75" customHeight="1" thickBot="1" x14ac:dyDescent="0.25">
      <c r="A108" s="1727" t="s">
        <v>508</v>
      </c>
      <c r="B108" s="1731"/>
      <c r="C108" s="1726">
        <f>SUM(C95:C107)</f>
        <v>19734</v>
      </c>
      <c r="D108" s="1726">
        <f t="shared" ref="D108:K108" si="3">SUM(D95:D107)</f>
        <v>1056</v>
      </c>
      <c r="E108" s="1726">
        <f t="shared" si="3"/>
        <v>129889</v>
      </c>
      <c r="F108" s="1726">
        <f t="shared" si="3"/>
        <v>1049</v>
      </c>
      <c r="G108" s="1726">
        <f t="shared" si="3"/>
        <v>0</v>
      </c>
      <c r="H108" s="1726">
        <f t="shared" si="3"/>
        <v>0</v>
      </c>
      <c r="I108" s="1726">
        <f t="shared" si="3"/>
        <v>0</v>
      </c>
      <c r="J108" s="1726">
        <f t="shared" si="3"/>
        <v>0</v>
      </c>
      <c r="K108" s="1707">
        <f t="shared" si="3"/>
        <v>0</v>
      </c>
    </row>
    <row r="109" spans="1:12" ht="14.25" thickTop="1" thickBot="1" x14ac:dyDescent="0.25">
      <c r="A109" s="1732" t="s">
        <v>266</v>
      </c>
      <c r="B109" s="1733" t="s">
        <v>591</v>
      </c>
      <c r="C109" s="1734">
        <f t="shared" ref="C109:K109" si="4">SUM(C12,C18,C40,C63,C67,C75,C82,C93,C108,)</f>
        <v>1487920</v>
      </c>
      <c r="D109" s="1734">
        <f t="shared" si="4"/>
        <v>215055</v>
      </c>
      <c r="E109" s="1734">
        <f t="shared" si="4"/>
        <v>287845</v>
      </c>
      <c r="F109" s="1734">
        <f t="shared" si="4"/>
        <v>86651</v>
      </c>
      <c r="G109" s="1734">
        <f t="shared" si="4"/>
        <v>107811</v>
      </c>
      <c r="H109" s="1734">
        <f t="shared" si="4"/>
        <v>0</v>
      </c>
      <c r="I109" s="1734">
        <f t="shared" si="4"/>
        <v>21767</v>
      </c>
      <c r="J109" s="1734">
        <f t="shared" si="4"/>
        <v>229563</v>
      </c>
      <c r="K109" s="1721">
        <f t="shared" si="4"/>
        <v>21497</v>
      </c>
    </row>
    <row r="110" spans="1:12" ht="30" customHeight="1" thickTop="1" x14ac:dyDescent="0.2">
      <c r="A110" s="1604" t="s">
        <v>364</v>
      </c>
      <c r="B110" s="1605"/>
      <c r="C110" s="1590"/>
      <c r="D110" s="1590"/>
      <c r="E110" s="1590"/>
      <c r="F110" s="1590"/>
      <c r="G110" s="1590"/>
      <c r="H110" s="1590"/>
      <c r="I110" s="1590"/>
      <c r="J110" s="1590"/>
      <c r="K110" s="1591"/>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5" t="s">
        <v>839</v>
      </c>
      <c r="B114" s="1736" t="s">
        <v>590</v>
      </c>
      <c r="C114" s="1737">
        <f>SUM(C111:C113)</f>
        <v>0</v>
      </c>
      <c r="D114" s="1737">
        <f>SUM(D111:D113)</f>
        <v>0</v>
      </c>
      <c r="E114" s="561" t="s">
        <v>1231</v>
      </c>
      <c r="F114" s="1737">
        <f>SUM(F111:F113)</f>
        <v>0</v>
      </c>
      <c r="G114" s="1737">
        <f>SUM(G111:G113)</f>
        <v>0</v>
      </c>
      <c r="H114" s="561"/>
      <c r="I114" s="468"/>
      <c r="J114" s="468"/>
      <c r="K114" s="468"/>
    </row>
    <row r="115" spans="1:11" ht="16.7" customHeight="1" thickTop="1" x14ac:dyDescent="0.2">
      <c r="A115" s="1606" t="s">
        <v>836</v>
      </c>
      <c r="B115" s="1607"/>
      <c r="C115" s="1589"/>
      <c r="D115" s="1590"/>
      <c r="E115" s="1590"/>
      <c r="F115" s="1590"/>
      <c r="G115" s="1590"/>
      <c r="H115" s="1590"/>
      <c r="I115" s="1590"/>
      <c r="J115" s="1590"/>
      <c r="K115" s="1591"/>
    </row>
    <row r="116" spans="1:11" ht="18" customHeight="1" x14ac:dyDescent="0.2">
      <c r="A116" s="1614" t="s">
        <v>1571</v>
      </c>
      <c r="B116" s="1615"/>
      <c r="C116" s="522"/>
      <c r="D116" s="521"/>
      <c r="E116" s="561"/>
      <c r="F116" s="521"/>
      <c r="G116" s="521"/>
      <c r="H116" s="561"/>
      <c r="I116" s="468"/>
      <c r="J116" s="521"/>
      <c r="K116" s="521"/>
    </row>
    <row r="117" spans="1:11" ht="12.75" customHeight="1" x14ac:dyDescent="0.2">
      <c r="A117" s="463" t="s">
        <v>1766</v>
      </c>
      <c r="B117" s="562">
        <v>3001</v>
      </c>
      <c r="C117" s="516">
        <v>800204</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5" t="s">
        <v>1904</v>
      </c>
      <c r="B120" s="564">
        <v>3099</v>
      </c>
      <c r="C120" s="551"/>
      <c r="D120" s="466"/>
      <c r="E120" s="466"/>
      <c r="F120" s="466"/>
      <c r="G120" s="466"/>
      <c r="H120" s="466"/>
      <c r="I120" s="468"/>
      <c r="J120" s="467"/>
      <c r="K120" s="466"/>
    </row>
    <row r="121" spans="1:11" ht="12.6" customHeight="1" thickBot="1" x14ac:dyDescent="0.25">
      <c r="A121" s="1727" t="s">
        <v>509</v>
      </c>
      <c r="B121" s="1738"/>
      <c r="C121" s="1726">
        <f t="shared" ref="C121:H121" si="5">SUM(C117:C120)</f>
        <v>800204</v>
      </c>
      <c r="D121" s="1726">
        <f t="shared" si="5"/>
        <v>0</v>
      </c>
      <c r="E121" s="1726">
        <f t="shared" si="5"/>
        <v>0</v>
      </c>
      <c r="F121" s="1726">
        <f t="shared" si="5"/>
        <v>0</v>
      </c>
      <c r="G121" s="1726">
        <f t="shared" si="5"/>
        <v>0</v>
      </c>
      <c r="H121" s="1726">
        <f t="shared" si="5"/>
        <v>0</v>
      </c>
      <c r="I121" s="468"/>
      <c r="J121" s="1726">
        <f>SUM(J117:J120)</f>
        <v>0</v>
      </c>
      <c r="K121" s="1707">
        <f>SUM(K117:K120)</f>
        <v>0</v>
      </c>
    </row>
    <row r="122" spans="1:11" ht="15.75" customHeight="1" thickTop="1" x14ac:dyDescent="0.2">
      <c r="A122" s="1611" t="s">
        <v>1570</v>
      </c>
      <c r="B122" s="1616"/>
      <c r="C122" s="565"/>
      <c r="D122" s="509"/>
      <c r="E122" s="468"/>
      <c r="F122" s="566"/>
      <c r="G122" s="468"/>
      <c r="H122" s="468"/>
      <c r="I122" s="468"/>
      <c r="J122" s="468"/>
      <c r="K122" s="468"/>
    </row>
    <row r="123" spans="1:11" ht="15" customHeight="1" x14ac:dyDescent="0.2">
      <c r="A123" s="1617" t="s">
        <v>688</v>
      </c>
      <c r="B123" s="1618"/>
      <c r="C123" s="521"/>
      <c r="D123" s="509"/>
      <c r="E123" s="468"/>
      <c r="F123" s="521"/>
      <c r="G123" s="468"/>
      <c r="H123" s="468"/>
      <c r="I123" s="468"/>
      <c r="J123" s="468"/>
      <c r="K123" s="468"/>
    </row>
    <row r="124" spans="1:11" ht="12.75" customHeight="1" x14ac:dyDescent="0.2">
      <c r="A124" s="463" t="s">
        <v>921</v>
      </c>
      <c r="B124" s="567">
        <v>3100</v>
      </c>
      <c r="C124" s="481">
        <v>61644</v>
      </c>
      <c r="D124" s="561"/>
      <c r="E124" s="468"/>
      <c r="F124" s="548"/>
      <c r="G124" s="468"/>
      <c r="H124" s="468"/>
      <c r="I124" s="468"/>
      <c r="J124" s="468"/>
      <c r="K124" s="468"/>
    </row>
    <row r="125" spans="1:11" ht="12.75" customHeight="1" x14ac:dyDescent="0.2">
      <c r="A125" s="463" t="s">
        <v>1521</v>
      </c>
      <c r="B125" s="562">
        <v>3105</v>
      </c>
      <c r="C125" s="466">
        <v>19956</v>
      </c>
      <c r="D125" s="561"/>
      <c r="E125" s="468"/>
      <c r="F125" s="466"/>
      <c r="G125" s="468"/>
      <c r="H125" s="468"/>
      <c r="I125" s="468"/>
      <c r="J125" s="468"/>
      <c r="K125" s="468"/>
    </row>
    <row r="126" spans="1:11" ht="12.75" customHeight="1" x14ac:dyDescent="0.2">
      <c r="A126" s="463" t="s">
        <v>922</v>
      </c>
      <c r="B126" s="562">
        <v>3110</v>
      </c>
      <c r="C126" s="551">
        <v>30050</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7" t="s">
        <v>1092</v>
      </c>
      <c r="B131" s="1739"/>
      <c r="C131" s="1726">
        <f>SUM(C124:C130)</f>
        <v>111650</v>
      </c>
      <c r="D131" s="1726">
        <f>SUM(D124:D130)</f>
        <v>0</v>
      </c>
      <c r="E131" s="469" t="s">
        <v>1231</v>
      </c>
      <c r="F131" s="1726">
        <f>SUM(F124:F130)</f>
        <v>0</v>
      </c>
      <c r="G131" s="468" t="s">
        <v>1231</v>
      </c>
      <c r="H131" s="468" t="s">
        <v>1231</v>
      </c>
      <c r="I131" s="468" t="s">
        <v>1231</v>
      </c>
      <c r="J131" s="468" t="s">
        <v>1231</v>
      </c>
      <c r="K131" s="468" t="s">
        <v>1231</v>
      </c>
    </row>
    <row r="132" spans="1:11" ht="15.75" customHeight="1" thickTop="1" x14ac:dyDescent="0.2">
      <c r="A132" s="1619" t="s">
        <v>268</v>
      </c>
      <c r="B132" s="1620"/>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2017</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4110</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7" t="s">
        <v>624</v>
      </c>
      <c r="B140" s="1739"/>
      <c r="C140" s="1726">
        <f>SUM(C133:C139)</f>
        <v>6127</v>
      </c>
      <c r="D140" s="1726">
        <f>SUM(D133:D139)</f>
        <v>0</v>
      </c>
      <c r="E140" s="561" t="s">
        <v>1231</v>
      </c>
      <c r="F140" s="477"/>
      <c r="G140" s="1726">
        <f>SUM(G133:G139)</f>
        <v>0</v>
      </c>
      <c r="H140" s="468" t="s">
        <v>1231</v>
      </c>
      <c r="I140" s="468" t="s">
        <v>1231</v>
      </c>
      <c r="J140" s="468" t="s">
        <v>1231</v>
      </c>
      <c r="K140" s="468" t="s">
        <v>1231</v>
      </c>
    </row>
    <row r="141" spans="1:11" ht="15.75" customHeight="1" thickTop="1" x14ac:dyDescent="0.2">
      <c r="A141" s="1619" t="s">
        <v>691</v>
      </c>
      <c r="B141" s="1620"/>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7" t="s">
        <v>414</v>
      </c>
      <c r="B144" s="1739"/>
      <c r="C144" s="1707">
        <f>SUM(C142:C143)</f>
        <v>0</v>
      </c>
      <c r="D144" s="468"/>
      <c r="E144" s="509"/>
      <c r="F144" s="468"/>
      <c r="G144" s="1740">
        <f>SUM(G142:G143)</f>
        <v>0</v>
      </c>
      <c r="H144" s="468"/>
      <c r="I144" s="468"/>
      <c r="J144" s="468"/>
      <c r="K144" s="468"/>
    </row>
    <row r="145" spans="1:11" s="202" customFormat="1" ht="12.75" customHeight="1" thickTop="1" x14ac:dyDescent="0.2">
      <c r="A145" s="1517" t="s">
        <v>1116</v>
      </c>
      <c r="B145" s="568">
        <v>3360</v>
      </c>
      <c r="C145" s="569">
        <v>984</v>
      </c>
      <c r="D145" s="570"/>
      <c r="E145" s="509"/>
      <c r="F145" s="468"/>
      <c r="G145" s="571"/>
      <c r="H145" s="468"/>
      <c r="I145" s="468"/>
      <c r="J145" s="468"/>
      <c r="K145" s="468"/>
    </row>
    <row r="146" spans="1:11" ht="12.75" customHeight="1" thickBot="1" x14ac:dyDescent="0.25">
      <c r="A146" s="1518" t="s">
        <v>979</v>
      </c>
      <c r="B146" s="572">
        <v>3365</v>
      </c>
      <c r="C146" s="573"/>
      <c r="D146" s="532"/>
      <c r="E146" s="561"/>
      <c r="F146" s="468"/>
      <c r="G146" s="532"/>
      <c r="H146" s="468"/>
      <c r="I146" s="468"/>
      <c r="J146" s="468"/>
      <c r="K146" s="468"/>
    </row>
    <row r="147" spans="1:11" ht="12.75" customHeight="1" thickTop="1" thickBot="1" x14ac:dyDescent="0.25">
      <c r="A147" s="1519" t="s">
        <v>140</v>
      </c>
      <c r="B147" s="574">
        <v>3370</v>
      </c>
      <c r="C147" s="573">
        <v>4611</v>
      </c>
      <c r="D147" s="573"/>
      <c r="E147" s="509"/>
      <c r="F147" s="468"/>
      <c r="G147" s="468"/>
      <c r="H147" s="468"/>
      <c r="I147" s="468"/>
      <c r="J147" s="468"/>
      <c r="K147" s="468"/>
    </row>
    <row r="148" spans="1:11" ht="12.75" customHeight="1" thickTop="1" thickBot="1" x14ac:dyDescent="0.25">
      <c r="A148" s="1519" t="s">
        <v>791</v>
      </c>
      <c r="B148" s="574">
        <v>3410</v>
      </c>
      <c r="C148" s="575"/>
      <c r="D148" s="576"/>
      <c r="E148" s="577"/>
      <c r="F148" s="530"/>
      <c r="G148" s="530"/>
      <c r="H148" s="530"/>
      <c r="I148" s="530"/>
      <c r="J148" s="530"/>
      <c r="K148" s="530"/>
    </row>
    <row r="149" spans="1:11" ht="12.75" customHeight="1" thickTop="1" thickBot="1" x14ac:dyDescent="0.25">
      <c r="A149" s="1519" t="s">
        <v>70</v>
      </c>
      <c r="B149" s="574">
        <v>3499</v>
      </c>
      <c r="C149" s="575"/>
      <c r="D149" s="576"/>
      <c r="E149" s="532"/>
      <c r="F149" s="532"/>
      <c r="G149" s="532"/>
      <c r="H149" s="532"/>
      <c r="I149" s="532"/>
      <c r="J149" s="532"/>
      <c r="K149" s="532"/>
    </row>
    <row r="150" spans="1:11" ht="15.75" customHeight="1" thickTop="1" x14ac:dyDescent="0.2">
      <c r="A150" s="1619" t="s">
        <v>473</v>
      </c>
      <c r="B150" s="1621"/>
      <c r="C150" s="553"/>
      <c r="D150" s="468"/>
      <c r="E150" s="561"/>
      <c r="F150" s="468"/>
      <c r="G150" s="468"/>
      <c r="H150" s="468"/>
      <c r="I150" s="468"/>
      <c r="J150" s="468"/>
      <c r="K150" s="468"/>
    </row>
    <row r="151" spans="1:11" ht="12.75" customHeight="1" x14ac:dyDescent="0.2">
      <c r="A151" s="463" t="s">
        <v>1523</v>
      </c>
      <c r="B151" s="562">
        <v>3500</v>
      </c>
      <c r="C151" s="551"/>
      <c r="D151" s="466"/>
      <c r="E151" s="561"/>
      <c r="F151" s="466">
        <v>32017</v>
      </c>
      <c r="G151" s="467"/>
      <c r="H151" s="468"/>
      <c r="I151" s="468"/>
      <c r="J151" s="468"/>
      <c r="K151" s="468"/>
    </row>
    <row r="152" spans="1:11" ht="12.75" customHeight="1" x14ac:dyDescent="0.2">
      <c r="A152" s="463" t="s">
        <v>1117</v>
      </c>
      <c r="B152" s="562">
        <v>3510</v>
      </c>
      <c r="C152" s="551"/>
      <c r="D152" s="466"/>
      <c r="E152" s="561"/>
      <c r="F152" s="466">
        <v>50759</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7" t="s">
        <v>96</v>
      </c>
      <c r="B154" s="1739"/>
      <c r="C154" s="1726">
        <f>SUM(C151:C153)</f>
        <v>0</v>
      </c>
      <c r="D154" s="1726">
        <f>SUM(D151:D153)</f>
        <v>0</v>
      </c>
      <c r="E154" s="561"/>
      <c r="F154" s="1726">
        <f>SUM(F151:F153)</f>
        <v>82776</v>
      </c>
      <c r="G154" s="1726">
        <f>SUM(G151:G153)</f>
        <v>0</v>
      </c>
      <c r="H154" s="468"/>
      <c r="I154" s="468"/>
      <c r="J154" s="468"/>
      <c r="K154" s="468"/>
    </row>
    <row r="155" spans="1:11" ht="12.75" customHeight="1" thickTop="1" thickBot="1" x14ac:dyDescent="0.25">
      <c r="A155" s="1519" t="s">
        <v>398</v>
      </c>
      <c r="B155" s="574">
        <v>3610</v>
      </c>
      <c r="C155" s="576"/>
      <c r="D155" s="468"/>
      <c r="E155" s="509"/>
      <c r="F155" s="468"/>
      <c r="G155" s="468"/>
      <c r="H155" s="468"/>
      <c r="I155" s="468"/>
      <c r="J155" s="468"/>
      <c r="K155" s="468"/>
    </row>
    <row r="156" spans="1:11" ht="12.75" customHeight="1" thickTop="1" thickBot="1" x14ac:dyDescent="0.25">
      <c r="A156" s="1519" t="s">
        <v>52</v>
      </c>
      <c r="B156" s="574">
        <v>3660</v>
      </c>
      <c r="C156" s="573"/>
      <c r="D156" s="578"/>
      <c r="E156" s="561"/>
      <c r="F156" s="578"/>
      <c r="G156" s="578"/>
      <c r="H156" s="468"/>
      <c r="I156" s="468"/>
      <c r="J156" s="468"/>
      <c r="K156" s="468"/>
    </row>
    <row r="157" spans="1:11" ht="12.75" customHeight="1" thickTop="1" thickBot="1" x14ac:dyDescent="0.25">
      <c r="A157" s="1519" t="s">
        <v>1057</v>
      </c>
      <c r="B157" s="574">
        <v>3695</v>
      </c>
      <c r="C157" s="576"/>
      <c r="D157" s="468"/>
      <c r="E157" s="561"/>
      <c r="F157" s="576"/>
      <c r="G157" s="576"/>
      <c r="H157" s="468"/>
      <c r="I157" s="468"/>
      <c r="J157" s="468"/>
      <c r="K157" s="468"/>
    </row>
    <row r="158" spans="1:11" ht="12.75" customHeight="1" thickTop="1" thickBot="1" x14ac:dyDescent="0.25">
      <c r="A158" s="1519" t="s">
        <v>1111</v>
      </c>
      <c r="B158" s="574">
        <v>3705</v>
      </c>
      <c r="C158" s="576">
        <f>133878+38461</f>
        <v>172339</v>
      </c>
      <c r="D158" s="578"/>
      <c r="E158" s="561"/>
      <c r="F158" s="576">
        <v>12669</v>
      </c>
      <c r="G158" s="576"/>
      <c r="H158" s="468"/>
      <c r="I158" s="468"/>
      <c r="J158" s="468"/>
      <c r="K158" s="468"/>
    </row>
    <row r="159" spans="1:11" ht="12.75" customHeight="1" thickTop="1" thickBot="1" x14ac:dyDescent="0.25">
      <c r="A159" s="1519" t="s">
        <v>39</v>
      </c>
      <c r="B159" s="574">
        <v>3715</v>
      </c>
      <c r="C159" s="576"/>
      <c r="D159" s="468"/>
      <c r="E159" s="561"/>
      <c r="F159" s="576"/>
      <c r="G159" s="576"/>
      <c r="H159" s="468"/>
      <c r="I159" s="468"/>
      <c r="J159" s="468"/>
      <c r="K159" s="468"/>
    </row>
    <row r="160" spans="1:11" ht="12.75" customHeight="1" thickTop="1" thickBot="1" x14ac:dyDescent="0.25">
      <c r="A160" s="1519" t="s">
        <v>40</v>
      </c>
      <c r="B160" s="574">
        <v>3720</v>
      </c>
      <c r="C160" s="576"/>
      <c r="D160" s="468"/>
      <c r="E160" s="561"/>
      <c r="F160" s="576"/>
      <c r="G160" s="576"/>
      <c r="H160" s="468"/>
      <c r="I160" s="468"/>
      <c r="J160" s="468"/>
      <c r="K160" s="468"/>
    </row>
    <row r="161" spans="1:11" ht="12.75" customHeight="1" thickTop="1" thickBot="1" x14ac:dyDescent="0.25">
      <c r="A161" s="1519" t="s">
        <v>415</v>
      </c>
      <c r="B161" s="574">
        <v>3725</v>
      </c>
      <c r="C161" s="531"/>
      <c r="D161" s="468"/>
      <c r="E161" s="561"/>
      <c r="F161" s="531"/>
      <c r="G161" s="531"/>
      <c r="H161" s="468"/>
      <c r="I161" s="468"/>
      <c r="J161" s="468"/>
      <c r="K161" s="468"/>
    </row>
    <row r="162" spans="1:11" ht="12.75" customHeight="1" thickTop="1" thickBot="1" x14ac:dyDescent="0.25">
      <c r="A162" s="1519" t="s">
        <v>416</v>
      </c>
      <c r="B162" s="574">
        <v>3726</v>
      </c>
      <c r="C162" s="531"/>
      <c r="D162" s="468"/>
      <c r="E162" s="561"/>
      <c r="F162" s="531"/>
      <c r="G162" s="531"/>
      <c r="H162" s="468"/>
      <c r="I162" s="468"/>
      <c r="J162" s="468"/>
      <c r="K162" s="468"/>
    </row>
    <row r="163" spans="1:11" ht="12.75" customHeight="1" thickTop="1" thickBot="1" x14ac:dyDescent="0.25">
      <c r="A163" s="1519" t="s">
        <v>41</v>
      </c>
      <c r="B163" s="574">
        <v>3766</v>
      </c>
      <c r="C163" s="576"/>
      <c r="D163" s="578"/>
      <c r="E163" s="561"/>
      <c r="F163" s="576"/>
      <c r="G163" s="531"/>
      <c r="H163" s="468"/>
      <c r="I163" s="468"/>
      <c r="J163" s="468"/>
      <c r="K163" s="468"/>
    </row>
    <row r="164" spans="1:11" ht="12.75" customHeight="1" thickTop="1" thickBot="1" x14ac:dyDescent="0.25">
      <c r="A164" s="1519" t="s">
        <v>1042</v>
      </c>
      <c r="B164" s="574">
        <v>3767</v>
      </c>
      <c r="C164" s="576"/>
      <c r="D164" s="531"/>
      <c r="E164" s="561"/>
      <c r="F164" s="531"/>
      <c r="G164" s="531"/>
      <c r="H164" s="468"/>
      <c r="I164" s="468"/>
      <c r="J164" s="468"/>
      <c r="K164" s="468"/>
    </row>
    <row r="165" spans="1:11" ht="12.75" customHeight="1" thickTop="1" thickBot="1" x14ac:dyDescent="0.25">
      <c r="A165" s="1519" t="s">
        <v>1043</v>
      </c>
      <c r="B165" s="574">
        <v>3775</v>
      </c>
      <c r="C165" s="576"/>
      <c r="D165" s="573"/>
      <c r="E165" s="530"/>
      <c r="F165" s="573"/>
      <c r="G165" s="532"/>
      <c r="H165" s="530"/>
      <c r="I165" s="468"/>
      <c r="J165" s="468"/>
      <c r="K165" s="530"/>
    </row>
    <row r="166" spans="1:11" ht="12.75" customHeight="1" thickTop="1" thickBot="1" x14ac:dyDescent="0.25">
      <c r="A166" s="1519" t="s">
        <v>1524</v>
      </c>
      <c r="B166" s="574">
        <v>3780</v>
      </c>
      <c r="C166" s="531"/>
      <c r="D166" s="530"/>
      <c r="E166" s="531"/>
      <c r="F166" s="531"/>
      <c r="G166" s="531"/>
      <c r="H166" s="531"/>
      <c r="I166" s="468"/>
      <c r="J166" s="468"/>
      <c r="K166" s="531"/>
    </row>
    <row r="167" spans="1:11" ht="12.75" customHeight="1" thickTop="1" thickBot="1" x14ac:dyDescent="0.25">
      <c r="A167" s="1519" t="s">
        <v>913</v>
      </c>
      <c r="B167" s="574">
        <v>3815</v>
      </c>
      <c r="C167" s="576"/>
      <c r="D167" s="468"/>
      <c r="E167" s="561"/>
      <c r="F167" s="576"/>
      <c r="G167" s="468"/>
      <c r="H167" s="468"/>
      <c r="I167" s="468"/>
      <c r="J167" s="468"/>
      <c r="K167" s="468"/>
    </row>
    <row r="168" spans="1:11" ht="12.75" customHeight="1" thickTop="1" thickBot="1" x14ac:dyDescent="0.25">
      <c r="A168" s="1519" t="s">
        <v>417</v>
      </c>
      <c r="B168" s="574">
        <v>3825</v>
      </c>
      <c r="C168" s="576"/>
      <c r="D168" s="468"/>
      <c r="E168" s="561"/>
      <c r="F168" s="576"/>
      <c r="G168" s="468"/>
      <c r="H168" s="468"/>
      <c r="I168" s="468"/>
      <c r="J168" s="468"/>
      <c r="K168" s="468"/>
    </row>
    <row r="169" spans="1:11" ht="12.75" customHeight="1" thickTop="1" thickBot="1" x14ac:dyDescent="0.25">
      <c r="A169" s="1519" t="s">
        <v>366</v>
      </c>
      <c r="B169" s="574">
        <v>3920</v>
      </c>
      <c r="C169" s="566"/>
      <c r="D169" s="578"/>
      <c r="E169" s="468"/>
      <c r="F169" s="566"/>
      <c r="G169" s="468"/>
      <c r="H169" s="530"/>
      <c r="I169" s="468"/>
      <c r="J169" s="468"/>
      <c r="K169" s="468"/>
    </row>
    <row r="170" spans="1:11" ht="12.75" customHeight="1" thickTop="1" thickBot="1" x14ac:dyDescent="0.25">
      <c r="A170" s="1519" t="s">
        <v>367</v>
      </c>
      <c r="B170" s="574">
        <v>3925</v>
      </c>
      <c r="C170" s="521"/>
      <c r="D170" s="576"/>
      <c r="E170" s="521"/>
      <c r="F170" s="521"/>
      <c r="G170" s="468"/>
      <c r="H170" s="531"/>
      <c r="I170" s="468"/>
      <c r="J170" s="468"/>
      <c r="K170" s="530"/>
    </row>
    <row r="171" spans="1:11" ht="14.25" thickTop="1" thickBot="1" x14ac:dyDescent="0.25">
      <c r="A171" s="1519" t="s">
        <v>72</v>
      </c>
      <c r="B171" s="574">
        <v>3999</v>
      </c>
      <c r="C171" s="579">
        <v>750</v>
      </c>
      <c r="D171" s="580"/>
      <c r="E171" s="580"/>
      <c r="F171" s="580"/>
      <c r="G171" s="581"/>
      <c r="H171" s="582"/>
      <c r="I171" s="581"/>
      <c r="J171" s="581"/>
      <c r="K171" s="582"/>
    </row>
    <row r="172" spans="1:11" ht="12.75" customHeight="1" thickTop="1" thickBot="1" x14ac:dyDescent="0.25">
      <c r="A172" s="2212" t="s">
        <v>418</v>
      </c>
      <c r="B172" s="2213"/>
      <c r="C172" s="1741">
        <f t="shared" ref="C172:K172" si="6">SUM(C131,C140,C144,C145:C149,C154,C155:C170,C171)</f>
        <v>296461</v>
      </c>
      <c r="D172" s="1741">
        <f t="shared" si="6"/>
        <v>0</v>
      </c>
      <c r="E172" s="1741">
        <f t="shared" si="6"/>
        <v>0</v>
      </c>
      <c r="F172" s="1741">
        <f t="shared" si="6"/>
        <v>95445</v>
      </c>
      <c r="G172" s="1741">
        <f t="shared" si="6"/>
        <v>0</v>
      </c>
      <c r="H172" s="1741">
        <f t="shared" si="6"/>
        <v>0</v>
      </c>
      <c r="I172" s="1741">
        <f t="shared" si="6"/>
        <v>0</v>
      </c>
      <c r="J172" s="1741">
        <f t="shared" si="6"/>
        <v>0</v>
      </c>
      <c r="K172" s="1722">
        <f t="shared" si="6"/>
        <v>0</v>
      </c>
    </row>
    <row r="173" spans="1:11" ht="12.75" customHeight="1" thickTop="1" thickBot="1" x14ac:dyDescent="0.25">
      <c r="A173" s="1727" t="s">
        <v>419</v>
      </c>
      <c r="B173" s="1733" t="s">
        <v>596</v>
      </c>
      <c r="C173" s="1734">
        <f>SUM(C121,C172)</f>
        <v>1096665</v>
      </c>
      <c r="D173" s="1734">
        <f>SUM(D121,D172)</f>
        <v>0</v>
      </c>
      <c r="E173" s="1734">
        <f>SUM(E121,E172)</f>
        <v>0</v>
      </c>
      <c r="F173" s="1734">
        <f t="shared" ref="F173:K173" si="7">SUM(F121,F172)</f>
        <v>95445</v>
      </c>
      <c r="G173" s="1734">
        <f t="shared" si="7"/>
        <v>0</v>
      </c>
      <c r="H173" s="1734">
        <f t="shared" si="7"/>
        <v>0</v>
      </c>
      <c r="I173" s="1734">
        <f t="shared" si="7"/>
        <v>0</v>
      </c>
      <c r="J173" s="1734">
        <f t="shared" si="7"/>
        <v>0</v>
      </c>
      <c r="K173" s="1721">
        <f t="shared" si="7"/>
        <v>0</v>
      </c>
    </row>
    <row r="174" spans="1:11" ht="16.7" customHeight="1" thickTop="1" x14ac:dyDescent="0.2">
      <c r="A174" s="1608" t="s">
        <v>837</v>
      </c>
      <c r="B174" s="1586"/>
      <c r="C174" s="1589"/>
      <c r="D174" s="1590"/>
      <c r="E174" s="1590"/>
      <c r="F174" s="1590"/>
      <c r="G174" s="1590"/>
      <c r="H174" s="1590"/>
      <c r="I174" s="1590"/>
      <c r="J174" s="1590"/>
      <c r="K174" s="1591"/>
    </row>
    <row r="175" spans="1:11" ht="15.75" customHeight="1" x14ac:dyDescent="0.2">
      <c r="A175" s="2214" t="s">
        <v>1572</v>
      </c>
      <c r="B175" s="221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218" t="s">
        <v>1764</v>
      </c>
      <c r="B178" s="2219"/>
      <c r="C178" s="1726">
        <f>SUM(C176:C177)</f>
        <v>0</v>
      </c>
      <c r="D178" s="1726">
        <f t="shared" ref="D178:K178" si="8">SUM(D176:D177)</f>
        <v>0</v>
      </c>
      <c r="E178" s="1726">
        <f t="shared" si="8"/>
        <v>0</v>
      </c>
      <c r="F178" s="1726">
        <f t="shared" si="8"/>
        <v>0</v>
      </c>
      <c r="G178" s="1726">
        <f t="shared" si="8"/>
        <v>0</v>
      </c>
      <c r="H178" s="1726">
        <f t="shared" si="8"/>
        <v>0</v>
      </c>
      <c r="I178" s="1726">
        <f t="shared" si="8"/>
        <v>0</v>
      </c>
      <c r="J178" s="1726">
        <f t="shared" si="8"/>
        <v>0</v>
      </c>
      <c r="K178" s="1707">
        <f t="shared" si="8"/>
        <v>0</v>
      </c>
    </row>
    <row r="179" spans="1:11" s="457" customFormat="1" ht="15.75" customHeight="1" thickTop="1" x14ac:dyDescent="0.2">
      <c r="A179" s="2222" t="s">
        <v>1763</v>
      </c>
      <c r="B179" s="222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220" t="s">
        <v>818</v>
      </c>
      <c r="B184" s="2221"/>
      <c r="C184" s="1726">
        <f>SUM(C180:C183)</f>
        <v>0</v>
      </c>
      <c r="D184" s="1726">
        <f>SUM(D180:D183)</f>
        <v>0</v>
      </c>
      <c r="E184" s="468"/>
      <c r="F184" s="1726">
        <f>SUM(F180:F183)</f>
        <v>0</v>
      </c>
      <c r="G184" s="1726">
        <f>SUM(G180:G183)</f>
        <v>0</v>
      </c>
      <c r="H184" s="1726">
        <f>SUM(H180:H183)</f>
        <v>0</v>
      </c>
      <c r="I184" s="468"/>
      <c r="J184" s="468"/>
      <c r="K184" s="1707">
        <f>SUM(K180:K183)</f>
        <v>0</v>
      </c>
    </row>
    <row r="185" spans="1:11" ht="22.5" customHeight="1" thickTop="1" x14ac:dyDescent="0.2">
      <c r="A185" s="2216" t="s">
        <v>1906</v>
      </c>
      <c r="B185" s="2217"/>
      <c r="C185" s="584"/>
      <c r="D185" s="566"/>
      <c r="E185" s="509"/>
      <c r="F185" s="566"/>
      <c r="G185" s="566"/>
      <c r="H185" s="468"/>
      <c r="I185" s="468"/>
      <c r="J185" s="468"/>
      <c r="K185" s="468"/>
    </row>
    <row r="186" spans="1:11" ht="15.75" customHeight="1" x14ac:dyDescent="0.2">
      <c r="A186" s="1622" t="s">
        <v>1692</v>
      </c>
      <c r="B186" s="1623"/>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18259</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7" t="s">
        <v>1697</v>
      </c>
      <c r="B191" s="1728"/>
      <c r="C191" s="1726">
        <f>SUM(C187:C190)</f>
        <v>18259</v>
      </c>
      <c r="D191" s="1726">
        <f>SUM(D187:D190)</f>
        <v>0</v>
      </c>
      <c r="E191" s="561"/>
      <c r="F191" s="1726">
        <f>SUM(F187:F190)</f>
        <v>0</v>
      </c>
      <c r="G191" s="1726">
        <f>SUM(G187:G190)</f>
        <v>0</v>
      </c>
      <c r="H191" s="468"/>
      <c r="I191" s="468"/>
      <c r="J191" s="468"/>
      <c r="K191" s="468"/>
    </row>
    <row r="192" spans="1:11" ht="15.75" customHeight="1" thickTop="1" x14ac:dyDescent="0.2">
      <c r="A192" s="1619" t="s">
        <v>475</v>
      </c>
      <c r="B192" s="1624"/>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48899</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16004</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7" t="s">
        <v>569</v>
      </c>
      <c r="B201" s="1728"/>
      <c r="C201" s="1707">
        <f>SUM(C193:C200)</f>
        <v>64903</v>
      </c>
      <c r="D201" s="468"/>
      <c r="E201" s="468"/>
      <c r="F201" s="468"/>
      <c r="G201" s="1707">
        <f>SUM(G193:G200)</f>
        <v>0</v>
      </c>
      <c r="H201" s="468"/>
      <c r="I201" s="468"/>
      <c r="J201" s="468"/>
      <c r="K201" s="468"/>
    </row>
    <row r="202" spans="1:11" ht="15.75" customHeight="1" thickTop="1" x14ac:dyDescent="0.2">
      <c r="A202" s="1619" t="s">
        <v>1200</v>
      </c>
      <c r="B202" s="1624"/>
      <c r="C202" s="553"/>
      <c r="D202" s="468"/>
      <c r="E202" s="468"/>
      <c r="F202" s="468"/>
      <c r="G202" s="468"/>
      <c r="H202" s="468"/>
      <c r="I202" s="468"/>
      <c r="J202" s="468"/>
      <c r="K202" s="468"/>
    </row>
    <row r="203" spans="1:11" ht="12.75" customHeight="1" x14ac:dyDescent="0.2">
      <c r="A203" s="463" t="s">
        <v>974</v>
      </c>
      <c r="B203" s="470">
        <v>4300</v>
      </c>
      <c r="C203" s="466">
        <v>34477</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7" t="s">
        <v>420</v>
      </c>
      <c r="B211" s="1728"/>
      <c r="C211" s="1726">
        <f>SUM(C203:C210)</f>
        <v>34477</v>
      </c>
      <c r="D211" s="1726">
        <f>SUM(D203:D210)</f>
        <v>0</v>
      </c>
      <c r="E211" s="468"/>
      <c r="F211" s="1726">
        <f>SUM(F203:F210)</f>
        <v>0</v>
      </c>
      <c r="G211" s="1726">
        <f>SUM(G203:G210)</f>
        <v>0</v>
      </c>
      <c r="H211" s="468"/>
      <c r="I211" s="468"/>
      <c r="J211" s="468"/>
      <c r="K211" s="468"/>
    </row>
    <row r="212" spans="1:11" ht="15.75" customHeight="1" thickTop="1" x14ac:dyDescent="0.2">
      <c r="A212" s="1619" t="s">
        <v>1201</v>
      </c>
      <c r="B212" s="1624"/>
      <c r="C212" s="553"/>
      <c r="D212" s="553"/>
      <c r="E212" s="468"/>
      <c r="F212" s="553"/>
      <c r="G212" s="553"/>
      <c r="H212" s="468"/>
      <c r="I212" s="468"/>
      <c r="J212" s="468"/>
      <c r="K212" s="468"/>
    </row>
    <row r="213" spans="1:11" ht="12.75" customHeight="1" x14ac:dyDescent="0.2">
      <c r="A213" s="463" t="s">
        <v>783</v>
      </c>
      <c r="B213" s="470">
        <v>4400</v>
      </c>
      <c r="C213" s="551">
        <v>2509</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7" t="s">
        <v>944</v>
      </c>
      <c r="B216" s="1728"/>
      <c r="C216" s="1726">
        <f>SUM(C213:C215)</f>
        <v>2509</v>
      </c>
      <c r="D216" s="1726">
        <f>SUM(D213:D215)</f>
        <v>0</v>
      </c>
      <c r="E216" s="468" t="s">
        <v>1231</v>
      </c>
      <c r="F216" s="1726">
        <f>SUM(F213:F215)</f>
        <v>0</v>
      </c>
      <c r="G216" s="1726">
        <f>SUM(G213:G215)</f>
        <v>0</v>
      </c>
      <c r="H216" s="468"/>
      <c r="I216" s="468"/>
      <c r="J216" s="468"/>
      <c r="K216" s="468"/>
    </row>
    <row r="217" spans="1:11" ht="15.75" customHeight="1" thickTop="1" x14ac:dyDescent="0.2">
      <c r="A217" s="1619" t="s">
        <v>1154</v>
      </c>
      <c r="B217" s="1624"/>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0" t="s">
        <v>76</v>
      </c>
      <c r="B223" s="557">
        <v>4699</v>
      </c>
      <c r="C223" s="551"/>
      <c r="D223" s="466"/>
      <c r="E223" s="468"/>
      <c r="F223" s="466"/>
      <c r="G223" s="466"/>
      <c r="H223" s="468"/>
      <c r="I223" s="468"/>
      <c r="J223" s="468"/>
      <c r="K223" s="468"/>
    </row>
    <row r="224" spans="1:11" ht="12.75" customHeight="1" thickBot="1" x14ac:dyDescent="0.25">
      <c r="A224" s="1727" t="s">
        <v>467</v>
      </c>
      <c r="B224" s="1728"/>
      <c r="C224" s="1726">
        <f>SUM(C218:C223)</f>
        <v>0</v>
      </c>
      <c r="D224" s="1726">
        <f>SUM(D218:D223)</f>
        <v>0</v>
      </c>
      <c r="E224" s="468"/>
      <c r="F224" s="1726">
        <f>SUM(F218:F223)</f>
        <v>0</v>
      </c>
      <c r="G224" s="1726">
        <f>SUM(G218:G223)</f>
        <v>0</v>
      </c>
      <c r="H224" s="468"/>
      <c r="I224" s="468"/>
      <c r="J224" s="468"/>
      <c r="K224" s="468"/>
    </row>
    <row r="225" spans="1:11" ht="15.75" customHeight="1" thickTop="1" x14ac:dyDescent="0.2">
      <c r="A225" s="1619" t="s">
        <v>1155</v>
      </c>
      <c r="B225" s="1624"/>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2" t="s">
        <v>1145</v>
      </c>
      <c r="B228" s="1743"/>
      <c r="C228" s="1726">
        <f>SUM(C226:C227)</f>
        <v>0</v>
      </c>
      <c r="D228" s="1726">
        <f>SUM(D226:D227)</f>
        <v>0</v>
      </c>
      <c r="E228" s="468"/>
      <c r="F228" s="468"/>
      <c r="G228" s="1726">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4" t="s">
        <v>798</v>
      </c>
      <c r="B259" s="1745"/>
      <c r="C259" s="1737">
        <f t="shared" ref="C259:H259" si="9">SUM(C230:C258)</f>
        <v>0</v>
      </c>
      <c r="D259" s="1726">
        <f t="shared" si="9"/>
        <v>0</v>
      </c>
      <c r="E259" s="1726">
        <f t="shared" si="9"/>
        <v>0</v>
      </c>
      <c r="F259" s="1726">
        <f t="shared" si="9"/>
        <v>0</v>
      </c>
      <c r="G259" s="1726">
        <f t="shared" si="9"/>
        <v>0</v>
      </c>
      <c r="H259" s="1726">
        <f t="shared" si="9"/>
        <v>0</v>
      </c>
      <c r="I259" s="553"/>
      <c r="J259" s="1726">
        <f>SUM(J230:J258)</f>
        <v>0</v>
      </c>
      <c r="K259" s="1707">
        <f>SUM(K230:K258)</f>
        <v>0</v>
      </c>
    </row>
    <row r="260" spans="1:11" ht="12.75" customHeight="1" thickTop="1" thickBot="1" x14ac:dyDescent="0.25">
      <c r="A260" s="1521" t="s">
        <v>1493</v>
      </c>
      <c r="B260" s="588">
        <v>4901</v>
      </c>
      <c r="C260" s="589"/>
      <c r="D260" s="469"/>
      <c r="E260" s="468"/>
      <c r="F260" s="468"/>
      <c r="G260" s="468"/>
      <c r="H260" s="468"/>
      <c r="I260" s="468"/>
      <c r="J260" s="468"/>
      <c r="K260" s="468"/>
    </row>
    <row r="261" spans="1:11" ht="12.75" customHeight="1" thickTop="1" thickBot="1" x14ac:dyDescent="0.25">
      <c r="A261" s="1522"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1845</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7" t="s">
        <v>1765</v>
      </c>
      <c r="B273" s="1746"/>
      <c r="C273" s="1734">
        <f t="shared" ref="C273:H273" si="10">SUM(C191,C201,C211,C216,C224,C228,C229,C259:C272)</f>
        <v>121993</v>
      </c>
      <c r="D273" s="1734">
        <f t="shared" si="10"/>
        <v>0</v>
      </c>
      <c r="E273" s="1734">
        <f t="shared" si="10"/>
        <v>0</v>
      </c>
      <c r="F273" s="1734">
        <f t="shared" si="10"/>
        <v>0</v>
      </c>
      <c r="G273" s="1734">
        <f t="shared" si="10"/>
        <v>0</v>
      </c>
      <c r="H273" s="1734">
        <f t="shared" si="10"/>
        <v>0</v>
      </c>
      <c r="I273" s="468"/>
      <c r="J273" s="1734">
        <f>SUM(J191,J201,J211,J216,J224,J228,J229,J259:J272)</f>
        <v>0</v>
      </c>
      <c r="K273" s="1721">
        <f>SUM(K191,K201,K211,K216,K224,K228,K229,K259:K272)</f>
        <v>0</v>
      </c>
    </row>
    <row r="274" spans="1:11" ht="14.25" thickTop="1" thickBot="1" x14ac:dyDescent="0.25">
      <c r="A274" s="1747" t="s">
        <v>1147</v>
      </c>
      <c r="B274" s="1748" t="s">
        <v>915</v>
      </c>
      <c r="C274" s="1734">
        <f>SUM(C178,C184,C273)</f>
        <v>121993</v>
      </c>
      <c r="D274" s="1734">
        <f>SUM(D178,D184,D273)</f>
        <v>0</v>
      </c>
      <c r="E274" s="1734">
        <f>SUM(E178,E273)</f>
        <v>0</v>
      </c>
      <c r="F274" s="1734">
        <f t="shared" ref="F274:K274" si="11">SUM(F178,F184,F273)</f>
        <v>0</v>
      </c>
      <c r="G274" s="1734">
        <f t="shared" si="11"/>
        <v>0</v>
      </c>
      <c r="H274" s="1734">
        <f t="shared" si="11"/>
        <v>0</v>
      </c>
      <c r="I274" s="1734">
        <f t="shared" si="11"/>
        <v>0</v>
      </c>
      <c r="J274" s="1734">
        <f t="shared" si="11"/>
        <v>0</v>
      </c>
      <c r="K274" s="1721">
        <f t="shared" si="11"/>
        <v>0</v>
      </c>
    </row>
    <row r="275" spans="1:11" ht="14.25" thickTop="1" thickBot="1" x14ac:dyDescent="0.25">
      <c r="A275" s="1749" t="s">
        <v>269</v>
      </c>
      <c r="B275" s="1750"/>
      <c r="C275" s="1734">
        <f t="shared" ref="C275:K275" si="12">SUM(C109,C114,C173,C274)</f>
        <v>2706578</v>
      </c>
      <c r="D275" s="1734">
        <f t="shared" si="12"/>
        <v>215055</v>
      </c>
      <c r="E275" s="1734">
        <f t="shared" si="12"/>
        <v>287845</v>
      </c>
      <c r="F275" s="1734">
        <f t="shared" si="12"/>
        <v>182096</v>
      </c>
      <c r="G275" s="1734">
        <f t="shared" si="12"/>
        <v>107811</v>
      </c>
      <c r="H275" s="1734">
        <f t="shared" si="12"/>
        <v>0</v>
      </c>
      <c r="I275" s="1734">
        <f t="shared" si="12"/>
        <v>21767</v>
      </c>
      <c r="J275" s="1734">
        <f t="shared" si="12"/>
        <v>229563</v>
      </c>
      <c r="K275" s="1721">
        <f t="shared" si="12"/>
        <v>21497</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orizontalCentered="1" headings="1" gridLines="1"/>
  <pageMargins left="0.5" right="0.5" top="1.4" bottom="0.75" header="1" footer="0.5"/>
  <pageSetup scale="69" firstPageNumber="9" fitToHeight="6"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view="pageBreakPreview" colorId="8" zoomScaleNormal="110" zoomScaleSheetLayoutView="100" workbookViewId="0">
      <pane ySplit="2" topLeftCell="A189" activePane="bottomLeft" state="frozen"/>
      <selection activeCell="A47" sqref="A47"/>
      <selection pane="bottomLeft" activeCell="K170" sqref="K17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9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22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230" t="s">
        <v>315</v>
      </c>
      <c r="B3" s="2231"/>
      <c r="C3" s="1567"/>
      <c r="D3" s="1567"/>
      <c r="E3" s="1567"/>
      <c r="F3" s="1567"/>
      <c r="G3" s="1567"/>
      <c r="H3" s="1567"/>
      <c r="I3" s="1567"/>
      <c r="J3" s="1567"/>
      <c r="K3" s="1568"/>
      <c r="L3" s="1569"/>
      <c r="M3" s="610"/>
      <c r="N3" s="610"/>
    </row>
    <row r="4" spans="1:14" s="259" customFormat="1" ht="15.75" customHeight="1" x14ac:dyDescent="0.2">
      <c r="A4" s="1625" t="s">
        <v>46</v>
      </c>
      <c r="B4" s="1626" t="s">
        <v>591</v>
      </c>
      <c r="C4" s="611"/>
      <c r="D4" s="611"/>
      <c r="E4" s="611"/>
      <c r="F4" s="611"/>
      <c r="G4" s="611"/>
      <c r="H4" s="611"/>
      <c r="I4" s="612"/>
      <c r="J4" s="611"/>
      <c r="K4" s="613"/>
      <c r="L4" s="611"/>
      <c r="M4" s="614"/>
      <c r="N4" s="614"/>
    </row>
    <row r="5" spans="1:14" x14ac:dyDescent="0.2">
      <c r="A5" s="1523" t="s">
        <v>1018</v>
      </c>
      <c r="B5" s="615">
        <v>1100</v>
      </c>
      <c r="C5" s="466">
        <f>129092+4674+1431+301247+25817+10856+405846+28335+3205+938+3189+1809</f>
        <v>916439</v>
      </c>
      <c r="D5" s="466">
        <f>2048+21359+4509+50429+5876+70703</f>
        <v>154924</v>
      </c>
      <c r="E5" s="466">
        <f>2322+2578+2589+405</f>
        <v>7894</v>
      </c>
      <c r="F5" s="466">
        <f>3146+5476+1854+220+2637+262+70-27</f>
        <v>13638</v>
      </c>
      <c r="G5" s="466">
        <v>1104</v>
      </c>
      <c r="H5" s="466"/>
      <c r="I5" s="467"/>
      <c r="J5" s="467"/>
      <c r="K5" s="1690">
        <f>SUM(C5:J5)</f>
        <v>1093999</v>
      </c>
      <c r="L5" s="466">
        <v>1136488</v>
      </c>
    </row>
    <row r="6" spans="1:14" x14ac:dyDescent="0.2">
      <c r="A6" s="1523" t="s">
        <v>1508</v>
      </c>
      <c r="B6" s="615" t="s">
        <v>1506</v>
      </c>
      <c r="C6" s="477"/>
      <c r="D6" s="477"/>
      <c r="E6" s="466"/>
      <c r="F6" s="477"/>
      <c r="G6" s="477"/>
      <c r="H6" s="477"/>
      <c r="I6" s="477"/>
      <c r="J6" s="477"/>
      <c r="K6" s="1690">
        <f>SUM(C6,E6)</f>
        <v>0</v>
      </c>
      <c r="L6" s="466"/>
    </row>
    <row r="7" spans="1:14" x14ac:dyDescent="0.2">
      <c r="A7" s="1523" t="s">
        <v>165</v>
      </c>
      <c r="B7" s="615" t="s">
        <v>1024</v>
      </c>
      <c r="C7" s="467">
        <f>40246+6247+600+15619+910+1222</f>
        <v>64844</v>
      </c>
      <c r="D7" s="467">
        <f>594+7+34</f>
        <v>635</v>
      </c>
      <c r="E7" s="467">
        <f>2369+2510+2482+2807+1876</f>
        <v>12044</v>
      </c>
      <c r="F7" s="467">
        <f>10791+2618+3527+1213+1101</f>
        <v>19250</v>
      </c>
      <c r="G7" s="467">
        <v>11490</v>
      </c>
      <c r="H7" s="467"/>
      <c r="I7" s="467"/>
      <c r="J7" s="467"/>
      <c r="K7" s="1690">
        <f t="shared" ref="K7:K32" si="0">SUM(C7:J7)</f>
        <v>108263</v>
      </c>
      <c r="L7" s="466">
        <v>110922</v>
      </c>
    </row>
    <row r="8" spans="1:14" x14ac:dyDescent="0.2">
      <c r="A8" s="1523" t="s">
        <v>166</v>
      </c>
      <c r="B8" s="615">
        <v>1200</v>
      </c>
      <c r="C8" s="466">
        <f>1200+9097+1299</f>
        <v>11596</v>
      </c>
      <c r="D8" s="466">
        <v>147</v>
      </c>
      <c r="E8" s="466">
        <v>217</v>
      </c>
      <c r="F8" s="466">
        <v>120</v>
      </c>
      <c r="G8" s="466">
        <v>1632</v>
      </c>
      <c r="H8" s="466"/>
      <c r="I8" s="467"/>
      <c r="J8" s="467"/>
      <c r="K8" s="1690">
        <f t="shared" si="0"/>
        <v>13712</v>
      </c>
      <c r="L8" s="466">
        <v>8450</v>
      </c>
    </row>
    <row r="9" spans="1:14" x14ac:dyDescent="0.2">
      <c r="A9" s="1523" t="s">
        <v>745</v>
      </c>
      <c r="B9" s="615" t="s">
        <v>1025</v>
      </c>
      <c r="C9" s="467"/>
      <c r="D9" s="467"/>
      <c r="E9" s="467"/>
      <c r="F9" s="467"/>
      <c r="G9" s="467"/>
      <c r="H9" s="467"/>
      <c r="I9" s="467"/>
      <c r="J9" s="467"/>
      <c r="K9" s="1690">
        <f t="shared" si="0"/>
        <v>0</v>
      </c>
      <c r="L9" s="466"/>
    </row>
    <row r="10" spans="1:14" x14ac:dyDescent="0.2">
      <c r="A10" s="1523" t="s">
        <v>746</v>
      </c>
      <c r="B10" s="615">
        <v>1250</v>
      </c>
      <c r="C10" s="466">
        <f>23599+9327</f>
        <v>32926</v>
      </c>
      <c r="D10" s="466">
        <v>2742</v>
      </c>
      <c r="E10" s="466"/>
      <c r="F10" s="466"/>
      <c r="G10" s="466"/>
      <c r="H10" s="466"/>
      <c r="I10" s="467"/>
      <c r="J10" s="467"/>
      <c r="K10" s="1690">
        <f t="shared" si="0"/>
        <v>35668</v>
      </c>
      <c r="L10" s="466">
        <v>48363</v>
      </c>
    </row>
    <row r="11" spans="1:14" x14ac:dyDescent="0.2">
      <c r="A11" s="1523" t="s">
        <v>1192</v>
      </c>
      <c r="B11" s="615" t="s">
        <v>163</v>
      </c>
      <c r="C11" s="467"/>
      <c r="D11" s="467"/>
      <c r="E11" s="467"/>
      <c r="F11" s="467"/>
      <c r="G11" s="467"/>
      <c r="H11" s="467"/>
      <c r="I11" s="467"/>
      <c r="J11" s="467"/>
      <c r="K11" s="1690">
        <f t="shared" si="0"/>
        <v>0</v>
      </c>
      <c r="L11" s="466"/>
    </row>
    <row r="12" spans="1:14" x14ac:dyDescent="0.2">
      <c r="A12" s="1523" t="s">
        <v>1019</v>
      </c>
      <c r="B12" s="615">
        <v>1300</v>
      </c>
      <c r="C12" s="466"/>
      <c r="D12" s="466"/>
      <c r="E12" s="466"/>
      <c r="F12" s="466"/>
      <c r="G12" s="466"/>
      <c r="H12" s="466"/>
      <c r="I12" s="467"/>
      <c r="J12" s="467"/>
      <c r="K12" s="1690">
        <f t="shared" si="0"/>
        <v>0</v>
      </c>
      <c r="L12" s="466"/>
    </row>
    <row r="13" spans="1:14" x14ac:dyDescent="0.2">
      <c r="A13" s="1523" t="s">
        <v>747</v>
      </c>
      <c r="B13" s="615">
        <v>1400</v>
      </c>
      <c r="C13" s="466">
        <f>33813+6852+4879+80+52665+440</f>
        <v>98729</v>
      </c>
      <c r="D13" s="466">
        <f>665+100+7220+209+780+7120</f>
        <v>16094</v>
      </c>
      <c r="E13" s="466">
        <v>45</v>
      </c>
      <c r="F13" s="466">
        <f>1737+457+588</f>
        <v>2782</v>
      </c>
      <c r="G13" s="466">
        <f>510+1698</f>
        <v>2208</v>
      </c>
      <c r="H13" s="466">
        <v>406</v>
      </c>
      <c r="I13" s="467"/>
      <c r="J13" s="467"/>
      <c r="K13" s="1690">
        <f t="shared" si="0"/>
        <v>120264</v>
      </c>
      <c r="L13" s="466">
        <v>115700</v>
      </c>
    </row>
    <row r="14" spans="1:14" x14ac:dyDescent="0.2">
      <c r="A14" s="1523" t="s">
        <v>1020</v>
      </c>
      <c r="B14" s="615">
        <v>1500</v>
      </c>
      <c r="C14" s="466">
        <f>20988+32599+5836</f>
        <v>59423</v>
      </c>
      <c r="D14" s="466">
        <f>374+34</f>
        <v>408</v>
      </c>
      <c r="E14" s="466">
        <v>16205</v>
      </c>
      <c r="F14" s="466">
        <f>2596+43</f>
        <v>2639</v>
      </c>
      <c r="G14" s="466"/>
      <c r="H14" s="466">
        <v>1770</v>
      </c>
      <c r="I14" s="467"/>
      <c r="J14" s="467"/>
      <c r="K14" s="1690">
        <f t="shared" si="0"/>
        <v>80445</v>
      </c>
      <c r="L14" s="466">
        <v>80535</v>
      </c>
    </row>
    <row r="15" spans="1:14" x14ac:dyDescent="0.2">
      <c r="A15" s="1523" t="s">
        <v>1021</v>
      </c>
      <c r="B15" s="615">
        <v>1600</v>
      </c>
      <c r="C15" s="466"/>
      <c r="D15" s="466"/>
      <c r="E15" s="466"/>
      <c r="F15" s="466"/>
      <c r="G15" s="466"/>
      <c r="H15" s="466"/>
      <c r="I15" s="467"/>
      <c r="J15" s="467"/>
      <c r="K15" s="1690">
        <f t="shared" si="0"/>
        <v>0</v>
      </c>
      <c r="L15" s="466"/>
    </row>
    <row r="16" spans="1:14" x14ac:dyDescent="0.2">
      <c r="A16" s="1523" t="s">
        <v>1044</v>
      </c>
      <c r="B16" s="615" t="s">
        <v>444</v>
      </c>
      <c r="C16" s="466"/>
      <c r="D16" s="466"/>
      <c r="E16" s="466"/>
      <c r="F16" s="466"/>
      <c r="G16" s="466"/>
      <c r="H16" s="466"/>
      <c r="I16" s="467"/>
      <c r="J16" s="467"/>
      <c r="K16" s="1690">
        <f t="shared" si="0"/>
        <v>0</v>
      </c>
      <c r="L16" s="466"/>
    </row>
    <row r="17" spans="1:12" x14ac:dyDescent="0.2">
      <c r="A17" s="1523" t="s">
        <v>748</v>
      </c>
      <c r="B17" s="615" t="s">
        <v>164</v>
      </c>
      <c r="C17" s="467">
        <v>13159</v>
      </c>
      <c r="D17" s="467"/>
      <c r="E17" s="467"/>
      <c r="F17" s="467">
        <v>309</v>
      </c>
      <c r="G17" s="467"/>
      <c r="H17" s="467"/>
      <c r="I17" s="467"/>
      <c r="J17" s="467"/>
      <c r="K17" s="1690">
        <f t="shared" si="0"/>
        <v>13468</v>
      </c>
      <c r="L17" s="466">
        <v>3110</v>
      </c>
    </row>
    <row r="18" spans="1:12" x14ac:dyDescent="0.2">
      <c r="A18" s="1523" t="s">
        <v>1148</v>
      </c>
      <c r="B18" s="615">
        <v>1800</v>
      </c>
      <c r="C18" s="466"/>
      <c r="D18" s="466"/>
      <c r="E18" s="466"/>
      <c r="F18" s="466"/>
      <c r="G18" s="466"/>
      <c r="H18" s="466"/>
      <c r="I18" s="467"/>
      <c r="J18" s="467"/>
      <c r="K18" s="1690">
        <f t="shared" si="0"/>
        <v>0</v>
      </c>
      <c r="L18" s="466"/>
    </row>
    <row r="19" spans="1:12" x14ac:dyDescent="0.2">
      <c r="A19" s="1523" t="s">
        <v>136</v>
      </c>
      <c r="B19" s="615">
        <v>1900</v>
      </c>
      <c r="C19" s="466"/>
      <c r="D19" s="466"/>
      <c r="E19" s="466"/>
      <c r="F19" s="466"/>
      <c r="G19" s="466"/>
      <c r="H19" s="466"/>
      <c r="I19" s="467"/>
      <c r="J19" s="467"/>
      <c r="K19" s="1690">
        <f t="shared" si="0"/>
        <v>0</v>
      </c>
      <c r="L19" s="466"/>
    </row>
    <row r="20" spans="1:12" x14ac:dyDescent="0.2">
      <c r="A20" s="1524" t="s">
        <v>762</v>
      </c>
      <c r="B20" s="603" t="s">
        <v>749</v>
      </c>
      <c r="C20" s="477"/>
      <c r="D20" s="477"/>
      <c r="E20" s="477"/>
      <c r="F20" s="477"/>
      <c r="G20" s="477"/>
      <c r="H20" s="474"/>
      <c r="I20" s="617"/>
      <c r="J20" s="475"/>
      <c r="K20" s="1690">
        <f t="shared" si="0"/>
        <v>0</v>
      </c>
      <c r="L20" s="471"/>
    </row>
    <row r="21" spans="1:12" x14ac:dyDescent="0.2">
      <c r="A21" s="1524" t="s">
        <v>763</v>
      </c>
      <c r="B21" s="603" t="s">
        <v>750</v>
      </c>
      <c r="C21" s="477"/>
      <c r="D21" s="477"/>
      <c r="E21" s="477"/>
      <c r="F21" s="477"/>
      <c r="G21" s="477"/>
      <c r="H21" s="474"/>
      <c r="I21" s="617"/>
      <c r="J21" s="477"/>
      <c r="K21" s="1690">
        <f t="shared" si="0"/>
        <v>0</v>
      </c>
      <c r="L21" s="471"/>
    </row>
    <row r="22" spans="1:12" x14ac:dyDescent="0.2">
      <c r="A22" s="1524" t="s">
        <v>764</v>
      </c>
      <c r="B22" s="603" t="s">
        <v>751</v>
      </c>
      <c r="C22" s="477"/>
      <c r="D22" s="477"/>
      <c r="E22" s="477"/>
      <c r="F22" s="477"/>
      <c r="G22" s="477"/>
      <c r="H22" s="474">
        <v>64120</v>
      </c>
      <c r="I22" s="617"/>
      <c r="J22" s="477"/>
      <c r="K22" s="1690">
        <f t="shared" si="0"/>
        <v>64120</v>
      </c>
      <c r="L22" s="471">
        <v>115000</v>
      </c>
    </row>
    <row r="23" spans="1:12" x14ac:dyDescent="0.2">
      <c r="A23" s="1524" t="s">
        <v>765</v>
      </c>
      <c r="B23" s="603" t="s">
        <v>752</v>
      </c>
      <c r="C23" s="477"/>
      <c r="D23" s="477"/>
      <c r="E23" s="477"/>
      <c r="F23" s="477"/>
      <c r="G23" s="477"/>
      <c r="H23" s="474"/>
      <c r="I23" s="617"/>
      <c r="J23" s="477"/>
      <c r="K23" s="1690">
        <f t="shared" si="0"/>
        <v>0</v>
      </c>
      <c r="L23" s="471"/>
    </row>
    <row r="24" spans="1:12" ht="12.75" customHeight="1" x14ac:dyDescent="0.2">
      <c r="A24" s="1524" t="s">
        <v>766</v>
      </c>
      <c r="B24" s="603" t="s">
        <v>753</v>
      </c>
      <c r="C24" s="477"/>
      <c r="D24" s="477"/>
      <c r="E24" s="477"/>
      <c r="F24" s="477"/>
      <c r="G24" s="477"/>
      <c r="H24" s="474"/>
      <c r="I24" s="617"/>
      <c r="J24" s="477"/>
      <c r="K24" s="1690">
        <f t="shared" si="0"/>
        <v>0</v>
      </c>
      <c r="L24" s="471"/>
    </row>
    <row r="25" spans="1:12" ht="12.75" customHeight="1" x14ac:dyDescent="0.2">
      <c r="A25" s="1524" t="s">
        <v>835</v>
      </c>
      <c r="B25" s="603" t="s">
        <v>754</v>
      </c>
      <c r="C25" s="477"/>
      <c r="D25" s="477"/>
      <c r="E25" s="477"/>
      <c r="F25" s="477"/>
      <c r="G25" s="477"/>
      <c r="H25" s="474"/>
      <c r="I25" s="617"/>
      <c r="J25" s="477"/>
      <c r="K25" s="1690">
        <f t="shared" si="0"/>
        <v>0</v>
      </c>
      <c r="L25" s="471"/>
    </row>
    <row r="26" spans="1:12" x14ac:dyDescent="0.2">
      <c r="A26" s="1524" t="s">
        <v>643</v>
      </c>
      <c r="B26" s="603" t="s">
        <v>755</v>
      </c>
      <c r="C26" s="477"/>
      <c r="D26" s="477"/>
      <c r="E26" s="477"/>
      <c r="F26" s="477"/>
      <c r="G26" s="477"/>
      <c r="H26" s="474"/>
      <c r="I26" s="617"/>
      <c r="J26" s="477"/>
      <c r="K26" s="1690">
        <f t="shared" si="0"/>
        <v>0</v>
      </c>
      <c r="L26" s="471"/>
    </row>
    <row r="27" spans="1:12" x14ac:dyDescent="0.2">
      <c r="A27" s="1524" t="s">
        <v>644</v>
      </c>
      <c r="B27" s="603" t="s">
        <v>756</v>
      </c>
      <c r="C27" s="477"/>
      <c r="D27" s="477"/>
      <c r="E27" s="477"/>
      <c r="F27" s="477"/>
      <c r="G27" s="477"/>
      <c r="H27" s="474"/>
      <c r="I27" s="617"/>
      <c r="J27" s="477"/>
      <c r="K27" s="1690">
        <f t="shared" si="0"/>
        <v>0</v>
      </c>
      <c r="L27" s="471"/>
    </row>
    <row r="28" spans="1:12" x14ac:dyDescent="0.2">
      <c r="A28" s="1524" t="s">
        <v>152</v>
      </c>
      <c r="B28" s="603" t="s">
        <v>757</v>
      </c>
      <c r="C28" s="477"/>
      <c r="D28" s="477"/>
      <c r="E28" s="477"/>
      <c r="F28" s="477"/>
      <c r="G28" s="477"/>
      <c r="H28" s="474"/>
      <c r="I28" s="617"/>
      <c r="J28" s="477"/>
      <c r="K28" s="1690">
        <f t="shared" si="0"/>
        <v>0</v>
      </c>
      <c r="L28" s="471"/>
    </row>
    <row r="29" spans="1:12" x14ac:dyDescent="0.2">
      <c r="A29" s="1524" t="s">
        <v>153</v>
      </c>
      <c r="B29" s="603" t="s">
        <v>758</v>
      </c>
      <c r="C29" s="477"/>
      <c r="D29" s="477"/>
      <c r="E29" s="477"/>
      <c r="F29" s="477"/>
      <c r="G29" s="477"/>
      <c r="H29" s="474"/>
      <c r="I29" s="617"/>
      <c r="J29" s="477"/>
      <c r="K29" s="1690">
        <f t="shared" si="0"/>
        <v>0</v>
      </c>
      <c r="L29" s="471"/>
    </row>
    <row r="30" spans="1:12" x14ac:dyDescent="0.2">
      <c r="A30" s="1524" t="s">
        <v>154</v>
      </c>
      <c r="B30" s="603" t="s">
        <v>759</v>
      </c>
      <c r="C30" s="477"/>
      <c r="D30" s="477"/>
      <c r="E30" s="477"/>
      <c r="F30" s="477"/>
      <c r="G30" s="477"/>
      <c r="H30" s="474"/>
      <c r="I30" s="617"/>
      <c r="J30" s="477"/>
      <c r="K30" s="1690">
        <f t="shared" si="0"/>
        <v>0</v>
      </c>
      <c r="L30" s="471"/>
    </row>
    <row r="31" spans="1:12" x14ac:dyDescent="0.2">
      <c r="A31" s="1524" t="s">
        <v>155</v>
      </c>
      <c r="B31" s="603" t="s">
        <v>760</v>
      </c>
      <c r="C31" s="477"/>
      <c r="D31" s="477"/>
      <c r="E31" s="477"/>
      <c r="F31" s="477"/>
      <c r="G31" s="477"/>
      <c r="H31" s="474"/>
      <c r="I31" s="617"/>
      <c r="J31" s="477"/>
      <c r="K31" s="1690">
        <f t="shared" si="0"/>
        <v>0</v>
      </c>
      <c r="L31" s="471"/>
    </row>
    <row r="32" spans="1:12" x14ac:dyDescent="0.2">
      <c r="A32" s="1525" t="s">
        <v>1191</v>
      </c>
      <c r="B32" s="615" t="s">
        <v>761</v>
      </c>
      <c r="C32" s="477"/>
      <c r="D32" s="477"/>
      <c r="E32" s="477"/>
      <c r="F32" s="477"/>
      <c r="G32" s="477"/>
      <c r="H32" s="474"/>
      <c r="I32" s="617"/>
      <c r="J32" s="480"/>
      <c r="K32" s="1690">
        <f t="shared" si="0"/>
        <v>0</v>
      </c>
      <c r="L32" s="471"/>
    </row>
    <row r="33" spans="1:14" ht="12.75" customHeight="1" thickBot="1" x14ac:dyDescent="0.25">
      <c r="A33" s="1687" t="s">
        <v>1767</v>
      </c>
      <c r="B33" s="1688" t="s">
        <v>591</v>
      </c>
      <c r="C33" s="1689">
        <f>SUM(C5:C32)</f>
        <v>1197116</v>
      </c>
      <c r="D33" s="1689">
        <f t="shared" ref="D33:L33" si="1">SUM(D5:D32)</f>
        <v>174950</v>
      </c>
      <c r="E33" s="1689">
        <f t="shared" si="1"/>
        <v>36405</v>
      </c>
      <c r="F33" s="1689">
        <f t="shared" si="1"/>
        <v>38738</v>
      </c>
      <c r="G33" s="1689">
        <f t="shared" si="1"/>
        <v>16434</v>
      </c>
      <c r="H33" s="1689">
        <f t="shared" si="1"/>
        <v>66296</v>
      </c>
      <c r="I33" s="1689">
        <f t="shared" si="1"/>
        <v>0</v>
      </c>
      <c r="J33" s="1689">
        <f t="shared" si="1"/>
        <v>0</v>
      </c>
      <c r="K33" s="1689">
        <f t="shared" si="1"/>
        <v>1529939</v>
      </c>
      <c r="L33" s="1689">
        <f t="shared" si="1"/>
        <v>1618568</v>
      </c>
    </row>
    <row r="34" spans="1:14" s="621" customFormat="1" ht="15.75" customHeight="1" thickTop="1" x14ac:dyDescent="0.2">
      <c r="A34" s="1627" t="s">
        <v>48</v>
      </c>
      <c r="B34" s="1628"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3" t="s">
        <v>1150</v>
      </c>
      <c r="B36" s="615">
        <v>2110</v>
      </c>
      <c r="C36" s="481"/>
      <c r="D36" s="481"/>
      <c r="E36" s="481"/>
      <c r="F36" s="481"/>
      <c r="G36" s="481"/>
      <c r="H36" s="481"/>
      <c r="I36" s="467"/>
      <c r="J36" s="467"/>
      <c r="K36" s="1690">
        <f t="shared" ref="K36:K41" si="2">SUM(C36:J36)</f>
        <v>0</v>
      </c>
      <c r="L36" s="466"/>
    </row>
    <row r="37" spans="1:14" x14ac:dyDescent="0.2">
      <c r="A37" s="1523" t="s">
        <v>1151</v>
      </c>
      <c r="B37" s="615">
        <v>2120</v>
      </c>
      <c r="C37" s="466">
        <f>42119+3252</f>
        <v>45371</v>
      </c>
      <c r="D37" s="466">
        <f>670+7120</f>
        <v>7790</v>
      </c>
      <c r="E37" s="466">
        <v>214</v>
      </c>
      <c r="F37" s="466"/>
      <c r="G37" s="466"/>
      <c r="H37" s="466"/>
      <c r="I37" s="467"/>
      <c r="J37" s="467"/>
      <c r="K37" s="1690">
        <f t="shared" si="2"/>
        <v>53375</v>
      </c>
      <c r="L37" s="466">
        <v>50800</v>
      </c>
    </row>
    <row r="38" spans="1:14" x14ac:dyDescent="0.2">
      <c r="A38" s="1523" t="s">
        <v>207</v>
      </c>
      <c r="B38" s="615">
        <v>2130</v>
      </c>
      <c r="C38" s="466"/>
      <c r="D38" s="466"/>
      <c r="E38" s="466">
        <v>2840</v>
      </c>
      <c r="F38" s="466">
        <v>141</v>
      </c>
      <c r="G38" s="466"/>
      <c r="H38" s="466"/>
      <c r="I38" s="467"/>
      <c r="J38" s="467"/>
      <c r="K38" s="1690">
        <f t="shared" si="2"/>
        <v>2981</v>
      </c>
      <c r="L38" s="466">
        <v>3000</v>
      </c>
    </row>
    <row r="39" spans="1:14" x14ac:dyDescent="0.2">
      <c r="A39" s="1523" t="s">
        <v>208</v>
      </c>
      <c r="B39" s="615">
        <v>2140</v>
      </c>
      <c r="C39" s="466"/>
      <c r="D39" s="466"/>
      <c r="E39" s="466"/>
      <c r="F39" s="466"/>
      <c r="G39" s="466"/>
      <c r="H39" s="466"/>
      <c r="I39" s="467"/>
      <c r="J39" s="467"/>
      <c r="K39" s="1690">
        <f t="shared" si="2"/>
        <v>0</v>
      </c>
      <c r="L39" s="466"/>
    </row>
    <row r="40" spans="1:14" x14ac:dyDescent="0.2">
      <c r="A40" s="1523" t="s">
        <v>209</v>
      </c>
      <c r="B40" s="615">
        <v>2150</v>
      </c>
      <c r="C40" s="466"/>
      <c r="D40" s="466"/>
      <c r="E40" s="466"/>
      <c r="F40" s="466"/>
      <c r="G40" s="466"/>
      <c r="H40" s="466"/>
      <c r="I40" s="467"/>
      <c r="J40" s="467"/>
      <c r="K40" s="1690">
        <f t="shared" si="2"/>
        <v>0</v>
      </c>
      <c r="L40" s="466"/>
    </row>
    <row r="41" spans="1:14" x14ac:dyDescent="0.2">
      <c r="A41" s="1523" t="s">
        <v>1768</v>
      </c>
      <c r="B41" s="615">
        <v>2190</v>
      </c>
      <c r="C41" s="466"/>
      <c r="D41" s="466"/>
      <c r="E41" s="466"/>
      <c r="F41" s="466"/>
      <c r="G41" s="466"/>
      <c r="H41" s="466"/>
      <c r="I41" s="467"/>
      <c r="J41" s="467"/>
      <c r="K41" s="1690">
        <f t="shared" si="2"/>
        <v>0</v>
      </c>
      <c r="L41" s="466"/>
    </row>
    <row r="42" spans="1:14" ht="12.75" customHeight="1" thickBot="1" x14ac:dyDescent="0.25">
      <c r="A42" s="1687" t="s">
        <v>581</v>
      </c>
      <c r="B42" s="1688" t="s">
        <v>740</v>
      </c>
      <c r="C42" s="1689">
        <f>SUM(C36:C41)</f>
        <v>45371</v>
      </c>
      <c r="D42" s="1689">
        <f t="shared" ref="D42:L42" si="3">SUM(D36:D41)</f>
        <v>7790</v>
      </c>
      <c r="E42" s="1689">
        <f t="shared" si="3"/>
        <v>3054</v>
      </c>
      <c r="F42" s="1689">
        <f t="shared" si="3"/>
        <v>141</v>
      </c>
      <c r="G42" s="1689">
        <f t="shared" si="3"/>
        <v>0</v>
      </c>
      <c r="H42" s="1689">
        <f t="shared" si="3"/>
        <v>0</v>
      </c>
      <c r="I42" s="1689">
        <f t="shared" si="3"/>
        <v>0</v>
      </c>
      <c r="J42" s="1689">
        <f t="shared" si="3"/>
        <v>0</v>
      </c>
      <c r="K42" s="1689">
        <f t="shared" si="3"/>
        <v>56356</v>
      </c>
      <c r="L42" s="1689">
        <f t="shared" si="3"/>
        <v>53800</v>
      </c>
    </row>
    <row r="43" spans="1:14" ht="15.75" customHeight="1" thickTop="1" x14ac:dyDescent="0.2">
      <c r="A43" s="625" t="s">
        <v>613</v>
      </c>
      <c r="B43" s="626"/>
      <c r="C43" s="627"/>
      <c r="D43" s="627"/>
      <c r="E43" s="627"/>
      <c r="F43" s="627"/>
      <c r="G43" s="627"/>
      <c r="H43" s="627"/>
      <c r="I43" s="617"/>
      <c r="J43" s="617"/>
      <c r="K43" s="627"/>
      <c r="L43" s="627"/>
    </row>
    <row r="44" spans="1:14" x14ac:dyDescent="0.2">
      <c r="A44" s="1523" t="s">
        <v>868</v>
      </c>
      <c r="B44" s="615">
        <v>2210</v>
      </c>
      <c r="C44" s="481">
        <f>440+160+1350</f>
        <v>1950</v>
      </c>
      <c r="D44" s="481">
        <f>32+156+18</f>
        <v>206</v>
      </c>
      <c r="E44" s="481">
        <f>184+627+2081+1254+2219</f>
        <v>6365</v>
      </c>
      <c r="F44" s="481">
        <v>696</v>
      </c>
      <c r="G44" s="481"/>
      <c r="H44" s="481"/>
      <c r="I44" s="467"/>
      <c r="J44" s="467"/>
      <c r="K44" s="1691">
        <f>SUM(C44:J44)</f>
        <v>9217</v>
      </c>
      <c r="L44" s="481">
        <v>10040</v>
      </c>
    </row>
    <row r="45" spans="1:14" x14ac:dyDescent="0.2">
      <c r="A45" s="1523" t="s">
        <v>869</v>
      </c>
      <c r="B45" s="615">
        <v>2220</v>
      </c>
      <c r="C45" s="466"/>
      <c r="D45" s="466"/>
      <c r="E45" s="466">
        <v>54686</v>
      </c>
      <c r="F45" s="466">
        <v>27218</v>
      </c>
      <c r="G45" s="466"/>
      <c r="H45" s="466"/>
      <c r="I45" s="467"/>
      <c r="J45" s="467"/>
      <c r="K45" s="1691">
        <f>SUM(C45:J45)</f>
        <v>81904</v>
      </c>
      <c r="L45" s="466">
        <v>65500</v>
      </c>
    </row>
    <row r="46" spans="1:14" x14ac:dyDescent="0.2">
      <c r="A46" s="1523" t="s">
        <v>870</v>
      </c>
      <c r="B46" s="615">
        <v>2230</v>
      </c>
      <c r="C46" s="466"/>
      <c r="D46" s="466"/>
      <c r="E46" s="466">
        <v>3563</v>
      </c>
      <c r="F46" s="466">
        <v>481</v>
      </c>
      <c r="G46" s="466"/>
      <c r="H46" s="466"/>
      <c r="I46" s="467"/>
      <c r="J46" s="467"/>
      <c r="K46" s="1691">
        <f>SUM(C46:J46)</f>
        <v>4044</v>
      </c>
      <c r="L46" s="466">
        <v>5500</v>
      </c>
    </row>
    <row r="47" spans="1:14" ht="12.75" customHeight="1" thickBot="1" x14ac:dyDescent="0.25">
      <c r="A47" s="1687" t="s">
        <v>582</v>
      </c>
      <c r="B47" s="1688" t="s">
        <v>32</v>
      </c>
      <c r="C47" s="1689">
        <f>SUM(C44:C46)</f>
        <v>1950</v>
      </c>
      <c r="D47" s="1689">
        <f t="shared" ref="D47:K47" si="4">SUM(D44:D46)</f>
        <v>206</v>
      </c>
      <c r="E47" s="1689">
        <f t="shared" si="4"/>
        <v>64614</v>
      </c>
      <c r="F47" s="1689">
        <f t="shared" si="4"/>
        <v>28395</v>
      </c>
      <c r="G47" s="1689">
        <f t="shared" si="4"/>
        <v>0</v>
      </c>
      <c r="H47" s="1689">
        <f t="shared" si="4"/>
        <v>0</v>
      </c>
      <c r="I47" s="1689">
        <f t="shared" si="4"/>
        <v>0</v>
      </c>
      <c r="J47" s="1689">
        <f t="shared" si="4"/>
        <v>0</v>
      </c>
      <c r="K47" s="1689">
        <f t="shared" si="4"/>
        <v>95165</v>
      </c>
      <c r="L47" s="1689">
        <f>SUM(L44:L46)</f>
        <v>81040</v>
      </c>
    </row>
    <row r="48" spans="1:14" ht="15.75" customHeight="1" thickTop="1" x14ac:dyDescent="0.2">
      <c r="A48" s="625" t="s">
        <v>631</v>
      </c>
      <c r="B48" s="626"/>
      <c r="C48" s="627"/>
      <c r="D48" s="627"/>
      <c r="E48" s="627"/>
      <c r="F48" s="627"/>
      <c r="G48" s="627"/>
      <c r="H48" s="627"/>
      <c r="I48" s="617"/>
      <c r="J48" s="617"/>
      <c r="K48" s="627"/>
      <c r="L48" s="627"/>
    </row>
    <row r="49" spans="1:14" x14ac:dyDescent="0.2">
      <c r="A49" s="1523" t="s">
        <v>871</v>
      </c>
      <c r="B49" s="615">
        <v>2310</v>
      </c>
      <c r="C49" s="481">
        <f>960+3965</f>
        <v>4925</v>
      </c>
      <c r="D49" s="481">
        <v>58</v>
      </c>
      <c r="E49" s="481">
        <f>4733+6850+1175+270</f>
        <v>13028</v>
      </c>
      <c r="F49" s="481">
        <v>48</v>
      </c>
      <c r="G49" s="481"/>
      <c r="H49" s="481">
        <v>4156</v>
      </c>
      <c r="I49" s="467"/>
      <c r="J49" s="467"/>
      <c r="K49" s="1691">
        <f>SUM(C49:J49)</f>
        <v>22215</v>
      </c>
      <c r="L49" s="481">
        <v>20200</v>
      </c>
    </row>
    <row r="50" spans="1:14" x14ac:dyDescent="0.2">
      <c r="A50" s="1523" t="s">
        <v>872</v>
      </c>
      <c r="B50" s="615">
        <v>2320</v>
      </c>
      <c r="C50" s="466">
        <v>80504</v>
      </c>
      <c r="D50" s="466">
        <f>1679+34</f>
        <v>1713</v>
      </c>
      <c r="E50" s="466">
        <v>734</v>
      </c>
      <c r="F50" s="466"/>
      <c r="G50" s="466"/>
      <c r="H50" s="466">
        <v>1335</v>
      </c>
      <c r="I50" s="467"/>
      <c r="J50" s="467"/>
      <c r="K50" s="1691">
        <f>SUM(C50:J50)</f>
        <v>84286</v>
      </c>
      <c r="L50" s="466">
        <v>89200</v>
      </c>
    </row>
    <row r="51" spans="1:14" x14ac:dyDescent="0.2">
      <c r="A51" s="1523" t="s">
        <v>44</v>
      </c>
      <c r="B51" s="615">
        <v>2330</v>
      </c>
      <c r="C51" s="466"/>
      <c r="D51" s="466"/>
      <c r="E51" s="466"/>
      <c r="F51" s="466"/>
      <c r="G51" s="466"/>
      <c r="H51" s="466"/>
      <c r="I51" s="467"/>
      <c r="J51" s="467"/>
      <c r="K51" s="1691">
        <f>SUM(C51:J51)</f>
        <v>0</v>
      </c>
      <c r="L51" s="466"/>
    </row>
    <row r="52" spans="1:14" ht="22.5" x14ac:dyDescent="0.2">
      <c r="A52" s="1524" t="s">
        <v>316</v>
      </c>
      <c r="B52" s="628" t="s">
        <v>384</v>
      </c>
      <c r="C52" s="474"/>
      <c r="D52" s="474"/>
      <c r="E52" s="474"/>
      <c r="F52" s="474"/>
      <c r="G52" s="474"/>
      <c r="H52" s="474"/>
      <c r="I52" s="474"/>
      <c r="J52" s="474"/>
      <c r="K52" s="1691">
        <f>SUM(C52:J52)</f>
        <v>0</v>
      </c>
      <c r="L52" s="474"/>
    </row>
    <row r="53" spans="1:14" ht="12.75" customHeight="1" thickBot="1" x14ac:dyDescent="0.25">
      <c r="A53" s="1687" t="s">
        <v>741</v>
      </c>
      <c r="B53" s="1688" t="s">
        <v>33</v>
      </c>
      <c r="C53" s="1689">
        <f>SUM(C49:C52)</f>
        <v>85429</v>
      </c>
      <c r="D53" s="1689">
        <f t="shared" ref="D53:L53" si="5">SUM(D49:D52)</f>
        <v>1771</v>
      </c>
      <c r="E53" s="1689">
        <f t="shared" si="5"/>
        <v>13762</v>
      </c>
      <c r="F53" s="1689">
        <f t="shared" si="5"/>
        <v>48</v>
      </c>
      <c r="G53" s="1689">
        <f t="shared" si="5"/>
        <v>0</v>
      </c>
      <c r="H53" s="1689">
        <f t="shared" si="5"/>
        <v>5491</v>
      </c>
      <c r="I53" s="1689">
        <f t="shared" si="5"/>
        <v>0</v>
      </c>
      <c r="J53" s="1689">
        <f t="shared" si="5"/>
        <v>0</v>
      </c>
      <c r="K53" s="1689">
        <f t="shared" si="5"/>
        <v>106501</v>
      </c>
      <c r="L53" s="1689">
        <f t="shared" si="5"/>
        <v>109400</v>
      </c>
    </row>
    <row r="54" spans="1:14" ht="15.75" customHeight="1" thickTop="1" x14ac:dyDescent="0.2">
      <c r="A54" s="625" t="s">
        <v>632</v>
      </c>
      <c r="B54" s="626"/>
      <c r="C54" s="627"/>
      <c r="D54" s="627"/>
      <c r="E54" s="627"/>
      <c r="F54" s="627"/>
      <c r="G54" s="627"/>
      <c r="H54" s="627"/>
      <c r="I54" s="617"/>
      <c r="J54" s="617"/>
      <c r="K54" s="627"/>
      <c r="L54" s="627"/>
    </row>
    <row r="55" spans="1:14" x14ac:dyDescent="0.2">
      <c r="A55" s="1523" t="s">
        <v>1127</v>
      </c>
      <c r="B55" s="615">
        <v>2410</v>
      </c>
      <c r="C55" s="481">
        <f>159906+280</f>
        <v>160186</v>
      </c>
      <c r="D55" s="481">
        <f>2471+14340</f>
        <v>16811</v>
      </c>
      <c r="E55" s="481">
        <f>1836+90</f>
        <v>1926</v>
      </c>
      <c r="F55" s="481">
        <v>885</v>
      </c>
      <c r="G55" s="481">
        <v>1500</v>
      </c>
      <c r="H55" s="481">
        <v>770</v>
      </c>
      <c r="I55" s="467"/>
      <c r="J55" s="467"/>
      <c r="K55" s="1691">
        <f>SUM(C55:J55)</f>
        <v>182078</v>
      </c>
      <c r="L55" s="481">
        <v>178300</v>
      </c>
    </row>
    <row r="56" spans="1:14" ht="12.75" customHeight="1" x14ac:dyDescent="0.2">
      <c r="A56" s="1527" t="s">
        <v>394</v>
      </c>
      <c r="B56" s="629">
        <v>2490</v>
      </c>
      <c r="C56" s="466"/>
      <c r="D56" s="466"/>
      <c r="E56" s="466"/>
      <c r="F56" s="466"/>
      <c r="G56" s="466"/>
      <c r="H56" s="466"/>
      <c r="I56" s="467"/>
      <c r="J56" s="467"/>
      <c r="K56" s="1691">
        <f>SUM(C56:J56)</f>
        <v>0</v>
      </c>
      <c r="L56" s="466"/>
    </row>
    <row r="57" spans="1:14" s="343" customFormat="1" ht="12.75" customHeight="1" thickBot="1" x14ac:dyDescent="0.25">
      <c r="A57" s="1687" t="s">
        <v>281</v>
      </c>
      <c r="B57" s="1692" t="s">
        <v>34</v>
      </c>
      <c r="C57" s="1693">
        <f>SUM(C55:C56)</f>
        <v>160186</v>
      </c>
      <c r="D57" s="1693">
        <f t="shared" ref="D57:K57" si="6">SUM(D55:D56)</f>
        <v>16811</v>
      </c>
      <c r="E57" s="1693">
        <f t="shared" si="6"/>
        <v>1926</v>
      </c>
      <c r="F57" s="1693">
        <f t="shared" si="6"/>
        <v>885</v>
      </c>
      <c r="G57" s="1693">
        <f t="shared" si="6"/>
        <v>1500</v>
      </c>
      <c r="H57" s="1693">
        <f t="shared" si="6"/>
        <v>770</v>
      </c>
      <c r="I57" s="1693">
        <f t="shared" si="6"/>
        <v>0</v>
      </c>
      <c r="J57" s="1693">
        <f t="shared" si="6"/>
        <v>0</v>
      </c>
      <c r="K57" s="1693">
        <f t="shared" si="6"/>
        <v>182078</v>
      </c>
      <c r="L57" s="1689">
        <f>SUM(L55:L56)</f>
        <v>178300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3" t="s">
        <v>1128</v>
      </c>
      <c r="B59" s="615">
        <v>2510</v>
      </c>
      <c r="C59" s="481"/>
      <c r="D59" s="481"/>
      <c r="E59" s="481"/>
      <c r="F59" s="481"/>
      <c r="G59" s="481"/>
      <c r="H59" s="481"/>
      <c r="I59" s="467"/>
      <c r="J59" s="467"/>
      <c r="K59" s="1691">
        <f t="shared" ref="K59:K64" si="7">SUM(C59:J59)</f>
        <v>0</v>
      </c>
      <c r="L59" s="481"/>
      <c r="M59" s="610"/>
      <c r="N59" s="610"/>
    </row>
    <row r="60" spans="1:14" s="343" customFormat="1" x14ac:dyDescent="0.2">
      <c r="A60" s="1523" t="s">
        <v>483</v>
      </c>
      <c r="B60" s="615">
        <v>2520</v>
      </c>
      <c r="C60" s="466">
        <v>37447</v>
      </c>
      <c r="D60" s="466">
        <v>7120</v>
      </c>
      <c r="E60" s="466">
        <f>2849+1330</f>
        <v>4179</v>
      </c>
      <c r="F60" s="466">
        <v>1243</v>
      </c>
      <c r="G60" s="466"/>
      <c r="H60" s="466"/>
      <c r="I60" s="467"/>
      <c r="J60" s="467"/>
      <c r="K60" s="1691">
        <f t="shared" si="7"/>
        <v>49989</v>
      </c>
      <c r="L60" s="466">
        <v>48900</v>
      </c>
      <c r="M60" s="610"/>
      <c r="N60" s="610"/>
    </row>
    <row r="61" spans="1:14" s="343" customFormat="1" x14ac:dyDescent="0.2">
      <c r="A61" s="1523" t="s">
        <v>206</v>
      </c>
      <c r="B61" s="615">
        <v>2540</v>
      </c>
      <c r="C61" s="466"/>
      <c r="D61" s="466"/>
      <c r="E61" s="466"/>
      <c r="F61" s="466"/>
      <c r="G61" s="466"/>
      <c r="H61" s="466"/>
      <c r="I61" s="467"/>
      <c r="J61" s="467"/>
      <c r="K61" s="1691">
        <f t="shared" si="7"/>
        <v>0</v>
      </c>
      <c r="L61" s="466"/>
      <c r="M61" s="610"/>
      <c r="N61" s="610"/>
    </row>
    <row r="62" spans="1:14" s="343" customFormat="1" x14ac:dyDescent="0.2">
      <c r="A62" s="1523" t="s">
        <v>1010</v>
      </c>
      <c r="B62" s="615">
        <v>2550</v>
      </c>
      <c r="C62" s="466"/>
      <c r="D62" s="466"/>
      <c r="E62" s="466">
        <v>203</v>
      </c>
      <c r="F62" s="466"/>
      <c r="G62" s="466"/>
      <c r="H62" s="466"/>
      <c r="I62" s="467"/>
      <c r="J62" s="467"/>
      <c r="K62" s="1691">
        <f t="shared" si="7"/>
        <v>203</v>
      </c>
      <c r="L62" s="466"/>
      <c r="M62" s="610"/>
      <c r="N62" s="610"/>
    </row>
    <row r="63" spans="1:14" s="610" customFormat="1" x14ac:dyDescent="0.2">
      <c r="A63" s="1523" t="s">
        <v>102</v>
      </c>
      <c r="B63" s="615">
        <v>2560</v>
      </c>
      <c r="C63" s="466">
        <f>44196+813</f>
        <v>45009</v>
      </c>
      <c r="D63" s="466">
        <v>6919</v>
      </c>
      <c r="E63" s="466">
        <v>2047</v>
      </c>
      <c r="F63" s="466">
        <f>696+77368</f>
        <v>78064</v>
      </c>
      <c r="G63" s="466"/>
      <c r="H63" s="466"/>
      <c r="I63" s="467"/>
      <c r="J63" s="467"/>
      <c r="K63" s="1691">
        <f t="shared" si="7"/>
        <v>132039</v>
      </c>
      <c r="L63" s="466">
        <v>136700</v>
      </c>
    </row>
    <row r="64" spans="1:14" s="610" customFormat="1" x14ac:dyDescent="0.2">
      <c r="A64" s="1528" t="s">
        <v>103</v>
      </c>
      <c r="B64" s="631">
        <v>2570</v>
      </c>
      <c r="C64" s="481"/>
      <c r="D64" s="481"/>
      <c r="E64" s="481"/>
      <c r="F64" s="481"/>
      <c r="G64" s="481"/>
      <c r="H64" s="481"/>
      <c r="I64" s="467"/>
      <c r="J64" s="467"/>
      <c r="K64" s="1691">
        <f t="shared" si="7"/>
        <v>0</v>
      </c>
      <c r="L64" s="481"/>
    </row>
    <row r="65" spans="1:14" s="343" customFormat="1" ht="12.75" customHeight="1" thickBot="1" x14ac:dyDescent="0.25">
      <c r="A65" s="1687" t="s">
        <v>743</v>
      </c>
      <c r="B65" s="1688" t="s">
        <v>35</v>
      </c>
      <c r="C65" s="1689">
        <f>SUM(C59:C64)</f>
        <v>82456</v>
      </c>
      <c r="D65" s="1689">
        <f t="shared" ref="D65:L65" si="8">SUM(D59:D64)</f>
        <v>14039</v>
      </c>
      <c r="E65" s="1689">
        <f t="shared" si="8"/>
        <v>6429</v>
      </c>
      <c r="F65" s="1689">
        <f t="shared" si="8"/>
        <v>79307</v>
      </c>
      <c r="G65" s="1689">
        <f t="shared" si="8"/>
        <v>0</v>
      </c>
      <c r="H65" s="1689">
        <f t="shared" si="8"/>
        <v>0</v>
      </c>
      <c r="I65" s="1689">
        <f t="shared" si="8"/>
        <v>0</v>
      </c>
      <c r="J65" s="1689">
        <f t="shared" si="8"/>
        <v>0</v>
      </c>
      <c r="K65" s="1689">
        <f t="shared" si="8"/>
        <v>182231</v>
      </c>
      <c r="L65" s="1689">
        <f t="shared" si="8"/>
        <v>185600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3" t="s">
        <v>1120</v>
      </c>
      <c r="B67" s="615">
        <v>2610</v>
      </c>
      <c r="C67" s="466"/>
      <c r="D67" s="466"/>
      <c r="E67" s="466"/>
      <c r="F67" s="466"/>
      <c r="G67" s="466"/>
      <c r="H67" s="466"/>
      <c r="I67" s="467"/>
      <c r="J67" s="467"/>
      <c r="K67" s="1691">
        <f>SUM(C67:J67)</f>
        <v>0</v>
      </c>
      <c r="L67" s="481"/>
      <c r="M67" s="610"/>
      <c r="N67" s="610"/>
    </row>
    <row r="68" spans="1:14" s="343" customFormat="1" x14ac:dyDescent="0.2">
      <c r="A68" s="1523" t="s">
        <v>628</v>
      </c>
      <c r="B68" s="615">
        <v>2620</v>
      </c>
      <c r="C68" s="466"/>
      <c r="D68" s="466"/>
      <c r="E68" s="466"/>
      <c r="F68" s="466"/>
      <c r="G68" s="466"/>
      <c r="H68" s="466"/>
      <c r="I68" s="467"/>
      <c r="J68" s="467"/>
      <c r="K68" s="1691">
        <f>SUM(C68:J68)</f>
        <v>0</v>
      </c>
      <c r="L68" s="466"/>
      <c r="M68" s="610"/>
      <c r="N68" s="610"/>
    </row>
    <row r="69" spans="1:14" s="343" customFormat="1" x14ac:dyDescent="0.2">
      <c r="A69" s="1523" t="s">
        <v>1121</v>
      </c>
      <c r="B69" s="615">
        <v>2630</v>
      </c>
      <c r="C69" s="466"/>
      <c r="D69" s="466"/>
      <c r="E69" s="466"/>
      <c r="F69" s="466"/>
      <c r="G69" s="466"/>
      <c r="H69" s="466"/>
      <c r="I69" s="467"/>
      <c r="J69" s="467"/>
      <c r="K69" s="1691">
        <f>SUM(C69:J69)</f>
        <v>0</v>
      </c>
      <c r="L69" s="466"/>
      <c r="M69" s="610"/>
      <c r="N69" s="610"/>
    </row>
    <row r="70" spans="1:14" s="343" customFormat="1" x14ac:dyDescent="0.2">
      <c r="A70" s="1523" t="s">
        <v>423</v>
      </c>
      <c r="B70" s="615">
        <v>2640</v>
      </c>
      <c r="C70" s="466"/>
      <c r="D70" s="466"/>
      <c r="E70" s="466"/>
      <c r="F70" s="466"/>
      <c r="G70" s="466"/>
      <c r="H70" s="466"/>
      <c r="I70" s="467"/>
      <c r="J70" s="467"/>
      <c r="K70" s="1691">
        <f>SUM(C70:J70)</f>
        <v>0</v>
      </c>
      <c r="L70" s="466"/>
      <c r="M70" s="610"/>
      <c r="N70" s="610"/>
    </row>
    <row r="71" spans="1:14" s="343" customFormat="1" x14ac:dyDescent="0.2">
      <c r="A71" s="1523" t="s">
        <v>424</v>
      </c>
      <c r="B71" s="615">
        <v>2660</v>
      </c>
      <c r="C71" s="466"/>
      <c r="D71" s="466"/>
      <c r="E71" s="466"/>
      <c r="F71" s="466"/>
      <c r="G71" s="466"/>
      <c r="H71" s="466"/>
      <c r="I71" s="467"/>
      <c r="J71" s="467"/>
      <c r="K71" s="1691">
        <f>SUM(C71:J71)</f>
        <v>0</v>
      </c>
      <c r="L71" s="466"/>
      <c r="M71" s="610"/>
      <c r="N71" s="610"/>
    </row>
    <row r="72" spans="1:14" s="343" customFormat="1" ht="12.75" customHeight="1" thickBot="1" x14ac:dyDescent="0.25">
      <c r="A72" s="1687" t="s">
        <v>37</v>
      </c>
      <c r="B72" s="1694" t="s">
        <v>36</v>
      </c>
      <c r="C72" s="1689">
        <f>SUM(C67:C71)</f>
        <v>0</v>
      </c>
      <c r="D72" s="1689">
        <f t="shared" ref="D72:K72" si="9">SUM(D67:D71)</f>
        <v>0</v>
      </c>
      <c r="E72" s="1689">
        <f t="shared" si="9"/>
        <v>0</v>
      </c>
      <c r="F72" s="1689">
        <f t="shared" si="9"/>
        <v>0</v>
      </c>
      <c r="G72" s="1689">
        <f t="shared" si="9"/>
        <v>0</v>
      </c>
      <c r="H72" s="1689">
        <f t="shared" si="9"/>
        <v>0</v>
      </c>
      <c r="I72" s="1689">
        <f t="shared" si="9"/>
        <v>0</v>
      </c>
      <c r="J72" s="1689">
        <f t="shared" si="9"/>
        <v>0</v>
      </c>
      <c r="K72" s="1689">
        <f t="shared" si="9"/>
        <v>0</v>
      </c>
      <c r="L72" s="1689">
        <f>SUM(L67:L71)</f>
        <v>0</v>
      </c>
      <c r="M72" s="610"/>
      <c r="N72" s="610"/>
    </row>
    <row r="73" spans="1:14" s="343" customFormat="1" ht="14.25" thickTop="1" thickBot="1" x14ac:dyDescent="0.25">
      <c r="A73" s="1529" t="s">
        <v>1037</v>
      </c>
      <c r="B73" s="633" t="s">
        <v>595</v>
      </c>
      <c r="C73" s="573"/>
      <c r="D73" s="573"/>
      <c r="E73" s="573"/>
      <c r="F73" s="573"/>
      <c r="G73" s="573"/>
      <c r="H73" s="573"/>
      <c r="I73" s="531"/>
      <c r="J73" s="531"/>
      <c r="K73" s="1689">
        <f>SUM(C73:J73)</f>
        <v>0</v>
      </c>
      <c r="L73" s="576"/>
      <c r="M73" s="610"/>
      <c r="N73" s="610"/>
    </row>
    <row r="74" spans="1:14" ht="12.75" customHeight="1" thickTop="1" thickBot="1" x14ac:dyDescent="0.25">
      <c r="A74" s="1687" t="s">
        <v>865</v>
      </c>
      <c r="B74" s="1695">
        <v>2000</v>
      </c>
      <c r="C74" s="1696">
        <f>SUM(C42,C47,C53,C57,C65,C72,C73)</f>
        <v>375392</v>
      </c>
      <c r="D74" s="1696">
        <f t="shared" ref="D74:K74" si="10">SUM(D42,D47,D53,D57,D65,D72,D73)</f>
        <v>40617</v>
      </c>
      <c r="E74" s="1696">
        <f t="shared" si="10"/>
        <v>89785</v>
      </c>
      <c r="F74" s="1696">
        <f t="shared" si="10"/>
        <v>108776</v>
      </c>
      <c r="G74" s="1696">
        <f t="shared" si="10"/>
        <v>1500</v>
      </c>
      <c r="H74" s="1696">
        <f t="shared" si="10"/>
        <v>6261</v>
      </c>
      <c r="I74" s="1696">
        <f t="shared" si="10"/>
        <v>0</v>
      </c>
      <c r="J74" s="1696">
        <f t="shared" si="10"/>
        <v>0</v>
      </c>
      <c r="K74" s="1696">
        <f t="shared" si="10"/>
        <v>622331</v>
      </c>
      <c r="L74" s="1696">
        <f>SUM(L42,L47,L53,L57,L65,L72,L73)</f>
        <v>608140</v>
      </c>
    </row>
    <row r="75" spans="1:14" s="259" customFormat="1" ht="15.75" customHeight="1" thickTop="1" thickBot="1" x14ac:dyDescent="0.25">
      <c r="A75" s="1629" t="s">
        <v>49</v>
      </c>
      <c r="B75" s="1630" t="s">
        <v>596</v>
      </c>
      <c r="C75" s="573">
        <v>18670</v>
      </c>
      <c r="D75" s="573"/>
      <c r="E75" s="573">
        <v>3971</v>
      </c>
      <c r="F75" s="573">
        <f>82+4870</f>
        <v>4952</v>
      </c>
      <c r="G75" s="573">
        <v>2314</v>
      </c>
      <c r="H75" s="573"/>
      <c r="I75" s="531"/>
      <c r="J75" s="531"/>
      <c r="K75" s="1689">
        <f>SUM(C75:J75)</f>
        <v>29907</v>
      </c>
      <c r="L75" s="576">
        <v>28100</v>
      </c>
      <c r="M75" s="614"/>
      <c r="N75" s="614"/>
    </row>
    <row r="76" spans="1:14" s="634" customFormat="1" ht="15.75" customHeight="1" thickTop="1" x14ac:dyDescent="0.2">
      <c r="A76" s="1631" t="s">
        <v>383</v>
      </c>
      <c r="B76" s="1628"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3" t="s">
        <v>517</v>
      </c>
      <c r="B78" s="615">
        <v>4110</v>
      </c>
      <c r="C78" s="617"/>
      <c r="D78" s="617"/>
      <c r="E78" s="481"/>
      <c r="F78" s="617"/>
      <c r="G78" s="617"/>
      <c r="H78" s="635"/>
      <c r="I78" s="477"/>
      <c r="J78" s="477"/>
      <c r="K78" s="1690">
        <f t="shared" ref="K78:K83" si="11">SUM(C78:J78)</f>
        <v>0</v>
      </c>
      <c r="L78" s="481"/>
    </row>
    <row r="79" spans="1:14" x14ac:dyDescent="0.2">
      <c r="A79" s="1523" t="s">
        <v>322</v>
      </c>
      <c r="B79" s="615">
        <v>4120</v>
      </c>
      <c r="C79" s="617"/>
      <c r="D79" s="617"/>
      <c r="E79" s="466"/>
      <c r="F79" s="617"/>
      <c r="G79" s="617"/>
      <c r="H79" s="466">
        <f>273574+61716</f>
        <v>335290</v>
      </c>
      <c r="I79" s="477"/>
      <c r="J79" s="477"/>
      <c r="K79" s="1690">
        <f t="shared" si="11"/>
        <v>335290</v>
      </c>
      <c r="L79" s="466">
        <v>340400</v>
      </c>
    </row>
    <row r="80" spans="1:14" x14ac:dyDescent="0.2">
      <c r="A80" s="1523" t="s">
        <v>323</v>
      </c>
      <c r="B80" s="615">
        <v>4130</v>
      </c>
      <c r="C80" s="617"/>
      <c r="D80" s="617"/>
      <c r="E80" s="466"/>
      <c r="F80" s="617"/>
      <c r="G80" s="617"/>
      <c r="H80" s="466"/>
      <c r="I80" s="477"/>
      <c r="J80" s="477"/>
      <c r="K80" s="1690">
        <f t="shared" si="11"/>
        <v>0</v>
      </c>
      <c r="L80" s="466"/>
    </row>
    <row r="81" spans="1:12" x14ac:dyDescent="0.2">
      <c r="A81" s="1523" t="s">
        <v>721</v>
      </c>
      <c r="B81" s="615">
        <v>4140</v>
      </c>
      <c r="C81" s="617"/>
      <c r="D81" s="617"/>
      <c r="E81" s="466"/>
      <c r="F81" s="617"/>
      <c r="G81" s="617"/>
      <c r="H81" s="466"/>
      <c r="I81" s="477"/>
      <c r="J81" s="477"/>
      <c r="K81" s="1690">
        <f t="shared" si="11"/>
        <v>0</v>
      </c>
      <c r="L81" s="466"/>
    </row>
    <row r="82" spans="1:12" x14ac:dyDescent="0.2">
      <c r="A82" s="1523" t="s">
        <v>88</v>
      </c>
      <c r="B82" s="615">
        <v>4170</v>
      </c>
      <c r="C82" s="617"/>
      <c r="D82" s="617"/>
      <c r="E82" s="466"/>
      <c r="F82" s="617"/>
      <c r="G82" s="617"/>
      <c r="H82" s="466"/>
      <c r="I82" s="477"/>
      <c r="J82" s="477"/>
      <c r="K82" s="1690">
        <f t="shared" si="11"/>
        <v>0</v>
      </c>
      <c r="L82" s="466"/>
    </row>
    <row r="83" spans="1:12" x14ac:dyDescent="0.2">
      <c r="A83" s="1527" t="s">
        <v>722</v>
      </c>
      <c r="B83" s="629">
        <v>4190</v>
      </c>
      <c r="C83" s="617"/>
      <c r="D83" s="617"/>
      <c r="E83" s="466"/>
      <c r="F83" s="617"/>
      <c r="G83" s="617"/>
      <c r="H83" s="466"/>
      <c r="I83" s="477"/>
      <c r="J83" s="477"/>
      <c r="K83" s="1690">
        <f t="shared" si="11"/>
        <v>0</v>
      </c>
      <c r="L83" s="466"/>
    </row>
    <row r="84" spans="1:12" ht="13.5" thickBot="1" x14ac:dyDescent="0.25">
      <c r="A84" s="1687" t="s">
        <v>1565</v>
      </c>
      <c r="B84" s="1697">
        <v>4100</v>
      </c>
      <c r="C84" s="617"/>
      <c r="D84" s="617"/>
      <c r="E84" s="1689">
        <f>SUM(E78:E83)</f>
        <v>0</v>
      </c>
      <c r="F84" s="617"/>
      <c r="G84" s="617"/>
      <c r="H84" s="1689">
        <f>SUM(H78:H83)</f>
        <v>335290</v>
      </c>
      <c r="I84" s="477"/>
      <c r="J84" s="477"/>
      <c r="K84" s="1689">
        <f>SUM(K78:K83)</f>
        <v>335290</v>
      </c>
      <c r="L84" s="1689">
        <f>SUM(L78:L83)</f>
        <v>340400</v>
      </c>
    </row>
    <row r="85" spans="1:12" ht="12.75" customHeight="1" thickTop="1" thickBot="1" x14ac:dyDescent="0.25">
      <c r="A85" s="1530" t="s">
        <v>273</v>
      </c>
      <c r="B85" s="636">
        <v>4210</v>
      </c>
      <c r="C85" s="617"/>
      <c r="D85" s="617"/>
      <c r="E85" s="637"/>
      <c r="F85" s="617"/>
      <c r="G85" s="617"/>
      <c r="H85" s="535"/>
      <c r="I85" s="477"/>
      <c r="J85" s="477"/>
      <c r="K85" s="1696">
        <f>H85</f>
        <v>0</v>
      </c>
      <c r="L85" s="530"/>
    </row>
    <row r="86" spans="1:12" ht="12.75" customHeight="1" thickTop="1" thickBot="1" x14ac:dyDescent="0.25">
      <c r="A86" s="1531" t="s">
        <v>723</v>
      </c>
      <c r="B86" s="638">
        <v>4220</v>
      </c>
      <c r="C86" s="617"/>
      <c r="D86" s="617"/>
      <c r="E86" s="639"/>
      <c r="F86" s="617"/>
      <c r="G86" s="617"/>
      <c r="H86" s="467"/>
      <c r="I86" s="477"/>
      <c r="J86" s="477"/>
      <c r="K86" s="1696">
        <f t="shared" ref="K86:K98" si="12">H86</f>
        <v>0</v>
      </c>
      <c r="L86" s="530"/>
    </row>
    <row r="87" spans="1:12" ht="14.25" thickTop="1" thickBot="1" x14ac:dyDescent="0.25">
      <c r="A87" s="1532" t="s">
        <v>724</v>
      </c>
      <c r="B87" s="640">
        <v>4230</v>
      </c>
      <c r="C87" s="617"/>
      <c r="D87" s="617"/>
      <c r="E87" s="639"/>
      <c r="F87" s="617"/>
      <c r="G87" s="617"/>
      <c r="H87" s="467"/>
      <c r="I87" s="477"/>
      <c r="J87" s="477"/>
      <c r="K87" s="1696">
        <f t="shared" si="12"/>
        <v>0</v>
      </c>
      <c r="L87" s="530"/>
    </row>
    <row r="88" spans="1:12" ht="12.75" customHeight="1" thickTop="1" thickBot="1" x14ac:dyDescent="0.25">
      <c r="A88" s="1532" t="s">
        <v>789</v>
      </c>
      <c r="B88" s="640">
        <v>4240</v>
      </c>
      <c r="C88" s="617"/>
      <c r="D88" s="617"/>
      <c r="E88" s="639"/>
      <c r="F88" s="617"/>
      <c r="G88" s="617"/>
      <c r="H88" s="467"/>
      <c r="I88" s="477"/>
      <c r="J88" s="477"/>
      <c r="K88" s="1696">
        <f t="shared" si="12"/>
        <v>0</v>
      </c>
      <c r="L88" s="530"/>
    </row>
    <row r="89" spans="1:12" ht="12.75" customHeight="1" thickTop="1" thickBot="1" x14ac:dyDescent="0.25">
      <c r="A89" s="1532" t="s">
        <v>725</v>
      </c>
      <c r="B89" s="640">
        <v>4270</v>
      </c>
      <c r="C89" s="617"/>
      <c r="D89" s="617"/>
      <c r="E89" s="639"/>
      <c r="F89" s="617"/>
      <c r="G89" s="617"/>
      <c r="H89" s="467"/>
      <c r="I89" s="477"/>
      <c r="J89" s="477"/>
      <c r="K89" s="1696">
        <f t="shared" si="12"/>
        <v>0</v>
      </c>
      <c r="L89" s="530"/>
    </row>
    <row r="90" spans="1:12" ht="12.75" customHeight="1" thickTop="1" thickBot="1" x14ac:dyDescent="0.25">
      <c r="A90" s="1532" t="s">
        <v>710</v>
      </c>
      <c r="B90" s="640">
        <v>4280</v>
      </c>
      <c r="C90" s="617"/>
      <c r="D90" s="617"/>
      <c r="E90" s="639"/>
      <c r="F90" s="617"/>
      <c r="G90" s="617"/>
      <c r="H90" s="467"/>
      <c r="I90" s="477"/>
      <c r="J90" s="477"/>
      <c r="K90" s="1696">
        <f t="shared" si="12"/>
        <v>0</v>
      </c>
      <c r="L90" s="530"/>
    </row>
    <row r="91" spans="1:12" ht="12.75" customHeight="1" thickTop="1" thickBot="1" x14ac:dyDescent="0.25">
      <c r="A91" s="1532" t="s">
        <v>711</v>
      </c>
      <c r="B91" s="640">
        <v>4290</v>
      </c>
      <c r="C91" s="617"/>
      <c r="D91" s="617"/>
      <c r="E91" s="639"/>
      <c r="F91" s="617"/>
      <c r="G91" s="617"/>
      <c r="H91" s="467"/>
      <c r="I91" s="477"/>
      <c r="J91" s="477"/>
      <c r="K91" s="1696">
        <f t="shared" si="12"/>
        <v>0</v>
      </c>
      <c r="L91" s="530"/>
    </row>
    <row r="92" spans="1:12" ht="14.25" thickTop="1" thickBot="1" x14ac:dyDescent="0.25">
      <c r="A92" s="1699" t="s">
        <v>1641</v>
      </c>
      <c r="B92" s="1697">
        <v>4200</v>
      </c>
      <c r="C92" s="617"/>
      <c r="D92" s="617"/>
      <c r="E92" s="639"/>
      <c r="F92" s="617"/>
      <c r="G92" s="617"/>
      <c r="H92" s="1689">
        <f>SUM(H85:H91)</f>
        <v>0</v>
      </c>
      <c r="I92" s="477"/>
      <c r="J92" s="477"/>
      <c r="K92" s="1696">
        <f t="shared" si="12"/>
        <v>0</v>
      </c>
      <c r="L92" s="1689">
        <f>SUM(L85:L91)</f>
        <v>0</v>
      </c>
    </row>
    <row r="93" spans="1:12" ht="14.25" thickTop="1" thickBot="1" x14ac:dyDescent="0.25">
      <c r="A93" s="1531" t="s">
        <v>712</v>
      </c>
      <c r="B93" s="641">
        <v>4310</v>
      </c>
      <c r="C93" s="617"/>
      <c r="D93" s="617"/>
      <c r="E93" s="639"/>
      <c r="F93" s="617"/>
      <c r="G93" s="617"/>
      <c r="H93" s="642"/>
      <c r="I93" s="477"/>
      <c r="J93" s="477"/>
      <c r="K93" s="1696">
        <f t="shared" si="12"/>
        <v>0</v>
      </c>
      <c r="L93" s="532"/>
    </row>
    <row r="94" spans="1:12" ht="12.75" customHeight="1" thickTop="1" thickBot="1" x14ac:dyDescent="0.25">
      <c r="A94" s="1532" t="s">
        <v>713</v>
      </c>
      <c r="B94" s="640">
        <v>4320</v>
      </c>
      <c r="C94" s="617"/>
      <c r="D94" s="617"/>
      <c r="E94" s="639"/>
      <c r="F94" s="617"/>
      <c r="G94" s="617"/>
      <c r="H94" s="467"/>
      <c r="I94" s="477"/>
      <c r="J94" s="477"/>
      <c r="K94" s="1696">
        <f t="shared" si="12"/>
        <v>0</v>
      </c>
      <c r="L94" s="530"/>
    </row>
    <row r="95" spans="1:12" ht="15" customHeight="1" thickTop="1" thickBot="1" x14ac:dyDescent="0.25">
      <c r="A95" s="1532" t="s">
        <v>1568</v>
      </c>
      <c r="B95" s="640">
        <v>4330</v>
      </c>
      <c r="C95" s="617"/>
      <c r="D95" s="617"/>
      <c r="E95" s="639"/>
      <c r="F95" s="617"/>
      <c r="G95" s="617"/>
      <c r="H95" s="467"/>
      <c r="I95" s="477"/>
      <c r="J95" s="477"/>
      <c r="K95" s="1696">
        <f t="shared" si="12"/>
        <v>0</v>
      </c>
      <c r="L95" s="530"/>
    </row>
    <row r="96" spans="1:12" ht="14.25" thickTop="1" thickBot="1" x14ac:dyDescent="0.25">
      <c r="A96" s="1532" t="s">
        <v>714</v>
      </c>
      <c r="B96" s="640">
        <v>4340</v>
      </c>
      <c r="C96" s="617"/>
      <c r="D96" s="617"/>
      <c r="E96" s="639"/>
      <c r="F96" s="617"/>
      <c r="G96" s="617"/>
      <c r="H96" s="467"/>
      <c r="I96" s="477"/>
      <c r="J96" s="477"/>
      <c r="K96" s="1696">
        <f t="shared" si="12"/>
        <v>0</v>
      </c>
      <c r="L96" s="530"/>
    </row>
    <row r="97" spans="1:14" ht="12.75" customHeight="1" thickTop="1" thickBot="1" x14ac:dyDescent="0.25">
      <c r="A97" s="1532" t="s">
        <v>787</v>
      </c>
      <c r="B97" s="640">
        <v>4370</v>
      </c>
      <c r="C97" s="617"/>
      <c r="D97" s="617"/>
      <c r="E97" s="639"/>
      <c r="F97" s="617"/>
      <c r="G97" s="617"/>
      <c r="H97" s="467"/>
      <c r="I97" s="477"/>
      <c r="J97" s="477"/>
      <c r="K97" s="1696">
        <f t="shared" si="12"/>
        <v>0</v>
      </c>
      <c r="L97" s="530"/>
    </row>
    <row r="98" spans="1:14" ht="14.25" thickTop="1" thickBot="1" x14ac:dyDescent="0.25">
      <c r="A98" s="1532" t="s">
        <v>788</v>
      </c>
      <c r="B98" s="640">
        <v>4380</v>
      </c>
      <c r="C98" s="617"/>
      <c r="D98" s="617"/>
      <c r="E98" s="643"/>
      <c r="F98" s="617"/>
      <c r="G98" s="617"/>
      <c r="H98" s="467"/>
      <c r="I98" s="477"/>
      <c r="J98" s="477"/>
      <c r="K98" s="1696">
        <f t="shared" si="12"/>
        <v>0</v>
      </c>
      <c r="L98" s="530"/>
    </row>
    <row r="99" spans="1:14" ht="14.25" thickTop="1" thickBot="1" x14ac:dyDescent="0.25">
      <c r="A99" s="1532" t="s">
        <v>385</v>
      </c>
      <c r="B99" s="640">
        <v>4390</v>
      </c>
      <c r="C99" s="617"/>
      <c r="D99" s="617"/>
      <c r="E99" s="532"/>
      <c r="F99" s="617"/>
      <c r="G99" s="617"/>
      <c r="H99" s="467"/>
      <c r="I99" s="477"/>
      <c r="J99" s="477"/>
      <c r="K99" s="1696">
        <f>SUM(E99,H99)</f>
        <v>0</v>
      </c>
      <c r="L99" s="530"/>
    </row>
    <row r="100" spans="1:14" ht="14.25" thickTop="1" thickBot="1" x14ac:dyDescent="0.25">
      <c r="A100" s="1699" t="s">
        <v>1566</v>
      </c>
      <c r="B100" s="1700">
        <v>4300</v>
      </c>
      <c r="C100" s="617"/>
      <c r="D100" s="617"/>
      <c r="E100" s="1696">
        <f>SUM(E93:E99)</f>
        <v>0</v>
      </c>
      <c r="F100" s="617"/>
      <c r="G100" s="617"/>
      <c r="H100" s="1696">
        <f>SUM(H93:H99)</f>
        <v>0</v>
      </c>
      <c r="I100" s="477"/>
      <c r="J100" s="477"/>
      <c r="K100" s="1696">
        <f>SUM(K93:K99)</f>
        <v>0</v>
      </c>
      <c r="L100" s="1696">
        <f>SUM(L93:L99)</f>
        <v>0</v>
      </c>
    </row>
    <row r="101" spans="1:14" ht="12.75" customHeight="1" thickTop="1" thickBot="1" x14ac:dyDescent="0.25">
      <c r="A101" s="1529" t="s">
        <v>1569</v>
      </c>
      <c r="B101" s="644" t="s">
        <v>988</v>
      </c>
      <c r="C101" s="617"/>
      <c r="D101" s="617"/>
      <c r="E101" s="531"/>
      <c r="F101" s="617"/>
      <c r="G101" s="617"/>
      <c r="H101" s="531"/>
      <c r="I101" s="477"/>
      <c r="J101" s="477"/>
      <c r="K101" s="1698">
        <f>SUM(C101:J101)</f>
        <v>0</v>
      </c>
      <c r="L101" s="530"/>
    </row>
    <row r="102" spans="1:14" ht="12.75" customHeight="1" thickTop="1" thickBot="1" x14ac:dyDescent="0.25">
      <c r="A102" s="1687" t="s">
        <v>1567</v>
      </c>
      <c r="B102" s="1697">
        <v>4000</v>
      </c>
      <c r="C102" s="617"/>
      <c r="D102" s="617"/>
      <c r="E102" s="1696">
        <f>SUM(E84,E92,E100,E101)</f>
        <v>0</v>
      </c>
      <c r="F102" s="617"/>
      <c r="G102" s="617"/>
      <c r="H102" s="1696">
        <f>SUM(H84,H92,H100,H101)</f>
        <v>335290</v>
      </c>
      <c r="I102" s="477"/>
      <c r="J102" s="477"/>
      <c r="K102" s="1696">
        <f>SUM(K84,K92,K100,K101)</f>
        <v>335290</v>
      </c>
      <c r="L102" s="1696">
        <f>SUM(L84,L92,L100,L101)</f>
        <v>340400</v>
      </c>
    </row>
    <row r="103" spans="1:14" s="634" customFormat="1" ht="15.75" customHeight="1" thickTop="1" x14ac:dyDescent="0.2">
      <c r="A103" s="1631" t="s">
        <v>534</v>
      </c>
      <c r="B103" s="1628"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3" t="s">
        <v>89</v>
      </c>
      <c r="B105" s="615">
        <v>5110</v>
      </c>
      <c r="C105" s="617"/>
      <c r="D105" s="617"/>
      <c r="E105" s="617"/>
      <c r="F105" s="617"/>
      <c r="G105" s="617"/>
      <c r="H105" s="481"/>
      <c r="I105" s="468"/>
      <c r="J105" s="468"/>
      <c r="K105" s="1690">
        <f>H105</f>
        <v>0</v>
      </c>
      <c r="L105" s="481"/>
      <c r="M105" s="210"/>
      <c r="N105" s="210"/>
    </row>
    <row r="106" spans="1:14" s="598" customFormat="1" x14ac:dyDescent="0.2">
      <c r="A106" s="1523" t="s">
        <v>90</v>
      </c>
      <c r="B106" s="615">
        <v>5120</v>
      </c>
      <c r="C106" s="617"/>
      <c r="D106" s="617"/>
      <c r="E106" s="617"/>
      <c r="F106" s="617"/>
      <c r="G106" s="617"/>
      <c r="H106" s="466"/>
      <c r="I106" s="468"/>
      <c r="J106" s="468"/>
      <c r="K106" s="1690">
        <f>H106</f>
        <v>0</v>
      </c>
      <c r="L106" s="466"/>
      <c r="M106" s="210"/>
      <c r="N106" s="210"/>
    </row>
    <row r="107" spans="1:14" s="598" customFormat="1" ht="12.75" customHeight="1" x14ac:dyDescent="0.2">
      <c r="A107" s="1523" t="s">
        <v>1232</v>
      </c>
      <c r="B107" s="615">
        <v>5130</v>
      </c>
      <c r="C107" s="617"/>
      <c r="D107" s="617"/>
      <c r="E107" s="617"/>
      <c r="F107" s="617"/>
      <c r="G107" s="617"/>
      <c r="H107" s="466"/>
      <c r="I107" s="468"/>
      <c r="J107" s="468"/>
      <c r="K107" s="1690">
        <f>H107</f>
        <v>0</v>
      </c>
      <c r="L107" s="466"/>
      <c r="M107" s="210"/>
      <c r="N107" s="210"/>
    </row>
    <row r="108" spans="1:14" s="598" customFormat="1" x14ac:dyDescent="0.2">
      <c r="A108" s="1523" t="s">
        <v>91</v>
      </c>
      <c r="B108" s="615" t="s">
        <v>610</v>
      </c>
      <c r="C108" s="617"/>
      <c r="D108" s="617"/>
      <c r="E108" s="617"/>
      <c r="F108" s="617"/>
      <c r="G108" s="617"/>
      <c r="H108" s="466"/>
      <c r="I108" s="468"/>
      <c r="J108" s="468"/>
      <c r="K108" s="1690">
        <f>H108</f>
        <v>0</v>
      </c>
      <c r="L108" s="466"/>
      <c r="M108" s="210"/>
      <c r="N108" s="210"/>
    </row>
    <row r="109" spans="1:14" s="598" customFormat="1" x14ac:dyDescent="0.2">
      <c r="A109" s="1523" t="s">
        <v>272</v>
      </c>
      <c r="B109" s="629">
        <v>5150</v>
      </c>
      <c r="C109" s="617"/>
      <c r="D109" s="617"/>
      <c r="E109" s="617"/>
      <c r="F109" s="617"/>
      <c r="G109" s="617"/>
      <c r="H109" s="466"/>
      <c r="I109" s="468"/>
      <c r="J109" s="468"/>
      <c r="K109" s="1690">
        <f>H109</f>
        <v>0</v>
      </c>
      <c r="L109" s="466"/>
      <c r="M109" s="210"/>
      <c r="N109" s="210"/>
    </row>
    <row r="110" spans="1:14" s="598" customFormat="1" ht="12.75" customHeight="1" thickBot="1" x14ac:dyDescent="0.25">
      <c r="A110" s="1687" t="s">
        <v>1164</v>
      </c>
      <c r="B110" s="1694" t="s">
        <v>742</v>
      </c>
      <c r="C110" s="617"/>
      <c r="D110" s="617"/>
      <c r="E110" s="617"/>
      <c r="F110" s="617"/>
      <c r="G110" s="617"/>
      <c r="H110" s="1689">
        <f>SUM(H105:H109)</f>
        <v>0</v>
      </c>
      <c r="I110" s="468"/>
      <c r="J110" s="468"/>
      <c r="K110" s="1689">
        <f>SUM(K105:K109)</f>
        <v>0</v>
      </c>
      <c r="L110" s="1689">
        <f>SUM(L105:L109)</f>
        <v>0</v>
      </c>
      <c r="M110" s="210"/>
      <c r="N110" s="210"/>
    </row>
    <row r="111" spans="1:14" s="598" customFormat="1" ht="12.75" customHeight="1" thickTop="1" thickBot="1" x14ac:dyDescent="0.25">
      <c r="A111" s="1533" t="s">
        <v>386</v>
      </c>
      <c r="B111" s="648" t="s">
        <v>38</v>
      </c>
      <c r="C111" s="617"/>
      <c r="D111" s="617"/>
      <c r="E111" s="617"/>
      <c r="F111" s="617"/>
      <c r="G111" s="617"/>
      <c r="H111" s="535"/>
      <c r="I111" s="468"/>
      <c r="J111" s="468"/>
      <c r="K111" s="1702">
        <f>H111</f>
        <v>0</v>
      </c>
      <c r="L111" s="532"/>
      <c r="M111" s="210"/>
      <c r="N111" s="210"/>
    </row>
    <row r="112" spans="1:14" s="598" customFormat="1" ht="12.75" customHeight="1" thickTop="1" thickBot="1" x14ac:dyDescent="0.25">
      <c r="A112" s="1687" t="s">
        <v>659</v>
      </c>
      <c r="B112" s="1688" t="s">
        <v>513</v>
      </c>
      <c r="C112" s="617"/>
      <c r="D112" s="617"/>
      <c r="E112" s="617"/>
      <c r="F112" s="617"/>
      <c r="G112" s="617"/>
      <c r="H112" s="1689">
        <f>SUM(H110:H111)</f>
        <v>0</v>
      </c>
      <c r="I112" s="468"/>
      <c r="J112" s="468"/>
      <c r="K112" s="1689">
        <f>SUM(K110:K111)</f>
        <v>0</v>
      </c>
      <c r="L112" s="1696">
        <f>SUM(L110,L111)</f>
        <v>0</v>
      </c>
      <c r="M112" s="210"/>
      <c r="N112" s="210"/>
    </row>
    <row r="113" spans="1:14" s="259" customFormat="1" ht="15.75" customHeight="1" thickTop="1" thickBot="1" x14ac:dyDescent="0.25">
      <c r="A113" s="1625" t="s">
        <v>535</v>
      </c>
      <c r="B113" s="1632" t="s">
        <v>916</v>
      </c>
      <c r="C113" s="624"/>
      <c r="D113" s="624"/>
      <c r="E113" s="617"/>
      <c r="F113" s="617"/>
      <c r="G113" s="617"/>
      <c r="H113" s="624"/>
      <c r="I113" s="468"/>
      <c r="J113" s="468"/>
      <c r="K113" s="624"/>
      <c r="L113" s="531"/>
      <c r="M113" s="614"/>
      <c r="N113" s="614"/>
    </row>
    <row r="114" spans="1:14" ht="12.75" customHeight="1" thickTop="1" thickBot="1" x14ac:dyDescent="0.25">
      <c r="A114" s="1687" t="s">
        <v>50</v>
      </c>
      <c r="B114" s="1701"/>
      <c r="C114" s="1689">
        <f>SUM(C33,C74,C75,C102,C112,C113)</f>
        <v>1591178</v>
      </c>
      <c r="D114" s="1689">
        <f t="shared" ref="D114:K114" si="13">SUM(D33,D74,D75,D102,D112,D113)</f>
        <v>215567</v>
      </c>
      <c r="E114" s="1689">
        <f t="shared" si="13"/>
        <v>130161</v>
      </c>
      <c r="F114" s="1689">
        <f t="shared" si="13"/>
        <v>152466</v>
      </c>
      <c r="G114" s="1689">
        <f t="shared" si="13"/>
        <v>20248</v>
      </c>
      <c r="H114" s="1689">
        <f>SUM(H33,H74,H75,H102,H112,H113)</f>
        <v>407847</v>
      </c>
      <c r="I114" s="1689">
        <f t="shared" si="13"/>
        <v>0</v>
      </c>
      <c r="J114" s="1689">
        <f t="shared" si="13"/>
        <v>0</v>
      </c>
      <c r="K114" s="1689">
        <f t="shared" si="13"/>
        <v>2517467</v>
      </c>
      <c r="L114" s="1689">
        <f>SUM(L33,L74,L75,L102,L112,L113)</f>
        <v>2595208</v>
      </c>
    </row>
    <row r="115" spans="1:14" ht="13.5" thickTop="1" x14ac:dyDescent="0.2">
      <c r="A115" s="2249" t="s">
        <v>1053</v>
      </c>
      <c r="B115" s="2250"/>
      <c r="C115" s="619"/>
      <c r="D115" s="619"/>
      <c r="E115" s="619"/>
      <c r="F115" s="619"/>
      <c r="G115" s="619"/>
      <c r="H115" s="619"/>
      <c r="I115" s="619"/>
      <c r="J115" s="619"/>
      <c r="K115" s="1703">
        <f>'Revenues 9-14'!C275-'Expenditures 15-22'!K114</f>
        <v>189111</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227" t="s">
        <v>314</v>
      </c>
      <c r="B117" s="2228"/>
      <c r="C117" s="1645"/>
      <c r="D117" s="1646"/>
      <c r="E117" s="1646"/>
      <c r="F117" s="1646"/>
      <c r="G117" s="1646"/>
      <c r="H117" s="1646"/>
      <c r="I117" s="1646"/>
      <c r="J117" s="1646"/>
      <c r="K117" s="1646"/>
      <c r="L117" s="1647"/>
      <c r="M117" s="175"/>
      <c r="N117" s="175"/>
    </row>
    <row r="118" spans="1:14" ht="15.75" customHeight="1" x14ac:dyDescent="0.2">
      <c r="A118" s="1633" t="s">
        <v>1095</v>
      </c>
      <c r="B118" s="1634"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7" t="s">
        <v>167</v>
      </c>
      <c r="B120" s="629">
        <v>2190</v>
      </c>
      <c r="C120" s="466"/>
      <c r="D120" s="466"/>
      <c r="E120" s="466"/>
      <c r="F120" s="466"/>
      <c r="G120" s="466"/>
      <c r="H120" s="466"/>
      <c r="I120" s="467"/>
      <c r="J120" s="467"/>
      <c r="K120" s="1690">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3" t="s">
        <v>1128</v>
      </c>
      <c r="B122" s="615">
        <v>2510</v>
      </c>
      <c r="C122" s="466"/>
      <c r="D122" s="466"/>
      <c r="E122" s="466"/>
      <c r="F122" s="466"/>
      <c r="G122" s="466"/>
      <c r="H122" s="466"/>
      <c r="I122" s="467"/>
      <c r="J122" s="467"/>
      <c r="K122" s="1689">
        <f>SUM(C122:J122)</f>
        <v>0</v>
      </c>
      <c r="L122" s="466"/>
    </row>
    <row r="123" spans="1:14" ht="14.25" thickTop="1" thickBot="1" x14ac:dyDescent="0.25">
      <c r="A123" s="1523" t="s">
        <v>4</v>
      </c>
      <c r="B123" s="615">
        <v>2530</v>
      </c>
      <c r="C123" s="466"/>
      <c r="D123" s="466"/>
      <c r="E123" s="466"/>
      <c r="F123" s="466"/>
      <c r="G123" s="466"/>
      <c r="H123" s="466"/>
      <c r="I123" s="467"/>
      <c r="J123" s="467"/>
      <c r="K123" s="1689">
        <f>SUM(C123:J123)</f>
        <v>0</v>
      </c>
      <c r="L123" s="466"/>
    </row>
    <row r="124" spans="1:14" ht="14.25" thickTop="1" thickBot="1" x14ac:dyDescent="0.25">
      <c r="A124" s="1523" t="s">
        <v>206</v>
      </c>
      <c r="B124" s="615">
        <v>2540</v>
      </c>
      <c r="C124" s="466">
        <v>108967</v>
      </c>
      <c r="D124" s="466">
        <v>29068</v>
      </c>
      <c r="E124" s="466">
        <f>4098+3058+5954+816+6590+325</f>
        <v>20841</v>
      </c>
      <c r="F124" s="466">
        <f>20799+798+9427+1572+50548+1640+1</f>
        <v>84785</v>
      </c>
      <c r="G124" s="466">
        <v>5468</v>
      </c>
      <c r="H124" s="466"/>
      <c r="I124" s="467"/>
      <c r="J124" s="467"/>
      <c r="K124" s="1689">
        <f>SUM(C124:J124)</f>
        <v>249129</v>
      </c>
      <c r="L124" s="466">
        <v>247860</v>
      </c>
    </row>
    <row r="125" spans="1:14" ht="14.25" thickTop="1" thickBot="1" x14ac:dyDescent="0.25">
      <c r="A125" s="1523" t="s">
        <v>1010</v>
      </c>
      <c r="B125" s="615">
        <v>2550</v>
      </c>
      <c r="C125" s="466"/>
      <c r="D125" s="466"/>
      <c r="E125" s="466"/>
      <c r="F125" s="466"/>
      <c r="G125" s="466"/>
      <c r="H125" s="466"/>
      <c r="I125" s="467"/>
      <c r="J125" s="467"/>
      <c r="K125" s="1689">
        <f>SUM(C125:J125)</f>
        <v>0</v>
      </c>
      <c r="L125" s="466"/>
    </row>
    <row r="126" spans="1:14" ht="14.25" thickTop="1" thickBot="1" x14ac:dyDescent="0.25">
      <c r="A126" s="1523" t="s">
        <v>102</v>
      </c>
      <c r="B126" s="615">
        <v>2560</v>
      </c>
      <c r="C126" s="655"/>
      <c r="D126" s="655"/>
      <c r="E126" s="655"/>
      <c r="F126" s="655"/>
      <c r="G126" s="466"/>
      <c r="H126" s="655"/>
      <c r="I126" s="474"/>
      <c r="J126" s="617"/>
      <c r="K126" s="1689">
        <f>SUM(C126:J126)</f>
        <v>0</v>
      </c>
      <c r="L126" s="466"/>
    </row>
    <row r="127" spans="1:14" ht="12.75" customHeight="1" thickTop="1" thickBot="1" x14ac:dyDescent="0.25">
      <c r="A127" s="1687" t="s">
        <v>743</v>
      </c>
      <c r="B127" s="1688" t="s">
        <v>35</v>
      </c>
      <c r="C127" s="1689">
        <f>SUM(C122:C126)</f>
        <v>108967</v>
      </c>
      <c r="D127" s="1689">
        <f t="shared" ref="D127:L127" si="14">SUM(D122:D126)</f>
        <v>29068</v>
      </c>
      <c r="E127" s="1689">
        <f t="shared" si="14"/>
        <v>20841</v>
      </c>
      <c r="F127" s="1689">
        <f t="shared" si="14"/>
        <v>84785</v>
      </c>
      <c r="G127" s="1689">
        <f t="shared" si="14"/>
        <v>5468</v>
      </c>
      <c r="H127" s="1689">
        <f t="shared" si="14"/>
        <v>0</v>
      </c>
      <c r="I127" s="1689">
        <f t="shared" si="14"/>
        <v>0</v>
      </c>
      <c r="J127" s="1689">
        <f t="shared" si="14"/>
        <v>0</v>
      </c>
      <c r="K127" s="1689">
        <f t="shared" si="14"/>
        <v>249129</v>
      </c>
      <c r="L127" s="1689">
        <f t="shared" si="14"/>
        <v>247860</v>
      </c>
    </row>
    <row r="128" spans="1:14" ht="12.75" customHeight="1" thickTop="1" x14ac:dyDescent="0.2">
      <c r="A128" s="1530" t="s">
        <v>1037</v>
      </c>
      <c r="B128" s="656" t="s">
        <v>595</v>
      </c>
      <c r="C128" s="657"/>
      <c r="D128" s="657"/>
      <c r="E128" s="657"/>
      <c r="F128" s="657"/>
      <c r="G128" s="657"/>
      <c r="H128" s="657"/>
      <c r="I128" s="535"/>
      <c r="J128" s="535"/>
      <c r="K128" s="1704">
        <f>SUM(C128:J128)</f>
        <v>0</v>
      </c>
      <c r="L128" s="657"/>
    </row>
    <row r="129" spans="1:14" ht="12.75" customHeight="1" thickBot="1" x14ac:dyDescent="0.25">
      <c r="A129" s="1705" t="s">
        <v>865</v>
      </c>
      <c r="B129" s="1706" t="s">
        <v>590</v>
      </c>
      <c r="C129" s="1696">
        <f>SUM(C120,C127,C128)</f>
        <v>108967</v>
      </c>
      <c r="D129" s="1696">
        <f t="shared" ref="D129:L129" si="15">SUM(D120,D127,D128)</f>
        <v>29068</v>
      </c>
      <c r="E129" s="1696">
        <f t="shared" si="15"/>
        <v>20841</v>
      </c>
      <c r="F129" s="1696">
        <f t="shared" si="15"/>
        <v>84785</v>
      </c>
      <c r="G129" s="1696">
        <f t="shared" si="15"/>
        <v>5468</v>
      </c>
      <c r="H129" s="1696">
        <f t="shared" si="15"/>
        <v>0</v>
      </c>
      <c r="I129" s="1696">
        <f t="shared" si="15"/>
        <v>0</v>
      </c>
      <c r="J129" s="1696">
        <f t="shared" si="15"/>
        <v>0</v>
      </c>
      <c r="K129" s="1696">
        <f t="shared" si="15"/>
        <v>249129</v>
      </c>
      <c r="L129" s="1696">
        <f t="shared" si="15"/>
        <v>247860</v>
      </c>
    </row>
    <row r="130" spans="1:14" ht="15.75" customHeight="1" thickTop="1" thickBot="1" x14ac:dyDescent="0.25">
      <c r="A130" s="1629" t="s">
        <v>1096</v>
      </c>
      <c r="B130" s="1630" t="s">
        <v>596</v>
      </c>
      <c r="C130" s="576"/>
      <c r="D130" s="576"/>
      <c r="E130" s="576"/>
      <c r="F130" s="576"/>
      <c r="G130" s="576"/>
      <c r="H130" s="576"/>
      <c r="I130" s="531"/>
      <c r="J130" s="531"/>
      <c r="K130" s="1689">
        <f>SUM(C130:J130)</f>
        <v>0</v>
      </c>
      <c r="L130" s="576"/>
    </row>
    <row r="131" spans="1:14" ht="15.75" customHeight="1" thickTop="1" x14ac:dyDescent="0.2">
      <c r="A131" s="1635" t="s">
        <v>637</v>
      </c>
      <c r="B131" s="1628"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09" t="s">
        <v>517</v>
      </c>
      <c r="B133" s="1861" t="s">
        <v>1956</v>
      </c>
      <c r="C133" s="468"/>
      <c r="D133" s="468"/>
      <c r="E133" s="642"/>
      <c r="F133" s="468"/>
      <c r="G133" s="468"/>
      <c r="H133" s="642"/>
      <c r="I133" s="468"/>
      <c r="J133" s="468"/>
      <c r="K133" s="1841">
        <f>SUM(E133,H133)</f>
        <v>0</v>
      </c>
      <c r="L133" s="642"/>
      <c r="M133" s="206"/>
      <c r="N133" s="206"/>
    </row>
    <row r="134" spans="1:14" x14ac:dyDescent="0.2">
      <c r="A134" s="1523" t="s">
        <v>322</v>
      </c>
      <c r="B134" s="615">
        <v>4120</v>
      </c>
      <c r="C134" s="617"/>
      <c r="D134" s="617"/>
      <c r="E134" s="478"/>
      <c r="F134" s="617"/>
      <c r="G134" s="617"/>
      <c r="H134" s="481"/>
      <c r="I134" s="477"/>
      <c r="J134" s="617"/>
      <c r="K134" s="1691">
        <f>SUM(E134,H134)</f>
        <v>0</v>
      </c>
      <c r="L134" s="481"/>
    </row>
    <row r="135" spans="1:14" x14ac:dyDescent="0.2">
      <c r="A135" s="1523" t="s">
        <v>721</v>
      </c>
      <c r="B135" s="615">
        <v>4140</v>
      </c>
      <c r="C135" s="617"/>
      <c r="D135" s="617"/>
      <c r="E135" s="467"/>
      <c r="F135" s="617"/>
      <c r="G135" s="617"/>
      <c r="H135" s="466"/>
      <c r="I135" s="477"/>
      <c r="J135" s="617"/>
      <c r="K135" s="1691">
        <f>SUM(E135,H135)</f>
        <v>0</v>
      </c>
      <c r="L135" s="466"/>
    </row>
    <row r="136" spans="1:14" x14ac:dyDescent="0.2">
      <c r="A136" s="1527" t="s">
        <v>722</v>
      </c>
      <c r="B136" s="629">
        <v>4190</v>
      </c>
      <c r="C136" s="617"/>
      <c r="D136" s="617"/>
      <c r="E136" s="467"/>
      <c r="F136" s="617"/>
      <c r="G136" s="617"/>
      <c r="H136" s="466"/>
      <c r="I136" s="477"/>
      <c r="J136" s="617"/>
      <c r="K136" s="1691">
        <f>SUM(E136,H136)</f>
        <v>0</v>
      </c>
      <c r="L136" s="466"/>
    </row>
    <row r="137" spans="1:14" ht="12.75" customHeight="1" thickBot="1" x14ac:dyDescent="0.25">
      <c r="A137" s="1687" t="s">
        <v>501</v>
      </c>
      <c r="B137" s="1697">
        <v>4100</v>
      </c>
      <c r="C137" s="617"/>
      <c r="D137" s="617"/>
      <c r="E137" s="1689">
        <f>SUM(E133:E136)</f>
        <v>0</v>
      </c>
      <c r="F137" s="617"/>
      <c r="G137" s="617"/>
      <c r="H137" s="1689">
        <f>SUM(H133:H136)</f>
        <v>0</v>
      </c>
      <c r="I137" s="477"/>
      <c r="J137" s="617"/>
      <c r="K137" s="1689">
        <f>SUM(K133:K136)</f>
        <v>0</v>
      </c>
      <c r="L137" s="1689">
        <f>SUM(L133:L136)</f>
        <v>0</v>
      </c>
    </row>
    <row r="138" spans="1:14" ht="12.75" customHeight="1" thickTop="1" thickBot="1" x14ac:dyDescent="0.25">
      <c r="A138" s="1529" t="s">
        <v>98</v>
      </c>
      <c r="B138" s="644" t="s">
        <v>988</v>
      </c>
      <c r="C138" s="617"/>
      <c r="D138" s="617"/>
      <c r="E138" s="479"/>
      <c r="F138" s="617"/>
      <c r="G138" s="617"/>
      <c r="H138" s="576"/>
      <c r="I138" s="477"/>
      <c r="J138" s="617"/>
      <c r="K138" s="1691">
        <f>SUM(E138,H138)</f>
        <v>0</v>
      </c>
      <c r="L138" s="576"/>
    </row>
    <row r="139" spans="1:14" ht="12.75" customHeight="1" thickTop="1" thickBot="1" x14ac:dyDescent="0.25">
      <c r="A139" s="1687" t="s">
        <v>1567</v>
      </c>
      <c r="B139" s="1697">
        <v>4000</v>
      </c>
      <c r="C139" s="617"/>
      <c r="D139" s="617"/>
      <c r="E139" s="1689">
        <f>SUM(E137,E138)</f>
        <v>0</v>
      </c>
      <c r="F139" s="617"/>
      <c r="G139" s="617"/>
      <c r="H139" s="1698">
        <f>SUM(H137:H138)</f>
        <v>0</v>
      </c>
      <c r="I139" s="477"/>
      <c r="J139" s="617"/>
      <c r="K139" s="1691">
        <f>SUM(K137,K138)</f>
        <v>0</v>
      </c>
      <c r="L139" s="1698">
        <f>SUM(L137,L138)</f>
        <v>0</v>
      </c>
    </row>
    <row r="140" spans="1:14" ht="15.75" customHeight="1" thickTop="1" x14ac:dyDescent="0.2">
      <c r="A140" s="1631" t="s">
        <v>1097</v>
      </c>
      <c r="B140" s="1632"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3" t="s">
        <v>89</v>
      </c>
      <c r="B142" s="615">
        <v>5110</v>
      </c>
      <c r="C142" s="617"/>
      <c r="D142" s="617"/>
      <c r="E142" s="617"/>
      <c r="F142" s="617"/>
      <c r="G142" s="617"/>
      <c r="H142" s="481"/>
      <c r="I142" s="468"/>
      <c r="J142" s="617"/>
      <c r="K142" s="1691">
        <f>SUM(H142)</f>
        <v>0</v>
      </c>
      <c r="L142" s="481"/>
    </row>
    <row r="143" spans="1:14" x14ac:dyDescent="0.2">
      <c r="A143" s="1523" t="s">
        <v>90</v>
      </c>
      <c r="B143" s="615">
        <v>5120</v>
      </c>
      <c r="C143" s="617"/>
      <c r="D143" s="617"/>
      <c r="E143" s="617"/>
      <c r="F143" s="617"/>
      <c r="G143" s="617"/>
      <c r="H143" s="466"/>
      <c r="I143" s="468"/>
      <c r="J143" s="617"/>
      <c r="K143" s="1691">
        <f>SUM(H143)</f>
        <v>0</v>
      </c>
      <c r="L143" s="466"/>
    </row>
    <row r="144" spans="1:14" ht="12.75" customHeight="1" x14ac:dyDescent="0.2">
      <c r="A144" s="1523" t="s">
        <v>1232</v>
      </c>
      <c r="B144" s="629" t="s">
        <v>638</v>
      </c>
      <c r="C144" s="617"/>
      <c r="D144" s="617"/>
      <c r="E144" s="617"/>
      <c r="F144" s="617"/>
      <c r="G144" s="617"/>
      <c r="H144" s="466"/>
      <c r="I144" s="468"/>
      <c r="J144" s="617"/>
      <c r="K144" s="1691">
        <f>SUM(H144)</f>
        <v>0</v>
      </c>
      <c r="L144" s="466"/>
    </row>
    <row r="145" spans="1:14" x14ac:dyDescent="0.2">
      <c r="A145" s="1523" t="s">
        <v>91</v>
      </c>
      <c r="B145" s="615" t="s">
        <v>610</v>
      </c>
      <c r="C145" s="617"/>
      <c r="D145" s="617"/>
      <c r="E145" s="617"/>
      <c r="F145" s="617"/>
      <c r="G145" s="617"/>
      <c r="H145" s="466"/>
      <c r="I145" s="468"/>
      <c r="J145" s="617"/>
      <c r="K145" s="1691">
        <f>SUM(H145)</f>
        <v>0</v>
      </c>
      <c r="L145" s="466"/>
    </row>
    <row r="146" spans="1:14" ht="12.75" customHeight="1" x14ac:dyDescent="0.2">
      <c r="A146" s="1523" t="s">
        <v>640</v>
      </c>
      <c r="B146" s="615" t="s">
        <v>639</v>
      </c>
      <c r="C146" s="617"/>
      <c r="D146" s="617"/>
      <c r="E146" s="617"/>
      <c r="F146" s="617"/>
      <c r="G146" s="617"/>
      <c r="H146" s="466"/>
      <c r="I146" s="468"/>
      <c r="J146" s="617"/>
      <c r="K146" s="1691">
        <f>SUM(H146)</f>
        <v>0</v>
      </c>
      <c r="L146" s="466"/>
    </row>
    <row r="147" spans="1:14" ht="12.75" customHeight="1" thickBot="1" x14ac:dyDescent="0.25">
      <c r="A147" s="1534" t="s">
        <v>647</v>
      </c>
      <c r="B147" s="660" t="s">
        <v>742</v>
      </c>
      <c r="C147" s="617"/>
      <c r="D147" s="617"/>
      <c r="E147" s="617"/>
      <c r="F147" s="617"/>
      <c r="G147" s="617"/>
      <c r="H147" s="1707">
        <f>SUM(H142:H146)</f>
        <v>0</v>
      </c>
      <c r="I147" s="468"/>
      <c r="J147" s="617"/>
      <c r="K147" s="1689">
        <f>SUM(K142:K146)</f>
        <v>0</v>
      </c>
      <c r="L147" s="1707">
        <f>SUM(L142:L146)</f>
        <v>0</v>
      </c>
    </row>
    <row r="148" spans="1:14" ht="15.75" customHeight="1" thickTop="1" x14ac:dyDescent="0.2">
      <c r="A148" s="661" t="s">
        <v>1165</v>
      </c>
      <c r="B148" s="662" t="s">
        <v>38</v>
      </c>
      <c r="C148" s="617"/>
      <c r="D148" s="617"/>
      <c r="E148" s="617"/>
      <c r="F148" s="617"/>
      <c r="G148" s="617"/>
      <c r="H148" s="479"/>
      <c r="I148" s="468"/>
      <c r="J148" s="617"/>
      <c r="K148" s="1691">
        <f>SUM(H148)</f>
        <v>0</v>
      </c>
      <c r="L148" s="492"/>
    </row>
    <row r="149" spans="1:14" ht="12.75" customHeight="1" thickBot="1" x14ac:dyDescent="0.25">
      <c r="A149" s="1526" t="s">
        <v>659</v>
      </c>
      <c r="B149" s="618" t="s">
        <v>513</v>
      </c>
      <c r="C149" s="617"/>
      <c r="D149" s="617"/>
      <c r="E149" s="617"/>
      <c r="F149" s="617"/>
      <c r="G149" s="617"/>
      <c r="H149" s="1689">
        <f>SUM(H147,H148)</f>
        <v>0</v>
      </c>
      <c r="I149" s="468"/>
      <c r="J149" s="617"/>
      <c r="K149" s="1689">
        <f>SUM(K147:K148)</f>
        <v>0</v>
      </c>
      <c r="L149" s="1689">
        <f>SUM(L142:L146,L148)</f>
        <v>0</v>
      </c>
    </row>
    <row r="150" spans="1:14" ht="15.75" customHeight="1" thickTop="1" thickBot="1" x14ac:dyDescent="0.25">
      <c r="A150" s="1625" t="s">
        <v>1098</v>
      </c>
      <c r="B150" s="1632" t="s">
        <v>916</v>
      </c>
      <c r="C150" s="617"/>
      <c r="D150" s="617"/>
      <c r="E150" s="617"/>
      <c r="F150" s="617"/>
      <c r="G150" s="617"/>
      <c r="H150" s="663"/>
      <c r="I150" s="521"/>
      <c r="J150" s="617"/>
      <c r="K150" s="624"/>
      <c r="L150" s="573"/>
    </row>
    <row r="151" spans="1:14" ht="12.75" customHeight="1" thickTop="1" thickBot="1" x14ac:dyDescent="0.25">
      <c r="A151" s="2239" t="s">
        <v>641</v>
      </c>
      <c r="B151" s="2221"/>
      <c r="C151" s="1689">
        <f>SUM(C129,C130,C139,C149,C150)</f>
        <v>108967</v>
      </c>
      <c r="D151" s="1689">
        <f t="shared" ref="D151:K151" si="16">SUM(D129,D130,D139,D149,D150)</f>
        <v>29068</v>
      </c>
      <c r="E151" s="1689">
        <f t="shared" si="16"/>
        <v>20841</v>
      </c>
      <c r="F151" s="1689">
        <f t="shared" si="16"/>
        <v>84785</v>
      </c>
      <c r="G151" s="1689">
        <f t="shared" si="16"/>
        <v>5468</v>
      </c>
      <c r="H151" s="1689">
        <f t="shared" si="16"/>
        <v>0</v>
      </c>
      <c r="I151" s="1689">
        <f t="shared" si="16"/>
        <v>0</v>
      </c>
      <c r="J151" s="1689">
        <f t="shared" si="16"/>
        <v>0</v>
      </c>
      <c r="K151" s="1689">
        <f t="shared" si="16"/>
        <v>249129</v>
      </c>
      <c r="L151" s="1689">
        <f>SUM(L129,L130,L139,L149,L150)</f>
        <v>247860</v>
      </c>
    </row>
    <row r="152" spans="1:14" ht="12.75" customHeight="1" thickTop="1" x14ac:dyDescent="0.2">
      <c r="A152" s="2242" t="s">
        <v>1240</v>
      </c>
      <c r="B152" s="2243"/>
      <c r="C152" s="619"/>
      <c r="D152" s="619"/>
      <c r="E152" s="619"/>
      <c r="F152" s="619"/>
      <c r="G152" s="619"/>
      <c r="H152" s="619"/>
      <c r="I152" s="619"/>
      <c r="J152" s="617"/>
      <c r="K152" s="1703">
        <f>'Revenues 9-14'!D275-'Expenditures 15-22'!K151</f>
        <v>-34074</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227" t="s">
        <v>642</v>
      </c>
      <c r="B154" s="2229"/>
      <c r="C154" s="1645"/>
      <c r="D154" s="1646"/>
      <c r="E154" s="1646"/>
      <c r="F154" s="1646"/>
      <c r="G154" s="1646"/>
      <c r="H154" s="1646"/>
      <c r="I154" s="1646"/>
      <c r="J154" s="1646"/>
      <c r="K154" s="1646"/>
      <c r="L154" s="1647"/>
      <c r="M154" s="668"/>
      <c r="N154" s="668"/>
    </row>
    <row r="155" spans="1:14" s="621" customFormat="1" ht="15.75" customHeight="1" thickBot="1" x14ac:dyDescent="0.25">
      <c r="A155" s="1636" t="s">
        <v>83</v>
      </c>
      <c r="B155" s="1637" t="s">
        <v>915</v>
      </c>
      <c r="C155" s="617"/>
      <c r="D155" s="617"/>
      <c r="E155" s="617"/>
      <c r="F155" s="617"/>
      <c r="G155" s="617"/>
      <c r="H155" s="1862"/>
      <c r="I155" s="617"/>
      <c r="J155" s="617"/>
      <c r="K155" s="1845"/>
      <c r="L155" s="1862"/>
      <c r="M155" s="620"/>
      <c r="N155" s="620"/>
    </row>
    <row r="156" spans="1:14" s="621" customFormat="1" ht="15.75" customHeight="1" thickTop="1" x14ac:dyDescent="0.2">
      <c r="A156" s="1842" t="s">
        <v>1957</v>
      </c>
      <c r="B156" s="1843"/>
      <c r="C156" s="617"/>
      <c r="D156" s="617"/>
      <c r="E156" s="617"/>
      <c r="F156" s="617"/>
      <c r="G156" s="617"/>
      <c r="H156" s="1863"/>
      <c r="I156" s="617"/>
      <c r="J156" s="617"/>
      <c r="K156" s="1844"/>
      <c r="L156" s="1863"/>
      <c r="M156" s="620"/>
      <c r="N156" s="620"/>
    </row>
    <row r="157" spans="1:14" s="621" customFormat="1" ht="12" x14ac:dyDescent="0.2">
      <c r="A157" s="1846" t="s">
        <v>517</v>
      </c>
      <c r="B157" s="1847" t="s">
        <v>1956</v>
      </c>
      <c r="C157" s="617"/>
      <c r="D157" s="617"/>
      <c r="E157" s="617"/>
      <c r="F157" s="617"/>
      <c r="G157" s="617"/>
      <c r="H157" s="642"/>
      <c r="I157" s="617"/>
      <c r="J157" s="617"/>
      <c r="K157" s="1690">
        <f>H157</f>
        <v>0</v>
      </c>
      <c r="L157" s="467"/>
      <c r="M157" s="620"/>
      <c r="N157" s="620"/>
    </row>
    <row r="158" spans="1:14" s="621" customFormat="1" ht="12" x14ac:dyDescent="0.2">
      <c r="A158" s="1846" t="s">
        <v>322</v>
      </c>
      <c r="B158" s="1847" t="s">
        <v>1958</v>
      </c>
      <c r="C158" s="617"/>
      <c r="D158" s="617"/>
      <c r="E158" s="617"/>
      <c r="F158" s="617"/>
      <c r="G158" s="617"/>
      <c r="H158" s="467"/>
      <c r="I158" s="617"/>
      <c r="J158" s="617"/>
      <c r="K158" s="1690">
        <f>H158</f>
        <v>0</v>
      </c>
      <c r="L158" s="467"/>
      <c r="M158" s="620"/>
      <c r="N158" s="620"/>
    </row>
    <row r="159" spans="1:14" s="621" customFormat="1" ht="12" x14ac:dyDescent="0.2">
      <c r="A159" s="1846" t="s">
        <v>1959</v>
      </c>
      <c r="B159" s="1847" t="s">
        <v>579</v>
      </c>
      <c r="C159" s="617"/>
      <c r="D159" s="617"/>
      <c r="E159" s="617"/>
      <c r="F159" s="617"/>
      <c r="G159" s="617"/>
      <c r="H159" s="467"/>
      <c r="I159" s="617"/>
      <c r="J159" s="617"/>
      <c r="K159" s="1690">
        <f>H159</f>
        <v>0</v>
      </c>
      <c r="L159" s="467"/>
      <c r="M159" s="620"/>
      <c r="N159" s="620"/>
    </row>
    <row r="160" spans="1:14" s="621" customFormat="1" ht="15.75" customHeight="1" thickBot="1" x14ac:dyDescent="0.25">
      <c r="A160" s="1848" t="s">
        <v>1960</v>
      </c>
      <c r="B160" s="1849" t="s">
        <v>915</v>
      </c>
      <c r="C160" s="617"/>
      <c r="D160" s="617"/>
      <c r="E160" s="617"/>
      <c r="F160" s="617"/>
      <c r="G160" s="617"/>
      <c r="H160" s="1707">
        <f>SUM(H157:H159)</f>
        <v>0</v>
      </c>
      <c r="I160" s="617"/>
      <c r="J160" s="617"/>
      <c r="K160" s="1689">
        <f>SUM(K157:K159)</f>
        <v>0</v>
      </c>
      <c r="L160" s="1707">
        <f>SUM(L157:L159)</f>
        <v>0</v>
      </c>
      <c r="M160" s="620"/>
      <c r="N160" s="620"/>
    </row>
    <row r="161" spans="1:14" s="259" customFormat="1" ht="15.75" customHeight="1" thickTop="1" x14ac:dyDescent="0.2">
      <c r="A161" s="1631" t="s">
        <v>84</v>
      </c>
      <c r="B161" s="1632"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3" t="s">
        <v>89</v>
      </c>
      <c r="B163" s="615">
        <v>5110</v>
      </c>
      <c r="C163" s="617"/>
      <c r="D163" s="617"/>
      <c r="E163" s="617"/>
      <c r="F163" s="617"/>
      <c r="G163" s="617"/>
      <c r="H163" s="466"/>
      <c r="I163" s="617"/>
      <c r="J163" s="617"/>
      <c r="K163" s="1690">
        <f>SUM(C163:J163)</f>
        <v>0</v>
      </c>
      <c r="L163" s="466"/>
    </row>
    <row r="164" spans="1:14" x14ac:dyDescent="0.2">
      <c r="A164" s="1523" t="s">
        <v>90</v>
      </c>
      <c r="B164" s="615">
        <v>5120</v>
      </c>
      <c r="C164" s="617"/>
      <c r="D164" s="617"/>
      <c r="E164" s="617"/>
      <c r="F164" s="617"/>
      <c r="G164" s="617"/>
      <c r="H164" s="466"/>
      <c r="I164" s="617"/>
      <c r="J164" s="617"/>
      <c r="K164" s="1690">
        <f>SUM(C164:J164)</f>
        <v>0</v>
      </c>
      <c r="L164" s="466"/>
    </row>
    <row r="165" spans="1:14" ht="12.75" customHeight="1" x14ac:dyDescent="0.2">
      <c r="A165" s="1523" t="s">
        <v>1232</v>
      </c>
      <c r="B165" s="615" t="s">
        <v>638</v>
      </c>
      <c r="C165" s="617"/>
      <c r="D165" s="617"/>
      <c r="E165" s="617"/>
      <c r="F165" s="617"/>
      <c r="G165" s="617"/>
      <c r="H165" s="466"/>
      <c r="I165" s="617"/>
      <c r="J165" s="617"/>
      <c r="K165" s="1690">
        <f>SUM(C165:J165)</f>
        <v>0</v>
      </c>
      <c r="L165" s="466"/>
    </row>
    <row r="166" spans="1:14" x14ac:dyDescent="0.2">
      <c r="A166" s="1523" t="s">
        <v>91</v>
      </c>
      <c r="B166" s="629" t="s">
        <v>610</v>
      </c>
      <c r="C166" s="617"/>
      <c r="D166" s="617"/>
      <c r="E166" s="617"/>
      <c r="F166" s="617"/>
      <c r="G166" s="617"/>
      <c r="H166" s="466"/>
      <c r="I166" s="617"/>
      <c r="J166" s="617"/>
      <c r="K166" s="1690">
        <f>SUM(C166:J166)</f>
        <v>0</v>
      </c>
      <c r="L166" s="466"/>
    </row>
    <row r="167" spans="1:14" ht="12.75" customHeight="1" x14ac:dyDescent="0.2">
      <c r="A167" s="1523" t="s">
        <v>640</v>
      </c>
      <c r="B167" s="615" t="s">
        <v>639</v>
      </c>
      <c r="C167" s="617"/>
      <c r="D167" s="617"/>
      <c r="E167" s="617"/>
      <c r="F167" s="617"/>
      <c r="G167" s="617"/>
      <c r="H167" s="466"/>
      <c r="I167" s="617"/>
      <c r="J167" s="617"/>
      <c r="K167" s="1690">
        <f>SUM(C167:J167)</f>
        <v>0</v>
      </c>
      <c r="L167" s="466"/>
    </row>
    <row r="168" spans="1:14" ht="13.5" thickBot="1" x14ac:dyDescent="0.25">
      <c r="A168" s="1687" t="s">
        <v>294</v>
      </c>
      <c r="B168" s="1694" t="s">
        <v>742</v>
      </c>
      <c r="C168" s="617"/>
      <c r="D168" s="617"/>
      <c r="E168" s="617"/>
      <c r="F168" s="617"/>
      <c r="G168" s="617"/>
      <c r="H168" s="1689">
        <f>SUM(H163:H167)</f>
        <v>0</v>
      </c>
      <c r="I168" s="617"/>
      <c r="J168" s="617"/>
      <c r="K168" s="1689">
        <f>SUM(K163:K167)</f>
        <v>0</v>
      </c>
      <c r="L168" s="1689">
        <f>SUM(L163:L167)</f>
        <v>0</v>
      </c>
    </row>
    <row r="169" spans="1:14" ht="15.75" customHeight="1" thickTop="1" x14ac:dyDescent="0.2">
      <c r="A169" s="670" t="s">
        <v>85</v>
      </c>
      <c r="B169" s="671" t="s">
        <v>38</v>
      </c>
      <c r="C169" s="617"/>
      <c r="D169" s="617"/>
      <c r="E169" s="617"/>
      <c r="F169" s="617"/>
      <c r="G169" s="617"/>
      <c r="H169" s="657">
        <v>103014</v>
      </c>
      <c r="I169" s="617"/>
      <c r="J169" s="617"/>
      <c r="K169" s="1690">
        <f>SUM(C169:H169)</f>
        <v>103014</v>
      </c>
      <c r="L169" s="657">
        <v>93000</v>
      </c>
    </row>
    <row r="170" spans="1:14" ht="33.75" customHeight="1" x14ac:dyDescent="0.2">
      <c r="A170" s="670" t="s">
        <v>1769</v>
      </c>
      <c r="B170" s="672" t="s">
        <v>31</v>
      </c>
      <c r="C170" s="617"/>
      <c r="D170" s="617"/>
      <c r="E170" s="617"/>
      <c r="F170" s="617"/>
      <c r="G170" s="617"/>
      <c r="H170" s="569">
        <v>195000</v>
      </c>
      <c r="I170" s="617"/>
      <c r="J170" s="617"/>
      <c r="K170" s="1690">
        <f>SUM(C170:J170)</f>
        <v>195000</v>
      </c>
      <c r="L170" s="569">
        <v>204000</v>
      </c>
    </row>
    <row r="171" spans="1:14" ht="15.75" customHeight="1" x14ac:dyDescent="0.2">
      <c r="A171" s="622" t="s">
        <v>790</v>
      </c>
      <c r="B171" s="673" t="s">
        <v>86</v>
      </c>
      <c r="C171" s="617"/>
      <c r="D171" s="617"/>
      <c r="E171" s="466"/>
      <c r="F171" s="617"/>
      <c r="G171" s="617"/>
      <c r="H171" s="569">
        <v>600</v>
      </c>
      <c r="I171" s="477"/>
      <c r="J171" s="617"/>
      <c r="K171" s="1690">
        <f>SUM(C171:J171)</f>
        <v>600</v>
      </c>
      <c r="L171" s="569">
        <v>1030</v>
      </c>
    </row>
    <row r="172" spans="1:14" ht="12.75" customHeight="1" thickBot="1" x14ac:dyDescent="0.25">
      <c r="A172" s="1687" t="s">
        <v>659</v>
      </c>
      <c r="B172" s="1688" t="s">
        <v>513</v>
      </c>
      <c r="C172" s="617"/>
      <c r="D172" s="617"/>
      <c r="E172" s="1696">
        <f>SUM(E168,E169,E170,E171)</f>
        <v>0</v>
      </c>
      <c r="F172" s="617"/>
      <c r="G172" s="617"/>
      <c r="H172" s="1696">
        <f>SUM(H168,H169,H170,H171)</f>
        <v>298614</v>
      </c>
      <c r="I172" s="639"/>
      <c r="J172" s="617"/>
      <c r="K172" s="1696">
        <f>SUM(K168,K169,K170,K171)</f>
        <v>298614</v>
      </c>
      <c r="L172" s="1696">
        <f>SUM(L168,L169,L170,L171)</f>
        <v>298030</v>
      </c>
    </row>
    <row r="173" spans="1:14" ht="15.75" customHeight="1" thickTop="1" thickBot="1" x14ac:dyDescent="0.25">
      <c r="A173" s="1638" t="s">
        <v>87</v>
      </c>
      <c r="B173" s="1630" t="s">
        <v>916</v>
      </c>
      <c r="C173" s="617"/>
      <c r="D173" s="617"/>
      <c r="E173" s="624"/>
      <c r="F173" s="617"/>
      <c r="G173" s="617"/>
      <c r="H173" s="627"/>
      <c r="I173" s="639"/>
      <c r="J173" s="617"/>
      <c r="K173" s="624"/>
      <c r="L173" s="576"/>
    </row>
    <row r="174" spans="1:14" ht="12.75" customHeight="1" thickTop="1" thickBot="1" x14ac:dyDescent="0.25">
      <c r="A174" s="1708" t="s">
        <v>92</v>
      </c>
      <c r="B174" s="1709"/>
      <c r="C174" s="617"/>
      <c r="D174" s="617"/>
      <c r="E174" s="1696">
        <f>SUM(E155,E172,E173)</f>
        <v>0</v>
      </c>
      <c r="F174" s="617"/>
      <c r="G174" s="617"/>
      <c r="H174" s="1696">
        <f>SUM(H160,H172,H173)</f>
        <v>298614</v>
      </c>
      <c r="I174" s="639"/>
      <c r="J174" s="617"/>
      <c r="K174" s="1696">
        <f>SUM(K160,K172,K173)</f>
        <v>298614</v>
      </c>
      <c r="L174" s="1696">
        <f>SUM(L160,L172,L173)</f>
        <v>298030</v>
      </c>
    </row>
    <row r="175" spans="1:14" ht="13.5" thickTop="1" x14ac:dyDescent="0.2">
      <c r="A175" s="2249" t="s">
        <v>1053</v>
      </c>
      <c r="B175" s="2250"/>
      <c r="C175" s="617"/>
      <c r="D175" s="617"/>
      <c r="E175" s="617"/>
      <c r="F175" s="617"/>
      <c r="G175" s="617"/>
      <c r="H175" s="619"/>
      <c r="I175" s="617"/>
      <c r="J175" s="617"/>
      <c r="K175" s="1703">
        <f>'Revenues 9-14'!E275-'Expenditures 15-22'!K174</f>
        <v>-10769</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3" t="s">
        <v>994</v>
      </c>
      <c r="B177" s="1574"/>
      <c r="C177" s="1570"/>
      <c r="D177" s="1571"/>
      <c r="E177" s="1571"/>
      <c r="F177" s="1571"/>
      <c r="G177" s="1571"/>
      <c r="H177" s="1571"/>
      <c r="I177" s="1571"/>
      <c r="J177" s="1571"/>
      <c r="K177" s="1571"/>
      <c r="L177" s="1572"/>
      <c r="M177" s="610"/>
      <c r="N177" s="610"/>
    </row>
    <row r="178" spans="1:14" s="675" customFormat="1" ht="15.75" customHeight="1" x14ac:dyDescent="0.2">
      <c r="A178" s="1639" t="s">
        <v>995</v>
      </c>
      <c r="B178" s="1640"/>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3" t="s">
        <v>167</v>
      </c>
      <c r="B180" s="615">
        <v>2190</v>
      </c>
      <c r="C180" s="466"/>
      <c r="D180" s="466"/>
      <c r="E180" s="466"/>
      <c r="F180" s="466"/>
      <c r="G180" s="466"/>
      <c r="H180" s="466"/>
      <c r="I180" s="467"/>
      <c r="J180" s="467"/>
      <c r="K180" s="1690">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3" t="s">
        <v>1010</v>
      </c>
      <c r="B182" s="615">
        <v>2550</v>
      </c>
      <c r="C182" s="466">
        <f>90446+9486+340+3292</f>
        <v>103564</v>
      </c>
      <c r="D182" s="466">
        <v>7710</v>
      </c>
      <c r="E182" s="466">
        <f>2752+25587</f>
        <v>28339</v>
      </c>
      <c r="F182" s="466">
        <f>11188+750+4432+15644-2</f>
        <v>32012</v>
      </c>
      <c r="G182" s="466"/>
      <c r="H182" s="466"/>
      <c r="I182" s="467"/>
      <c r="J182" s="467"/>
      <c r="K182" s="1690">
        <f>SUM(C182:J182)</f>
        <v>171625</v>
      </c>
      <c r="L182" s="466">
        <v>136148</v>
      </c>
    </row>
    <row r="183" spans="1:14" ht="12.75" customHeight="1" thickBot="1" x14ac:dyDescent="0.25">
      <c r="A183" s="1528" t="s">
        <v>1037</v>
      </c>
      <c r="B183" s="678">
        <v>2900</v>
      </c>
      <c r="C183" s="573"/>
      <c r="D183" s="573"/>
      <c r="E183" s="573"/>
      <c r="F183" s="573"/>
      <c r="G183" s="573"/>
      <c r="H183" s="573"/>
      <c r="I183" s="532"/>
      <c r="J183" s="532"/>
      <c r="K183" s="1696">
        <f>SUM(C183:J183)</f>
        <v>0</v>
      </c>
      <c r="L183" s="573"/>
    </row>
    <row r="184" spans="1:14" ht="12.75" customHeight="1" thickTop="1" thickBot="1" x14ac:dyDescent="0.25">
      <c r="A184" s="1710" t="s">
        <v>865</v>
      </c>
      <c r="B184" s="1688" t="s">
        <v>590</v>
      </c>
      <c r="C184" s="1696">
        <f>SUM(C180,C182,C183)</f>
        <v>103564</v>
      </c>
      <c r="D184" s="1696">
        <f t="shared" ref="D184:J184" si="17">SUM(D180,D182,D183)</f>
        <v>7710</v>
      </c>
      <c r="E184" s="1696">
        <f t="shared" si="17"/>
        <v>28339</v>
      </c>
      <c r="F184" s="1696">
        <f t="shared" si="17"/>
        <v>32012</v>
      </c>
      <c r="G184" s="1696">
        <f t="shared" si="17"/>
        <v>0</v>
      </c>
      <c r="H184" s="1696">
        <f t="shared" si="17"/>
        <v>0</v>
      </c>
      <c r="I184" s="1696">
        <f t="shared" si="17"/>
        <v>0</v>
      </c>
      <c r="J184" s="1696">
        <f t="shared" si="17"/>
        <v>0</v>
      </c>
      <c r="K184" s="1696">
        <f>SUM(K180,K182,K183)</f>
        <v>171625</v>
      </c>
      <c r="L184" s="1696">
        <f>SUM(L180, L182:L183)</f>
        <v>136148</v>
      </c>
    </row>
    <row r="185" spans="1:14" ht="15.75" customHeight="1" thickTop="1" thickBot="1" x14ac:dyDescent="0.25">
      <c r="A185" s="1641" t="s">
        <v>996</v>
      </c>
      <c r="B185" s="1630">
        <v>3000</v>
      </c>
      <c r="C185" s="576"/>
      <c r="D185" s="576"/>
      <c r="E185" s="576"/>
      <c r="F185" s="576"/>
      <c r="G185" s="576"/>
      <c r="H185" s="576"/>
      <c r="I185" s="531"/>
      <c r="J185" s="531"/>
      <c r="K185" s="1689">
        <f>SUM(C185:J185)</f>
        <v>0</v>
      </c>
      <c r="L185" s="576"/>
    </row>
    <row r="186" spans="1:14" s="675" customFormat="1" ht="15.75" customHeight="1" thickTop="1" x14ac:dyDescent="0.2">
      <c r="A186" s="1625" t="s">
        <v>93</v>
      </c>
      <c r="B186" s="1628"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3" t="s">
        <v>517</v>
      </c>
      <c r="B188" s="615">
        <v>4110</v>
      </c>
      <c r="C188" s="617"/>
      <c r="D188" s="617"/>
      <c r="E188" s="466"/>
      <c r="F188" s="617"/>
      <c r="G188" s="617"/>
      <c r="H188" s="466"/>
      <c r="I188" s="477"/>
      <c r="J188" s="617"/>
      <c r="K188" s="1690">
        <f t="shared" ref="K188:K193" si="18">SUM(E188,H188)</f>
        <v>0</v>
      </c>
      <c r="L188" s="466"/>
    </row>
    <row r="189" spans="1:14" x14ac:dyDescent="0.2">
      <c r="A189" s="1523" t="s">
        <v>322</v>
      </c>
      <c r="B189" s="615">
        <v>4120</v>
      </c>
      <c r="C189" s="617"/>
      <c r="D189" s="617"/>
      <c r="E189" s="466"/>
      <c r="F189" s="617"/>
      <c r="G189" s="617"/>
      <c r="H189" s="466"/>
      <c r="I189" s="477"/>
      <c r="J189" s="617"/>
      <c r="K189" s="1690">
        <f t="shared" si="18"/>
        <v>0</v>
      </c>
      <c r="L189" s="466"/>
    </row>
    <row r="190" spans="1:14" x14ac:dyDescent="0.2">
      <c r="A190" s="1523" t="s">
        <v>323</v>
      </c>
      <c r="B190" s="629">
        <v>4130</v>
      </c>
      <c r="C190" s="617"/>
      <c r="D190" s="617"/>
      <c r="E190" s="466"/>
      <c r="F190" s="617"/>
      <c r="G190" s="617"/>
      <c r="H190" s="466"/>
      <c r="I190" s="477"/>
      <c r="J190" s="617"/>
      <c r="K190" s="1690">
        <f t="shared" si="18"/>
        <v>0</v>
      </c>
      <c r="L190" s="466"/>
    </row>
    <row r="191" spans="1:14" x14ac:dyDescent="0.2">
      <c r="A191" s="1523" t="s">
        <v>721</v>
      </c>
      <c r="B191" s="615">
        <v>4140</v>
      </c>
      <c r="C191" s="617"/>
      <c r="D191" s="617"/>
      <c r="E191" s="466"/>
      <c r="F191" s="617"/>
      <c r="G191" s="617"/>
      <c r="H191" s="466"/>
      <c r="I191" s="477"/>
      <c r="J191" s="617"/>
      <c r="K191" s="1690">
        <f t="shared" si="18"/>
        <v>0</v>
      </c>
      <c r="L191" s="466"/>
    </row>
    <row r="192" spans="1:14" x14ac:dyDescent="0.2">
      <c r="A192" s="1523" t="s">
        <v>88</v>
      </c>
      <c r="B192" s="615">
        <v>4170</v>
      </c>
      <c r="C192" s="617"/>
      <c r="D192" s="617"/>
      <c r="E192" s="466"/>
      <c r="F192" s="617"/>
      <c r="G192" s="617"/>
      <c r="H192" s="466"/>
      <c r="I192" s="477"/>
      <c r="J192" s="617"/>
      <c r="K192" s="1690">
        <f t="shared" si="18"/>
        <v>0</v>
      </c>
      <c r="L192" s="466"/>
    </row>
    <row r="193" spans="1:14" x14ac:dyDescent="0.2">
      <c r="A193" s="1527" t="s">
        <v>722</v>
      </c>
      <c r="B193" s="629">
        <v>4190</v>
      </c>
      <c r="C193" s="617"/>
      <c r="D193" s="617"/>
      <c r="E193" s="466"/>
      <c r="F193" s="617"/>
      <c r="G193" s="617"/>
      <c r="H193" s="466"/>
      <c r="I193" s="477"/>
      <c r="J193" s="617"/>
      <c r="K193" s="1690">
        <f t="shared" si="18"/>
        <v>0</v>
      </c>
      <c r="L193" s="466"/>
    </row>
    <row r="194" spans="1:14" ht="12.75" customHeight="1" thickBot="1" x14ac:dyDescent="0.25">
      <c r="A194" s="1687" t="s">
        <v>1202</v>
      </c>
      <c r="B194" s="1688" t="s">
        <v>580</v>
      </c>
      <c r="C194" s="617"/>
      <c r="D194" s="617"/>
      <c r="E194" s="1689">
        <f>SUM(E188:E193)</f>
        <v>0</v>
      </c>
      <c r="F194" s="617"/>
      <c r="G194" s="617"/>
      <c r="H194" s="1689">
        <f>SUM(H188:H193)</f>
        <v>0</v>
      </c>
      <c r="I194" s="477"/>
      <c r="J194" s="617"/>
      <c r="K194" s="1689">
        <f>SUM(K188:K193)</f>
        <v>0</v>
      </c>
      <c r="L194" s="1689">
        <f>SUM(L188:L193)</f>
        <v>0</v>
      </c>
    </row>
    <row r="195" spans="1:14" ht="15.75" customHeight="1" thickTop="1" x14ac:dyDescent="0.2">
      <c r="A195" s="670" t="s">
        <v>94</v>
      </c>
      <c r="B195" s="679" t="s">
        <v>988</v>
      </c>
      <c r="C195" s="617"/>
      <c r="D195" s="617"/>
      <c r="E195" s="657"/>
      <c r="F195" s="617"/>
      <c r="G195" s="617"/>
      <c r="H195" s="657"/>
      <c r="I195" s="477"/>
      <c r="J195" s="617"/>
      <c r="K195" s="1704">
        <f>SUM(E195,H195)</f>
        <v>0</v>
      </c>
      <c r="L195" s="657"/>
    </row>
    <row r="196" spans="1:14" ht="12.75" customHeight="1" thickBot="1" x14ac:dyDescent="0.25">
      <c r="A196" s="1687" t="s">
        <v>1567</v>
      </c>
      <c r="B196" s="1688" t="s">
        <v>915</v>
      </c>
      <c r="C196" s="617"/>
      <c r="D196" s="617"/>
      <c r="E196" s="1696">
        <f>SUM(E194,E195)</f>
        <v>0</v>
      </c>
      <c r="F196" s="617"/>
      <c r="G196" s="617"/>
      <c r="H196" s="1696">
        <f>SUM(H194,H195)</f>
        <v>0</v>
      </c>
      <c r="I196" s="477"/>
      <c r="J196" s="617"/>
      <c r="K196" s="1696">
        <f>SUM(K194,K195)</f>
        <v>0</v>
      </c>
      <c r="L196" s="1696">
        <f>SUM(L194,L195)</f>
        <v>0</v>
      </c>
    </row>
    <row r="197" spans="1:14" s="675" customFormat="1" ht="15.75" customHeight="1" thickTop="1" x14ac:dyDescent="0.2">
      <c r="A197" s="1631" t="s">
        <v>997</v>
      </c>
      <c r="B197" s="1628"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3" t="s">
        <v>89</v>
      </c>
      <c r="B199" s="615">
        <v>5110</v>
      </c>
      <c r="C199" s="617"/>
      <c r="D199" s="617"/>
      <c r="E199" s="617"/>
      <c r="F199" s="617"/>
      <c r="G199" s="617"/>
      <c r="H199" s="466"/>
      <c r="I199" s="617"/>
      <c r="J199" s="617"/>
      <c r="K199" s="1690">
        <f>SUM(H199)</f>
        <v>0</v>
      </c>
      <c r="L199" s="466"/>
    </row>
    <row r="200" spans="1:14" x14ac:dyDescent="0.2">
      <c r="A200" s="1523" t="s">
        <v>90</v>
      </c>
      <c r="B200" s="615">
        <v>5120</v>
      </c>
      <c r="C200" s="617"/>
      <c r="D200" s="617"/>
      <c r="E200" s="617"/>
      <c r="F200" s="617"/>
      <c r="G200" s="617"/>
      <c r="H200" s="466"/>
      <c r="I200" s="617"/>
      <c r="J200" s="617"/>
      <c r="K200" s="1690">
        <f>SUM(H200)</f>
        <v>0</v>
      </c>
      <c r="L200" s="466"/>
    </row>
    <row r="201" spans="1:14" ht="12.75" customHeight="1" x14ac:dyDescent="0.2">
      <c r="A201" s="1523" t="s">
        <v>1232</v>
      </c>
      <c r="B201" s="629" t="s">
        <v>638</v>
      </c>
      <c r="C201" s="617"/>
      <c r="D201" s="617"/>
      <c r="E201" s="617"/>
      <c r="F201" s="617"/>
      <c r="G201" s="617"/>
      <c r="H201" s="466"/>
      <c r="I201" s="617"/>
      <c r="J201" s="617"/>
      <c r="K201" s="1690">
        <f>SUM(H201)</f>
        <v>0</v>
      </c>
      <c r="L201" s="466"/>
    </row>
    <row r="202" spans="1:14" x14ac:dyDescent="0.2">
      <c r="A202" s="1523" t="s">
        <v>91</v>
      </c>
      <c r="B202" s="615" t="s">
        <v>610</v>
      </c>
      <c r="C202" s="617"/>
      <c r="D202" s="617"/>
      <c r="E202" s="617"/>
      <c r="F202" s="617"/>
      <c r="G202" s="617"/>
      <c r="H202" s="466"/>
      <c r="I202" s="617"/>
      <c r="J202" s="617"/>
      <c r="K202" s="1690">
        <f>SUM(H202)</f>
        <v>0</v>
      </c>
      <c r="L202" s="466"/>
    </row>
    <row r="203" spans="1:14" x14ac:dyDescent="0.2">
      <c r="A203" s="1535" t="s">
        <v>640</v>
      </c>
      <c r="B203" s="615" t="s">
        <v>639</v>
      </c>
      <c r="C203" s="617"/>
      <c r="D203" s="617"/>
      <c r="E203" s="617"/>
      <c r="F203" s="617"/>
      <c r="G203" s="617"/>
      <c r="H203" s="471"/>
      <c r="I203" s="617"/>
      <c r="J203" s="617"/>
      <c r="K203" s="1690">
        <f>SUM(H203)</f>
        <v>0</v>
      </c>
      <c r="L203" s="471"/>
    </row>
    <row r="204" spans="1:14" ht="13.5" thickBot="1" x14ac:dyDescent="0.25">
      <c r="A204" s="1687" t="s">
        <v>294</v>
      </c>
      <c r="B204" s="1688" t="s">
        <v>742</v>
      </c>
      <c r="C204" s="617"/>
      <c r="D204" s="617"/>
      <c r="E204" s="617"/>
      <c r="F204" s="617"/>
      <c r="G204" s="617"/>
      <c r="H204" s="1689">
        <f>SUM(H199:H203)</f>
        <v>0</v>
      </c>
      <c r="I204" s="617"/>
      <c r="J204" s="617"/>
      <c r="K204" s="1689">
        <f>SUM(K199:K203)</f>
        <v>0</v>
      </c>
      <c r="L204" s="1689">
        <f>SUM(L199:L203)</f>
        <v>0</v>
      </c>
    </row>
    <row r="205" spans="1:14" ht="15.75" customHeight="1" thickTop="1" x14ac:dyDescent="0.2">
      <c r="A205" s="680" t="s">
        <v>85</v>
      </c>
      <c r="B205" s="681" t="s">
        <v>38</v>
      </c>
      <c r="C205" s="617"/>
      <c r="D205" s="617"/>
      <c r="E205" s="617"/>
      <c r="F205" s="617"/>
      <c r="G205" s="617"/>
      <c r="H205" s="535">
        <v>2575</v>
      </c>
      <c r="I205" s="617"/>
      <c r="J205" s="617"/>
      <c r="K205" s="1704">
        <f>SUM(H205)</f>
        <v>2575</v>
      </c>
      <c r="L205" s="535">
        <v>2575</v>
      </c>
    </row>
    <row r="206" spans="1:14" ht="30" customHeight="1" x14ac:dyDescent="0.2">
      <c r="A206" s="682" t="s">
        <v>1770</v>
      </c>
      <c r="B206" s="673" t="s">
        <v>31</v>
      </c>
      <c r="C206" s="617"/>
      <c r="D206" s="617"/>
      <c r="E206" s="617"/>
      <c r="F206" s="617"/>
      <c r="G206" s="617"/>
      <c r="H206" s="466">
        <v>15777</v>
      </c>
      <c r="I206" s="617"/>
      <c r="J206" s="617"/>
      <c r="K206" s="1690">
        <f>SUM(H206)</f>
        <v>15777</v>
      </c>
      <c r="L206" s="466">
        <v>15777</v>
      </c>
    </row>
    <row r="207" spans="1:14" ht="15.75" customHeight="1" x14ac:dyDescent="0.2">
      <c r="A207" s="622" t="s">
        <v>790</v>
      </c>
      <c r="B207" s="673" t="s">
        <v>86</v>
      </c>
      <c r="C207" s="617"/>
      <c r="D207" s="617"/>
      <c r="E207" s="617"/>
      <c r="F207" s="617"/>
      <c r="G207" s="617"/>
      <c r="H207" s="467"/>
      <c r="I207" s="617"/>
      <c r="J207" s="617"/>
      <c r="K207" s="1690">
        <f>H207</f>
        <v>0</v>
      </c>
      <c r="L207" s="466"/>
    </row>
    <row r="208" spans="1:14" ht="12.75" customHeight="1" thickBot="1" x14ac:dyDescent="0.25">
      <c r="A208" s="1705" t="s">
        <v>659</v>
      </c>
      <c r="B208" s="1706" t="s">
        <v>513</v>
      </c>
      <c r="C208" s="617"/>
      <c r="D208" s="617"/>
      <c r="E208" s="617"/>
      <c r="F208" s="617"/>
      <c r="G208" s="617"/>
      <c r="H208" s="1696">
        <f>SUM(H204,H205,H206,H207)</f>
        <v>18352</v>
      </c>
      <c r="I208" s="617"/>
      <c r="J208" s="617"/>
      <c r="K208" s="1696">
        <f>SUM(K204,K205,K206,K207)</f>
        <v>18352</v>
      </c>
      <c r="L208" s="1696">
        <f>SUM(L204,L205,L206,L207)</f>
        <v>18352</v>
      </c>
    </row>
    <row r="209" spans="1:14" ht="15.75" customHeight="1" thickTop="1" thickBot="1" x14ac:dyDescent="0.25">
      <c r="A209" s="1625" t="s">
        <v>927</v>
      </c>
      <c r="B209" s="1632" t="s">
        <v>916</v>
      </c>
      <c r="C209" s="624"/>
      <c r="D209" s="624"/>
      <c r="E209" s="624"/>
      <c r="F209" s="624"/>
      <c r="G209" s="624"/>
      <c r="H209" s="624"/>
      <c r="I209" s="617"/>
      <c r="J209" s="617"/>
      <c r="K209" s="624"/>
      <c r="L209" s="576"/>
    </row>
    <row r="210" spans="1:14" ht="12.75" customHeight="1" thickTop="1" thickBot="1" x14ac:dyDescent="0.25">
      <c r="A210" s="1711" t="s">
        <v>295</v>
      </c>
      <c r="B210" s="1712"/>
      <c r="C210" s="1689">
        <f>SUM(C184,C185)</f>
        <v>103564</v>
      </c>
      <c r="D210" s="1689">
        <f>SUM(D184,D185)</f>
        <v>7710</v>
      </c>
      <c r="E210" s="1689">
        <f>SUM(E184,E185,E196)</f>
        <v>28339</v>
      </c>
      <c r="F210" s="1689">
        <f>SUM(F184,F185)</f>
        <v>32012</v>
      </c>
      <c r="G210" s="1689">
        <f>SUM(G184,G185)</f>
        <v>0</v>
      </c>
      <c r="H210" s="1689">
        <f>SUM(H184,H185,H196,H208,H209)</f>
        <v>18352</v>
      </c>
      <c r="I210" s="1689">
        <f>SUM(I184,I185)</f>
        <v>0</v>
      </c>
      <c r="J210" s="1689">
        <f>SUM(J184,J185)</f>
        <v>0</v>
      </c>
      <c r="K210" s="1690">
        <f>SUM(K184,K185,K196,K208,K209)</f>
        <v>189977</v>
      </c>
      <c r="L210" s="1689">
        <f>SUM(L184,L185,L196,L208,L209)</f>
        <v>154500</v>
      </c>
    </row>
    <row r="211" spans="1:14" ht="13.5" thickTop="1" x14ac:dyDescent="0.2">
      <c r="A211" s="2249" t="s">
        <v>1053</v>
      </c>
      <c r="B211" s="2250"/>
      <c r="C211" s="619"/>
      <c r="D211" s="619"/>
      <c r="E211" s="619"/>
      <c r="F211" s="619"/>
      <c r="G211" s="619"/>
      <c r="H211" s="619"/>
      <c r="I211" s="617"/>
      <c r="J211" s="617"/>
      <c r="K211" s="1703">
        <f>'Revenues 9-14'!F275-'Expenditures 15-22'!K210</f>
        <v>-7881</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44" t="s">
        <v>1022</v>
      </c>
      <c r="B213" s="2245"/>
      <c r="C213" s="1570"/>
      <c r="D213" s="1571"/>
      <c r="E213" s="1571"/>
      <c r="F213" s="1571"/>
      <c r="G213" s="1571"/>
      <c r="H213" s="1571"/>
      <c r="I213" s="1571"/>
      <c r="J213" s="1571"/>
      <c r="K213" s="1571"/>
      <c r="L213" s="1572"/>
      <c r="M213" s="610"/>
      <c r="N213" s="610"/>
    </row>
    <row r="214" spans="1:14" s="675" customFormat="1" ht="15.75" customHeight="1" x14ac:dyDescent="0.2">
      <c r="A214" s="1642" t="s">
        <v>928</v>
      </c>
      <c r="B214" s="1634" t="s">
        <v>591</v>
      </c>
      <c r="C214" s="617"/>
      <c r="D214" s="624"/>
      <c r="E214" s="617"/>
      <c r="F214" s="617"/>
      <c r="G214" s="617"/>
      <c r="H214" s="617"/>
      <c r="I214" s="617"/>
      <c r="J214" s="617"/>
      <c r="K214" s="624"/>
      <c r="L214" s="624"/>
      <c r="M214" s="666"/>
      <c r="N214" s="666"/>
    </row>
    <row r="215" spans="1:14" x14ac:dyDescent="0.2">
      <c r="A215" s="1523" t="s">
        <v>1018</v>
      </c>
      <c r="B215" s="615">
        <v>1100</v>
      </c>
      <c r="C215" s="617"/>
      <c r="D215" s="466">
        <f>2018+145+5033+2771+1815+6356+123+73+72+3</f>
        <v>18409</v>
      </c>
      <c r="E215" s="617"/>
      <c r="F215" s="617"/>
      <c r="G215" s="617"/>
      <c r="H215" s="617"/>
      <c r="I215" s="617"/>
      <c r="J215" s="617"/>
      <c r="K215" s="1690">
        <f>D215</f>
        <v>18409</v>
      </c>
      <c r="L215" s="466">
        <v>21250</v>
      </c>
    </row>
    <row r="216" spans="1:14" x14ac:dyDescent="0.2">
      <c r="A216" s="1523" t="s">
        <v>165</v>
      </c>
      <c r="B216" s="615" t="s">
        <v>1024</v>
      </c>
      <c r="C216" s="617"/>
      <c r="D216" s="467">
        <f>42+842+17+1044+80+1638</f>
        <v>3663</v>
      </c>
      <c r="E216" s="617"/>
      <c r="F216" s="617"/>
      <c r="G216" s="617"/>
      <c r="H216" s="617"/>
      <c r="I216" s="617"/>
      <c r="J216" s="617"/>
      <c r="K216" s="1690">
        <f t="shared" ref="K216:K228" si="19">D216</f>
        <v>3663</v>
      </c>
      <c r="L216" s="466">
        <v>5547</v>
      </c>
    </row>
    <row r="217" spans="1:14" x14ac:dyDescent="0.2">
      <c r="A217" s="1523" t="s">
        <v>166</v>
      </c>
      <c r="B217" s="615">
        <v>1200</v>
      </c>
      <c r="C217" s="617"/>
      <c r="D217" s="466">
        <f>81+169</f>
        <v>250</v>
      </c>
      <c r="E217" s="617"/>
      <c r="F217" s="617"/>
      <c r="G217" s="617"/>
      <c r="H217" s="617"/>
      <c r="I217" s="617"/>
      <c r="J217" s="617"/>
      <c r="K217" s="1690">
        <f t="shared" si="19"/>
        <v>250</v>
      </c>
      <c r="L217" s="466">
        <v>200</v>
      </c>
    </row>
    <row r="218" spans="1:14" x14ac:dyDescent="0.2">
      <c r="A218" s="1523" t="s">
        <v>296</v>
      </c>
      <c r="B218" s="615" t="s">
        <v>1025</v>
      </c>
      <c r="C218" s="617"/>
      <c r="D218" s="467"/>
      <c r="E218" s="617"/>
      <c r="F218" s="617"/>
      <c r="G218" s="617"/>
      <c r="H218" s="617"/>
      <c r="I218" s="617"/>
      <c r="J218" s="617"/>
      <c r="K218" s="1690">
        <f t="shared" si="19"/>
        <v>0</v>
      </c>
      <c r="L218" s="466"/>
    </row>
    <row r="219" spans="1:14" x14ac:dyDescent="0.2">
      <c r="A219" s="1523" t="s">
        <v>297</v>
      </c>
      <c r="B219" s="615">
        <v>1250</v>
      </c>
      <c r="C219" s="617"/>
      <c r="D219" s="466">
        <f>978+578+477</f>
        <v>2033</v>
      </c>
      <c r="E219" s="617"/>
      <c r="F219" s="617"/>
      <c r="G219" s="617"/>
      <c r="H219" s="617"/>
      <c r="I219" s="617"/>
      <c r="J219" s="617"/>
      <c r="K219" s="1690">
        <f t="shared" si="19"/>
        <v>2033</v>
      </c>
      <c r="L219" s="466">
        <v>2160</v>
      </c>
    </row>
    <row r="220" spans="1:14" x14ac:dyDescent="0.2">
      <c r="A220" s="1523" t="s">
        <v>298</v>
      </c>
      <c r="B220" s="615" t="s">
        <v>163</v>
      </c>
      <c r="C220" s="617"/>
      <c r="D220" s="467"/>
      <c r="E220" s="617"/>
      <c r="F220" s="617"/>
      <c r="G220" s="617"/>
      <c r="H220" s="617"/>
      <c r="I220" s="617"/>
      <c r="J220" s="617"/>
      <c r="K220" s="1690">
        <f t="shared" si="19"/>
        <v>0</v>
      </c>
      <c r="L220" s="466"/>
    </row>
    <row r="221" spans="1:14" x14ac:dyDescent="0.2">
      <c r="A221" s="1523" t="s">
        <v>1019</v>
      </c>
      <c r="B221" s="615">
        <v>1300</v>
      </c>
      <c r="C221" s="617"/>
      <c r="D221" s="466"/>
      <c r="E221" s="617"/>
      <c r="F221" s="617"/>
      <c r="G221" s="617"/>
      <c r="H221" s="617"/>
      <c r="I221" s="617"/>
      <c r="J221" s="617"/>
      <c r="K221" s="1690">
        <f t="shared" si="19"/>
        <v>0</v>
      </c>
      <c r="L221" s="466"/>
    </row>
    <row r="222" spans="1:14" x14ac:dyDescent="0.2">
      <c r="A222" s="1523" t="s">
        <v>747</v>
      </c>
      <c r="B222" s="615">
        <v>1400</v>
      </c>
      <c r="C222" s="617"/>
      <c r="D222" s="466">
        <f>562+99+770</f>
        <v>1431</v>
      </c>
      <c r="E222" s="617"/>
      <c r="F222" s="617"/>
      <c r="G222" s="617"/>
      <c r="H222" s="617"/>
      <c r="I222" s="617"/>
      <c r="J222" s="617"/>
      <c r="K222" s="1690">
        <f t="shared" si="19"/>
        <v>1431</v>
      </c>
      <c r="L222" s="466">
        <v>2220</v>
      </c>
    </row>
    <row r="223" spans="1:14" x14ac:dyDescent="0.2">
      <c r="A223" s="1523" t="s">
        <v>1020</v>
      </c>
      <c r="B223" s="615">
        <v>1500</v>
      </c>
      <c r="C223" s="617"/>
      <c r="D223" s="466">
        <f>1500+777+85</f>
        <v>2362</v>
      </c>
      <c r="E223" s="617"/>
      <c r="F223" s="617"/>
      <c r="G223" s="617"/>
      <c r="H223" s="617"/>
      <c r="I223" s="617"/>
      <c r="J223" s="617"/>
      <c r="K223" s="1690">
        <f t="shared" si="19"/>
        <v>2362</v>
      </c>
      <c r="L223" s="466">
        <v>3080</v>
      </c>
    </row>
    <row r="224" spans="1:14" x14ac:dyDescent="0.2">
      <c r="A224" s="1523" t="s">
        <v>1021</v>
      </c>
      <c r="B224" s="615">
        <v>1600</v>
      </c>
      <c r="C224" s="617"/>
      <c r="D224" s="466"/>
      <c r="E224" s="617"/>
      <c r="F224" s="617"/>
      <c r="G224" s="617"/>
      <c r="H224" s="617"/>
      <c r="I224" s="617"/>
      <c r="J224" s="617"/>
      <c r="K224" s="1690">
        <f t="shared" si="19"/>
        <v>0</v>
      </c>
      <c r="L224" s="466"/>
    </row>
    <row r="225" spans="1:12" x14ac:dyDescent="0.2">
      <c r="A225" s="1523" t="s">
        <v>1044</v>
      </c>
      <c r="B225" s="615">
        <v>1650</v>
      </c>
      <c r="C225" s="617"/>
      <c r="D225" s="466"/>
      <c r="E225" s="617"/>
      <c r="F225" s="617"/>
      <c r="G225" s="617"/>
      <c r="H225" s="617"/>
      <c r="I225" s="617"/>
      <c r="J225" s="617"/>
      <c r="K225" s="1690">
        <f t="shared" si="19"/>
        <v>0</v>
      </c>
      <c r="L225" s="466"/>
    </row>
    <row r="226" spans="1:12" x14ac:dyDescent="0.2">
      <c r="A226" s="1523" t="s">
        <v>748</v>
      </c>
      <c r="B226" s="615" t="s">
        <v>164</v>
      </c>
      <c r="C226" s="617"/>
      <c r="D226" s="467"/>
      <c r="E226" s="617"/>
      <c r="F226" s="617"/>
      <c r="G226" s="617"/>
      <c r="H226" s="617"/>
      <c r="I226" s="617"/>
      <c r="J226" s="617"/>
      <c r="K226" s="1690">
        <f t="shared" si="19"/>
        <v>0</v>
      </c>
      <c r="L226" s="466"/>
    </row>
    <row r="227" spans="1:12" x14ac:dyDescent="0.2">
      <c r="A227" s="1523" t="s">
        <v>1148</v>
      </c>
      <c r="B227" s="615">
        <v>1800</v>
      </c>
      <c r="C227" s="617"/>
      <c r="D227" s="466"/>
      <c r="E227" s="617"/>
      <c r="F227" s="617"/>
      <c r="G227" s="617"/>
      <c r="H227" s="617"/>
      <c r="I227" s="617"/>
      <c r="J227" s="617"/>
      <c r="K227" s="1690">
        <f t="shared" si="19"/>
        <v>0</v>
      </c>
      <c r="L227" s="466"/>
    </row>
    <row r="228" spans="1:12" x14ac:dyDescent="0.2">
      <c r="A228" s="1523" t="s">
        <v>1149</v>
      </c>
      <c r="B228" s="615">
        <v>1900</v>
      </c>
      <c r="C228" s="617"/>
      <c r="D228" s="466"/>
      <c r="E228" s="617"/>
      <c r="F228" s="617"/>
      <c r="G228" s="617"/>
      <c r="H228" s="617"/>
      <c r="I228" s="617"/>
      <c r="J228" s="617"/>
      <c r="K228" s="1690">
        <f t="shared" si="19"/>
        <v>0</v>
      </c>
      <c r="L228" s="466"/>
    </row>
    <row r="229" spans="1:12" ht="12.75" customHeight="1" thickBot="1" x14ac:dyDescent="0.25">
      <c r="A229" s="1687" t="s">
        <v>739</v>
      </c>
      <c r="B229" s="1694" t="s">
        <v>591</v>
      </c>
      <c r="C229" s="617"/>
      <c r="D229" s="1689">
        <f>SUM(D215:D228)</f>
        <v>28148</v>
      </c>
      <c r="E229" s="617"/>
      <c r="F229" s="617"/>
      <c r="G229" s="617"/>
      <c r="H229" s="617"/>
      <c r="I229" s="617"/>
      <c r="J229" s="617"/>
      <c r="K229" s="1689">
        <f>SUM(K215:K228)</f>
        <v>28148</v>
      </c>
      <c r="L229" s="1689">
        <f>SUM(L215:L228)</f>
        <v>34457</v>
      </c>
    </row>
    <row r="230" spans="1:12" ht="15.75" customHeight="1" thickTop="1" x14ac:dyDescent="0.2">
      <c r="A230" s="1631" t="s">
        <v>929</v>
      </c>
      <c r="B230" s="1632"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3" t="s">
        <v>1150</v>
      </c>
      <c r="B232" s="615">
        <v>2110</v>
      </c>
      <c r="C232" s="617"/>
      <c r="D232" s="466"/>
      <c r="E232" s="617"/>
      <c r="F232" s="617"/>
      <c r="G232" s="617"/>
      <c r="H232" s="617"/>
      <c r="I232" s="617"/>
      <c r="J232" s="617"/>
      <c r="K232" s="1690">
        <f t="shared" ref="K232:K237" si="20">D232</f>
        <v>0</v>
      </c>
      <c r="L232" s="466"/>
    </row>
    <row r="233" spans="1:12" x14ac:dyDescent="0.2">
      <c r="A233" s="1523" t="s">
        <v>1151</v>
      </c>
      <c r="B233" s="615">
        <v>2120</v>
      </c>
      <c r="C233" s="617"/>
      <c r="D233" s="466">
        <v>658</v>
      </c>
      <c r="E233" s="617"/>
      <c r="F233" s="617"/>
      <c r="G233" s="617"/>
      <c r="H233" s="617"/>
      <c r="I233" s="617"/>
      <c r="J233" s="617"/>
      <c r="K233" s="1690">
        <f t="shared" si="20"/>
        <v>658</v>
      </c>
      <c r="L233" s="466">
        <v>620</v>
      </c>
    </row>
    <row r="234" spans="1:12" x14ac:dyDescent="0.2">
      <c r="A234" s="1523" t="s">
        <v>207</v>
      </c>
      <c r="B234" s="615">
        <v>2130</v>
      </c>
      <c r="C234" s="617"/>
      <c r="D234" s="466"/>
      <c r="E234" s="617"/>
      <c r="F234" s="617"/>
      <c r="G234" s="617"/>
      <c r="H234" s="617"/>
      <c r="I234" s="617"/>
      <c r="J234" s="617"/>
      <c r="K234" s="1690">
        <f t="shared" si="20"/>
        <v>0</v>
      </c>
      <c r="L234" s="466"/>
    </row>
    <row r="235" spans="1:12" x14ac:dyDescent="0.2">
      <c r="A235" s="1523" t="s">
        <v>208</v>
      </c>
      <c r="B235" s="615">
        <v>2140</v>
      </c>
      <c r="C235" s="617"/>
      <c r="D235" s="466"/>
      <c r="E235" s="617"/>
      <c r="F235" s="617"/>
      <c r="G235" s="617"/>
      <c r="H235" s="617"/>
      <c r="I235" s="617"/>
      <c r="J235" s="617"/>
      <c r="K235" s="1690">
        <f t="shared" si="20"/>
        <v>0</v>
      </c>
      <c r="L235" s="466"/>
    </row>
    <row r="236" spans="1:12" x14ac:dyDescent="0.2">
      <c r="A236" s="1523" t="s">
        <v>209</v>
      </c>
      <c r="B236" s="615">
        <v>2150</v>
      </c>
      <c r="C236" s="617"/>
      <c r="D236" s="466"/>
      <c r="E236" s="617"/>
      <c r="F236" s="617"/>
      <c r="G236" s="617"/>
      <c r="H236" s="617"/>
      <c r="I236" s="617"/>
      <c r="J236" s="617"/>
      <c r="K236" s="1690">
        <f t="shared" si="20"/>
        <v>0</v>
      </c>
      <c r="L236" s="466"/>
    </row>
    <row r="237" spans="1:12" x14ac:dyDescent="0.2">
      <c r="A237" s="1523" t="s">
        <v>167</v>
      </c>
      <c r="B237" s="615">
        <v>2190</v>
      </c>
      <c r="C237" s="617"/>
      <c r="D237" s="466"/>
      <c r="E237" s="617"/>
      <c r="F237" s="617"/>
      <c r="G237" s="617"/>
      <c r="H237" s="617"/>
      <c r="I237" s="617"/>
      <c r="J237" s="617"/>
      <c r="K237" s="1690">
        <f t="shared" si="20"/>
        <v>0</v>
      </c>
      <c r="L237" s="466"/>
    </row>
    <row r="238" spans="1:12" ht="12.75" customHeight="1" thickBot="1" x14ac:dyDescent="0.25">
      <c r="A238" s="1687" t="s">
        <v>581</v>
      </c>
      <c r="B238" s="1694" t="s">
        <v>740</v>
      </c>
      <c r="C238" s="617"/>
      <c r="D238" s="1689">
        <f>SUM(D232:D237)</f>
        <v>658</v>
      </c>
      <c r="E238" s="617"/>
      <c r="F238" s="617"/>
      <c r="G238" s="617"/>
      <c r="H238" s="617"/>
      <c r="I238" s="617"/>
      <c r="J238" s="617"/>
      <c r="K238" s="1689">
        <f>SUM(K232:K237)</f>
        <v>658</v>
      </c>
      <c r="L238" s="1689">
        <f>SUM(L232:L237)</f>
        <v>620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3" t="s">
        <v>868</v>
      </c>
      <c r="B240" s="615">
        <v>2210</v>
      </c>
      <c r="C240" s="617"/>
      <c r="D240" s="481">
        <f>6+20+2</f>
        <v>28</v>
      </c>
      <c r="E240" s="617"/>
      <c r="F240" s="617"/>
      <c r="G240" s="617"/>
      <c r="H240" s="617"/>
      <c r="I240" s="617"/>
      <c r="J240" s="617"/>
      <c r="K240" s="1691">
        <f>D240</f>
        <v>28</v>
      </c>
      <c r="L240" s="481">
        <v>60</v>
      </c>
    </row>
    <row r="241" spans="1:12" x14ac:dyDescent="0.2">
      <c r="A241" s="1523" t="s">
        <v>869</v>
      </c>
      <c r="B241" s="615">
        <v>2220</v>
      </c>
      <c r="C241" s="617"/>
      <c r="D241" s="466"/>
      <c r="E241" s="617"/>
      <c r="F241" s="617"/>
      <c r="G241" s="617"/>
      <c r="H241" s="617"/>
      <c r="I241" s="617"/>
      <c r="J241" s="617"/>
      <c r="K241" s="1691">
        <f>D241</f>
        <v>0</v>
      </c>
      <c r="L241" s="466"/>
    </row>
    <row r="242" spans="1:12" x14ac:dyDescent="0.2">
      <c r="A242" s="1523" t="s">
        <v>870</v>
      </c>
      <c r="B242" s="615">
        <v>2230</v>
      </c>
      <c r="C242" s="617"/>
      <c r="D242" s="466"/>
      <c r="E242" s="617"/>
      <c r="F242" s="617"/>
      <c r="G242" s="617"/>
      <c r="H242" s="617"/>
      <c r="I242" s="617"/>
      <c r="J242" s="617"/>
      <c r="K242" s="1691">
        <f>D242</f>
        <v>0</v>
      </c>
      <c r="L242" s="466"/>
    </row>
    <row r="243" spans="1:12" ht="12.75" customHeight="1" thickBot="1" x14ac:dyDescent="0.25">
      <c r="A243" s="1713" t="s">
        <v>582</v>
      </c>
      <c r="B243" s="1714">
        <v>2200</v>
      </c>
      <c r="C243" s="617"/>
      <c r="D243" s="1689">
        <f>SUM(D240:D242)</f>
        <v>28</v>
      </c>
      <c r="E243" s="617"/>
      <c r="F243" s="617"/>
      <c r="G243" s="617"/>
      <c r="H243" s="617"/>
      <c r="I243" s="617"/>
      <c r="J243" s="617"/>
      <c r="K243" s="1689">
        <f>SUM(K240:K242)</f>
        <v>28</v>
      </c>
      <c r="L243" s="1689">
        <f>SUM(L240:L242)</f>
        <v>60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3" t="s">
        <v>871</v>
      </c>
      <c r="B245" s="615">
        <v>2310</v>
      </c>
      <c r="C245" s="617"/>
      <c r="D245" s="481">
        <f>101+60+14+57</f>
        <v>232</v>
      </c>
      <c r="E245" s="617"/>
      <c r="F245" s="617"/>
      <c r="G245" s="617"/>
      <c r="H245" s="617"/>
      <c r="I245" s="617"/>
      <c r="J245" s="617"/>
      <c r="K245" s="1691">
        <f>D245</f>
        <v>232</v>
      </c>
      <c r="L245" s="481">
        <v>200</v>
      </c>
    </row>
    <row r="246" spans="1:12" x14ac:dyDescent="0.2">
      <c r="A246" s="1523" t="s">
        <v>872</v>
      </c>
      <c r="B246" s="615">
        <v>2320</v>
      </c>
      <c r="C246" s="617"/>
      <c r="D246" s="466">
        <v>1668</v>
      </c>
      <c r="E246" s="617"/>
      <c r="F246" s="617"/>
      <c r="G246" s="617"/>
      <c r="H246" s="617"/>
      <c r="I246" s="617"/>
      <c r="J246" s="617"/>
      <c r="K246" s="1691">
        <f t="shared" ref="K246:K256" si="21">D246</f>
        <v>1668</v>
      </c>
      <c r="L246" s="466">
        <v>1800</v>
      </c>
    </row>
    <row r="247" spans="1:12" x14ac:dyDescent="0.2">
      <c r="A247" s="1523" t="s">
        <v>873</v>
      </c>
      <c r="B247" s="615">
        <v>2330</v>
      </c>
      <c r="C247" s="617"/>
      <c r="D247" s="466"/>
      <c r="E247" s="617"/>
      <c r="F247" s="617"/>
      <c r="G247" s="617"/>
      <c r="H247" s="617"/>
      <c r="I247" s="617"/>
      <c r="J247" s="617"/>
      <c r="K247" s="1691">
        <f t="shared" si="21"/>
        <v>0</v>
      </c>
      <c r="L247" s="466"/>
    </row>
    <row r="248" spans="1:12" x14ac:dyDescent="0.2">
      <c r="A248" s="1524" t="s">
        <v>317</v>
      </c>
      <c r="B248" s="603" t="s">
        <v>299</v>
      </c>
      <c r="C248" s="617"/>
      <c r="D248" s="474"/>
      <c r="E248" s="617"/>
      <c r="F248" s="617"/>
      <c r="G248" s="617"/>
      <c r="H248" s="617"/>
      <c r="I248" s="617"/>
      <c r="J248" s="617"/>
      <c r="K248" s="1691">
        <f t="shared" si="21"/>
        <v>0</v>
      </c>
      <c r="L248" s="466"/>
    </row>
    <row r="249" spans="1:12" x14ac:dyDescent="0.2">
      <c r="A249" s="1525" t="s">
        <v>1908</v>
      </c>
      <c r="B249" s="684" t="s">
        <v>300</v>
      </c>
      <c r="C249" s="617"/>
      <c r="D249" s="474"/>
      <c r="E249" s="617"/>
      <c r="F249" s="617"/>
      <c r="G249" s="617"/>
      <c r="H249" s="617"/>
      <c r="I249" s="617"/>
      <c r="J249" s="617"/>
      <c r="K249" s="1691">
        <f t="shared" si="21"/>
        <v>0</v>
      </c>
      <c r="L249" s="466"/>
    </row>
    <row r="250" spans="1:12" x14ac:dyDescent="0.2">
      <c r="A250" s="1524" t="s">
        <v>1909</v>
      </c>
      <c r="B250" s="603" t="s">
        <v>301</v>
      </c>
      <c r="C250" s="617"/>
      <c r="D250" s="474"/>
      <c r="E250" s="617"/>
      <c r="F250" s="617"/>
      <c r="G250" s="617"/>
      <c r="H250" s="617"/>
      <c r="I250" s="617"/>
      <c r="J250" s="617"/>
      <c r="K250" s="1691">
        <f t="shared" si="21"/>
        <v>0</v>
      </c>
      <c r="L250" s="466"/>
    </row>
    <row r="251" spans="1:12" x14ac:dyDescent="0.2">
      <c r="A251" s="1524" t="s">
        <v>256</v>
      </c>
      <c r="B251" s="603" t="s">
        <v>302</v>
      </c>
      <c r="C251" s="617"/>
      <c r="D251" s="474"/>
      <c r="E251" s="617"/>
      <c r="F251" s="617"/>
      <c r="G251" s="617"/>
      <c r="H251" s="617"/>
      <c r="I251" s="617"/>
      <c r="J251" s="617"/>
      <c r="K251" s="1691">
        <f t="shared" si="21"/>
        <v>0</v>
      </c>
      <c r="L251" s="466"/>
    </row>
    <row r="252" spans="1:12" x14ac:dyDescent="0.2">
      <c r="A252" s="1524" t="s">
        <v>726</v>
      </c>
      <c r="B252" s="603" t="s">
        <v>303</v>
      </c>
      <c r="C252" s="617"/>
      <c r="D252" s="474"/>
      <c r="E252" s="617"/>
      <c r="F252" s="617"/>
      <c r="G252" s="617"/>
      <c r="H252" s="617"/>
      <c r="I252" s="617"/>
      <c r="J252" s="617"/>
      <c r="K252" s="1691">
        <f t="shared" si="21"/>
        <v>0</v>
      </c>
      <c r="L252" s="466"/>
    </row>
    <row r="253" spans="1:12" x14ac:dyDescent="0.2">
      <c r="A253" s="1524" t="s">
        <v>257</v>
      </c>
      <c r="B253" s="603" t="s">
        <v>304</v>
      </c>
      <c r="C253" s="617"/>
      <c r="D253" s="474"/>
      <c r="E253" s="617"/>
      <c r="F253" s="617"/>
      <c r="G253" s="617"/>
      <c r="H253" s="617"/>
      <c r="I253" s="617"/>
      <c r="J253" s="617"/>
      <c r="K253" s="1691">
        <f t="shared" si="21"/>
        <v>0</v>
      </c>
      <c r="L253" s="466"/>
    </row>
    <row r="254" spans="1:12" ht="22.5" x14ac:dyDescent="0.2">
      <c r="A254" s="1524" t="s">
        <v>1087</v>
      </c>
      <c r="B254" s="684" t="s">
        <v>305</v>
      </c>
      <c r="C254" s="617"/>
      <c r="D254" s="474"/>
      <c r="E254" s="617"/>
      <c r="F254" s="617"/>
      <c r="G254" s="617"/>
      <c r="H254" s="617"/>
      <c r="I254" s="617"/>
      <c r="J254" s="617"/>
      <c r="K254" s="1691">
        <f t="shared" si="21"/>
        <v>0</v>
      </c>
      <c r="L254" s="466"/>
    </row>
    <row r="255" spans="1:12" x14ac:dyDescent="0.2">
      <c r="A255" s="1524" t="s">
        <v>1088</v>
      </c>
      <c r="B255" s="603" t="s">
        <v>306</v>
      </c>
      <c r="C255" s="617"/>
      <c r="D255" s="474"/>
      <c r="E255" s="617"/>
      <c r="F255" s="617"/>
      <c r="G255" s="617"/>
      <c r="H255" s="617"/>
      <c r="I255" s="617"/>
      <c r="J255" s="617"/>
      <c r="K255" s="1691">
        <f t="shared" si="21"/>
        <v>0</v>
      </c>
      <c r="L255" s="466"/>
    </row>
    <row r="256" spans="1:12" x14ac:dyDescent="0.2">
      <c r="A256" s="1524" t="s">
        <v>1028</v>
      </c>
      <c r="B256" s="615" t="s">
        <v>307</v>
      </c>
      <c r="C256" s="617"/>
      <c r="D256" s="474"/>
      <c r="E256" s="617"/>
      <c r="F256" s="617"/>
      <c r="G256" s="617"/>
      <c r="H256" s="617"/>
      <c r="I256" s="617"/>
      <c r="J256" s="617"/>
      <c r="K256" s="1691">
        <f t="shared" si="21"/>
        <v>0</v>
      </c>
      <c r="L256" s="466"/>
    </row>
    <row r="257" spans="1:14" ht="12.75" customHeight="1" thickBot="1" x14ac:dyDescent="0.25">
      <c r="A257" s="1687" t="s">
        <v>741</v>
      </c>
      <c r="B257" s="1715">
        <v>2300</v>
      </c>
      <c r="C257" s="617"/>
      <c r="D257" s="1689">
        <f>SUM(D245:D256)</f>
        <v>1900</v>
      </c>
      <c r="E257" s="617"/>
      <c r="F257" s="617"/>
      <c r="G257" s="617"/>
      <c r="H257" s="617"/>
      <c r="I257" s="617"/>
      <c r="J257" s="617"/>
      <c r="K257" s="1689">
        <f>SUM(K245:K256)</f>
        <v>1900</v>
      </c>
      <c r="L257" s="1689">
        <f>SUM(L245:L256)</f>
        <v>2000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3" t="s">
        <v>1127</v>
      </c>
      <c r="B259" s="686">
        <v>2410</v>
      </c>
      <c r="C259" s="617"/>
      <c r="D259" s="481">
        <f>3974+2366+3012</f>
        <v>9352</v>
      </c>
      <c r="E259" s="617"/>
      <c r="F259" s="617"/>
      <c r="G259" s="617"/>
      <c r="H259" s="617"/>
      <c r="I259" s="617"/>
      <c r="J259" s="617"/>
      <c r="K259" s="1691">
        <f>D259</f>
        <v>9352</v>
      </c>
      <c r="L259" s="481">
        <v>9650</v>
      </c>
    </row>
    <row r="260" spans="1:14" s="598" customFormat="1" x14ac:dyDescent="0.2">
      <c r="A260" s="1541" t="s">
        <v>1907</v>
      </c>
      <c r="B260" s="629">
        <v>2490</v>
      </c>
      <c r="C260" s="617"/>
      <c r="D260" s="466"/>
      <c r="E260" s="617"/>
      <c r="F260" s="617"/>
      <c r="G260" s="617"/>
      <c r="H260" s="617"/>
      <c r="I260" s="617"/>
      <c r="J260" s="617"/>
      <c r="K260" s="1691">
        <f>D260</f>
        <v>0</v>
      </c>
      <c r="L260" s="466"/>
      <c r="M260" s="210"/>
      <c r="N260" s="210"/>
    </row>
    <row r="261" spans="1:14" ht="12.75" customHeight="1" thickBot="1" x14ac:dyDescent="0.25">
      <c r="A261" s="1711" t="s">
        <v>281</v>
      </c>
      <c r="B261" s="1716" t="s">
        <v>34</v>
      </c>
      <c r="C261" s="617"/>
      <c r="D261" s="1689">
        <f>SUM(D259:D260)</f>
        <v>9352</v>
      </c>
      <c r="E261" s="617"/>
      <c r="F261" s="617"/>
      <c r="G261" s="617"/>
      <c r="H261" s="617"/>
      <c r="I261" s="617"/>
      <c r="J261" s="617"/>
      <c r="K261" s="1689">
        <f>SUM(K259:K260)</f>
        <v>9352</v>
      </c>
      <c r="L261" s="1689">
        <f>SUM(L259:L260)</f>
        <v>9650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3" t="s">
        <v>1128</v>
      </c>
      <c r="B263" s="686">
        <v>2510</v>
      </c>
      <c r="C263" s="617"/>
      <c r="D263" s="466"/>
      <c r="E263" s="617"/>
      <c r="F263" s="617"/>
      <c r="G263" s="617"/>
      <c r="H263" s="617"/>
      <c r="I263" s="617"/>
      <c r="J263" s="617"/>
      <c r="K263" s="1691">
        <f>D263</f>
        <v>0</v>
      </c>
      <c r="L263" s="481"/>
    </row>
    <row r="264" spans="1:14" x14ac:dyDescent="0.2">
      <c r="A264" s="1523" t="s">
        <v>483</v>
      </c>
      <c r="B264" s="686">
        <v>2520</v>
      </c>
      <c r="C264" s="617"/>
      <c r="D264" s="466">
        <f>3922+2323+543</f>
        <v>6788</v>
      </c>
      <c r="E264" s="617"/>
      <c r="F264" s="617"/>
      <c r="G264" s="617"/>
      <c r="H264" s="617"/>
      <c r="I264" s="617"/>
      <c r="J264" s="617"/>
      <c r="K264" s="1691">
        <f t="shared" ref="K264:K269" si="22">D264</f>
        <v>6788</v>
      </c>
      <c r="L264" s="466">
        <v>7160</v>
      </c>
    </row>
    <row r="265" spans="1:14" x14ac:dyDescent="0.2">
      <c r="A265" s="1523" t="s">
        <v>4</v>
      </c>
      <c r="B265" s="615">
        <v>2530</v>
      </c>
      <c r="C265" s="617"/>
      <c r="D265" s="466"/>
      <c r="E265" s="617"/>
      <c r="F265" s="617"/>
      <c r="G265" s="617"/>
      <c r="H265" s="617"/>
      <c r="I265" s="617"/>
      <c r="J265" s="617"/>
      <c r="K265" s="1691">
        <f t="shared" si="22"/>
        <v>0</v>
      </c>
      <c r="L265" s="466"/>
    </row>
    <row r="266" spans="1:14" x14ac:dyDescent="0.2">
      <c r="A266" s="1523" t="s">
        <v>206</v>
      </c>
      <c r="B266" s="615">
        <v>2540</v>
      </c>
      <c r="C266" s="617"/>
      <c r="D266" s="466">
        <f>12385+8034+1879</f>
        <v>22298</v>
      </c>
      <c r="E266" s="617"/>
      <c r="F266" s="617"/>
      <c r="G266" s="617"/>
      <c r="H266" s="617"/>
      <c r="I266" s="617"/>
      <c r="J266" s="617"/>
      <c r="K266" s="1691">
        <f t="shared" si="22"/>
        <v>22298</v>
      </c>
      <c r="L266" s="466">
        <v>21800</v>
      </c>
    </row>
    <row r="267" spans="1:14" x14ac:dyDescent="0.2">
      <c r="A267" s="1523" t="s">
        <v>1010</v>
      </c>
      <c r="B267" s="615">
        <v>2550</v>
      </c>
      <c r="C267" s="617"/>
      <c r="D267" s="466">
        <f>10358+6710+1569</f>
        <v>18637</v>
      </c>
      <c r="E267" s="617"/>
      <c r="F267" s="617"/>
      <c r="G267" s="617"/>
      <c r="H267" s="617"/>
      <c r="I267" s="617"/>
      <c r="J267" s="617"/>
      <c r="K267" s="1691">
        <f t="shared" si="22"/>
        <v>18637</v>
      </c>
      <c r="L267" s="466">
        <v>15100</v>
      </c>
    </row>
    <row r="268" spans="1:14" x14ac:dyDescent="0.2">
      <c r="A268" s="1523" t="s">
        <v>102</v>
      </c>
      <c r="B268" s="615">
        <v>2560</v>
      </c>
      <c r="C268" s="617"/>
      <c r="D268" s="466">
        <f>4209+2791+653</f>
        <v>7653</v>
      </c>
      <c r="E268" s="617"/>
      <c r="F268" s="617"/>
      <c r="G268" s="617"/>
      <c r="H268" s="617"/>
      <c r="I268" s="617"/>
      <c r="J268" s="617"/>
      <c r="K268" s="1691">
        <f t="shared" si="22"/>
        <v>7653</v>
      </c>
      <c r="L268" s="466">
        <v>7700</v>
      </c>
    </row>
    <row r="269" spans="1:14" x14ac:dyDescent="0.2">
      <c r="A269" s="1523" t="s">
        <v>103</v>
      </c>
      <c r="B269" s="615">
        <v>2570</v>
      </c>
      <c r="C269" s="617"/>
      <c r="D269" s="466"/>
      <c r="E269" s="617"/>
      <c r="F269" s="617"/>
      <c r="G269" s="617"/>
      <c r="H269" s="617"/>
      <c r="I269" s="617"/>
      <c r="J269" s="617"/>
      <c r="K269" s="1691">
        <f t="shared" si="22"/>
        <v>0</v>
      </c>
      <c r="L269" s="466"/>
    </row>
    <row r="270" spans="1:14" ht="12.75" customHeight="1" thickBot="1" x14ac:dyDescent="0.25">
      <c r="A270" s="1687" t="s">
        <v>743</v>
      </c>
      <c r="B270" s="1694" t="s">
        <v>35</v>
      </c>
      <c r="C270" s="617"/>
      <c r="D270" s="1689">
        <f>SUM(D263:D269)</f>
        <v>55376</v>
      </c>
      <c r="E270" s="617"/>
      <c r="F270" s="617"/>
      <c r="G270" s="617"/>
      <c r="H270" s="617"/>
      <c r="I270" s="617"/>
      <c r="J270" s="617"/>
      <c r="K270" s="1689">
        <f>SUM(K263:K269)</f>
        <v>55376</v>
      </c>
      <c r="L270" s="1689">
        <f>SUM(L263:L269)</f>
        <v>51760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3" t="s">
        <v>1120</v>
      </c>
      <c r="B272" s="615">
        <v>2610</v>
      </c>
      <c r="C272" s="617"/>
      <c r="D272" s="481"/>
      <c r="E272" s="617"/>
      <c r="F272" s="617"/>
      <c r="G272" s="617"/>
      <c r="H272" s="617"/>
      <c r="I272" s="617"/>
      <c r="J272" s="617"/>
      <c r="K272" s="1691">
        <f>D272</f>
        <v>0</v>
      </c>
      <c r="L272" s="481"/>
    </row>
    <row r="273" spans="1:12" x14ac:dyDescent="0.2">
      <c r="A273" s="1523" t="s">
        <v>628</v>
      </c>
      <c r="B273" s="629">
        <v>2620</v>
      </c>
      <c r="C273" s="617"/>
      <c r="D273" s="466"/>
      <c r="E273" s="617"/>
      <c r="F273" s="617"/>
      <c r="G273" s="617"/>
      <c r="H273" s="617"/>
      <c r="I273" s="617"/>
      <c r="J273" s="617"/>
      <c r="K273" s="1691">
        <f>D273</f>
        <v>0</v>
      </c>
      <c r="L273" s="466"/>
    </row>
    <row r="274" spans="1:12" ht="12" customHeight="1" x14ac:dyDescent="0.2">
      <c r="A274" s="1523" t="s">
        <v>1121</v>
      </c>
      <c r="B274" s="615">
        <v>2630</v>
      </c>
      <c r="C274" s="617"/>
      <c r="D274" s="466"/>
      <c r="E274" s="617"/>
      <c r="F274" s="617"/>
      <c r="G274" s="617"/>
      <c r="H274" s="617"/>
      <c r="I274" s="617"/>
      <c r="J274" s="617"/>
      <c r="K274" s="1691">
        <f>D274</f>
        <v>0</v>
      </c>
      <c r="L274" s="466"/>
    </row>
    <row r="275" spans="1:12" x14ac:dyDescent="0.2">
      <c r="A275" s="1523" t="s">
        <v>423</v>
      </c>
      <c r="B275" s="615">
        <v>2640</v>
      </c>
      <c r="C275" s="617"/>
      <c r="D275" s="466"/>
      <c r="E275" s="617"/>
      <c r="F275" s="617"/>
      <c r="G275" s="617"/>
      <c r="H275" s="617"/>
      <c r="I275" s="617"/>
      <c r="J275" s="617"/>
      <c r="K275" s="1691">
        <f>D275</f>
        <v>0</v>
      </c>
      <c r="L275" s="466"/>
    </row>
    <row r="276" spans="1:12" x14ac:dyDescent="0.2">
      <c r="A276" s="1523" t="s">
        <v>424</v>
      </c>
      <c r="B276" s="615">
        <v>2660</v>
      </c>
      <c r="C276" s="617"/>
      <c r="D276" s="466"/>
      <c r="E276" s="617"/>
      <c r="F276" s="617"/>
      <c r="G276" s="617"/>
      <c r="H276" s="617"/>
      <c r="I276" s="617"/>
      <c r="J276" s="617"/>
      <c r="K276" s="1691">
        <f>D276</f>
        <v>0</v>
      </c>
      <c r="L276" s="466"/>
    </row>
    <row r="277" spans="1:12" ht="12.75" customHeight="1" thickBot="1" x14ac:dyDescent="0.25">
      <c r="A277" s="1710" t="s">
        <v>37</v>
      </c>
      <c r="B277" s="1688" t="s">
        <v>36</v>
      </c>
      <c r="C277" s="617"/>
      <c r="D277" s="1689">
        <f>SUM(D272:D276)</f>
        <v>0</v>
      </c>
      <c r="E277" s="617"/>
      <c r="F277" s="617"/>
      <c r="G277" s="617"/>
      <c r="H277" s="617"/>
      <c r="I277" s="617"/>
      <c r="J277" s="617"/>
      <c r="K277" s="1689">
        <f>SUM(K272:K276)</f>
        <v>0</v>
      </c>
      <c r="L277" s="1689">
        <f>SUM(L272:L276)</f>
        <v>0</v>
      </c>
    </row>
    <row r="278" spans="1:12" ht="13.5" customHeight="1" thickTop="1" x14ac:dyDescent="0.2">
      <c r="A278" s="1529" t="s">
        <v>1037</v>
      </c>
      <c r="B278" s="656" t="s">
        <v>595</v>
      </c>
      <c r="C278" s="617"/>
      <c r="D278" s="657"/>
      <c r="E278" s="617"/>
      <c r="F278" s="617"/>
      <c r="G278" s="617"/>
      <c r="H278" s="617"/>
      <c r="I278" s="617"/>
      <c r="J278" s="617"/>
      <c r="K278" s="1704">
        <f>D278</f>
        <v>0</v>
      </c>
      <c r="L278" s="657"/>
    </row>
    <row r="279" spans="1:12" ht="12.75" customHeight="1" thickBot="1" x14ac:dyDescent="0.25">
      <c r="A279" s="1717" t="s">
        <v>865</v>
      </c>
      <c r="B279" s="1700">
        <v>2000</v>
      </c>
      <c r="C279" s="617"/>
      <c r="D279" s="1696">
        <f>SUM(D238,D243,D257,D261,D270,D277,D278)</f>
        <v>67314</v>
      </c>
      <c r="E279" s="617"/>
      <c r="F279" s="617"/>
      <c r="G279" s="617"/>
      <c r="H279" s="617"/>
      <c r="I279" s="617"/>
      <c r="J279" s="617"/>
      <c r="K279" s="1696">
        <f>SUM(K238,K243,K257,K261,K270,K277,K278)</f>
        <v>67314</v>
      </c>
      <c r="L279" s="1696">
        <f>SUM(L238,L243,L257,L261,L270,L277,L278)</f>
        <v>64090</v>
      </c>
    </row>
    <row r="280" spans="1:12" ht="15.75" customHeight="1" thickTop="1" thickBot="1" x14ac:dyDescent="0.25">
      <c r="A280" s="1643" t="s">
        <v>930</v>
      </c>
      <c r="B280" s="1632">
        <v>3000</v>
      </c>
      <c r="C280" s="617"/>
      <c r="D280" s="576">
        <f>1158+271</f>
        <v>1429</v>
      </c>
      <c r="E280" s="617"/>
      <c r="F280" s="617"/>
      <c r="G280" s="617"/>
      <c r="H280" s="617"/>
      <c r="I280" s="617"/>
      <c r="J280" s="617"/>
      <c r="K280" s="1698">
        <f>D280</f>
        <v>1429</v>
      </c>
      <c r="L280" s="576">
        <v>1360</v>
      </c>
    </row>
    <row r="281" spans="1:12" ht="15.75" customHeight="1" thickTop="1" x14ac:dyDescent="0.2">
      <c r="A281" s="1633" t="s">
        <v>144</v>
      </c>
      <c r="B281" s="1634" t="s">
        <v>915</v>
      </c>
      <c r="C281" s="617"/>
      <c r="D281" s="566"/>
      <c r="E281" s="617"/>
      <c r="F281" s="617"/>
      <c r="G281" s="617"/>
      <c r="H281" s="617"/>
      <c r="I281" s="617"/>
      <c r="J281" s="617"/>
      <c r="K281" s="617"/>
      <c r="L281" s="617"/>
    </row>
    <row r="282" spans="1:12" ht="15.75" customHeight="1" x14ac:dyDescent="0.2">
      <c r="A282" s="1850" t="s">
        <v>517</v>
      </c>
      <c r="B282" s="691" t="s">
        <v>1956</v>
      </c>
      <c r="C282" s="617"/>
      <c r="D282" s="467"/>
      <c r="E282" s="617"/>
      <c r="F282" s="617"/>
      <c r="G282" s="617"/>
      <c r="H282" s="617"/>
      <c r="I282" s="617"/>
      <c r="J282" s="617"/>
      <c r="K282" s="1690">
        <f>D282</f>
        <v>0</v>
      </c>
      <c r="L282" s="467"/>
    </row>
    <row r="283" spans="1:12" x14ac:dyDescent="0.2">
      <c r="A283" s="1523" t="s">
        <v>322</v>
      </c>
      <c r="B283" s="615">
        <v>4120</v>
      </c>
      <c r="C283" s="617"/>
      <c r="D283" s="466"/>
      <c r="E283" s="617"/>
      <c r="F283" s="617"/>
      <c r="G283" s="617"/>
      <c r="H283" s="617"/>
      <c r="I283" s="617"/>
      <c r="J283" s="617"/>
      <c r="K283" s="1690">
        <f>D283</f>
        <v>0</v>
      </c>
      <c r="L283" s="466"/>
    </row>
    <row r="284" spans="1:12" x14ac:dyDescent="0.2">
      <c r="A284" s="1523" t="s">
        <v>721</v>
      </c>
      <c r="B284" s="615">
        <v>4140</v>
      </c>
      <c r="C284" s="617"/>
      <c r="D284" s="467"/>
      <c r="E284" s="617"/>
      <c r="F284" s="617"/>
      <c r="G284" s="617"/>
      <c r="H284" s="617"/>
      <c r="I284" s="617"/>
      <c r="J284" s="617"/>
      <c r="K284" s="1690">
        <f>D284</f>
        <v>0</v>
      </c>
      <c r="L284" s="466"/>
    </row>
    <row r="285" spans="1:12" ht="12.75" customHeight="1" thickBot="1" x14ac:dyDescent="0.25">
      <c r="A285" s="1687" t="s">
        <v>1567</v>
      </c>
      <c r="B285" s="1688" t="s">
        <v>915</v>
      </c>
      <c r="C285" s="617"/>
      <c r="D285" s="1689">
        <f>SUM(D282:D284)</f>
        <v>0</v>
      </c>
      <c r="E285" s="617"/>
      <c r="F285" s="617"/>
      <c r="G285" s="617"/>
      <c r="H285" s="617"/>
      <c r="I285" s="617"/>
      <c r="J285" s="617"/>
      <c r="K285" s="1689">
        <f>SUM(K282:K284)</f>
        <v>0</v>
      </c>
      <c r="L285" s="1689">
        <f>SUM(L282:L284)</f>
        <v>0</v>
      </c>
    </row>
    <row r="286" spans="1:12" ht="15.75" customHeight="1" thickTop="1" x14ac:dyDescent="0.2">
      <c r="A286" s="1631" t="s">
        <v>931</v>
      </c>
      <c r="B286" s="1628"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3" t="s">
        <v>89</v>
      </c>
      <c r="B288" s="615">
        <v>5110</v>
      </c>
      <c r="C288" s="617"/>
      <c r="D288" s="617"/>
      <c r="E288" s="617"/>
      <c r="F288" s="617"/>
      <c r="G288" s="617"/>
      <c r="H288" s="466"/>
      <c r="I288" s="617"/>
      <c r="J288" s="617"/>
      <c r="K288" s="1690">
        <f>H288</f>
        <v>0</v>
      </c>
      <c r="L288" s="466"/>
    </row>
    <row r="289" spans="1:14" x14ac:dyDescent="0.2">
      <c r="A289" s="1523" t="s">
        <v>90</v>
      </c>
      <c r="B289" s="615">
        <v>5120</v>
      </c>
      <c r="C289" s="617"/>
      <c r="D289" s="617"/>
      <c r="E289" s="617"/>
      <c r="F289" s="617"/>
      <c r="G289" s="617"/>
      <c r="H289" s="466"/>
      <c r="I289" s="617"/>
      <c r="J289" s="617"/>
      <c r="K289" s="1690">
        <f>H289</f>
        <v>0</v>
      </c>
      <c r="L289" s="466"/>
    </row>
    <row r="290" spans="1:14" ht="12.75" customHeight="1" x14ac:dyDescent="0.2">
      <c r="A290" s="1523" t="s">
        <v>1232</v>
      </c>
      <c r="B290" s="629" t="s">
        <v>638</v>
      </c>
      <c r="C290" s="617"/>
      <c r="D290" s="617"/>
      <c r="E290" s="617"/>
      <c r="F290" s="617"/>
      <c r="G290" s="617"/>
      <c r="H290" s="466"/>
      <c r="I290" s="617"/>
      <c r="J290" s="617"/>
      <c r="K290" s="1690">
        <f>H290</f>
        <v>0</v>
      </c>
      <c r="L290" s="466"/>
    </row>
    <row r="291" spans="1:14" x14ac:dyDescent="0.2">
      <c r="A291" s="1523" t="s">
        <v>91</v>
      </c>
      <c r="B291" s="615" t="s">
        <v>610</v>
      </c>
      <c r="C291" s="617"/>
      <c r="D291" s="617"/>
      <c r="E291" s="617"/>
      <c r="F291" s="617"/>
      <c r="G291" s="617"/>
      <c r="H291" s="466"/>
      <c r="I291" s="617"/>
      <c r="J291" s="617"/>
      <c r="K291" s="1690">
        <f>H291</f>
        <v>0</v>
      </c>
      <c r="L291" s="466"/>
    </row>
    <row r="292" spans="1:14" x14ac:dyDescent="0.2">
      <c r="A292" s="1523" t="s">
        <v>786</v>
      </c>
      <c r="B292" s="615" t="s">
        <v>639</v>
      </c>
      <c r="C292" s="617"/>
      <c r="D292" s="617"/>
      <c r="E292" s="617"/>
      <c r="F292" s="617"/>
      <c r="G292" s="617"/>
      <c r="H292" s="466"/>
      <c r="I292" s="617"/>
      <c r="J292" s="617"/>
      <c r="K292" s="1690">
        <f>H292</f>
        <v>0</v>
      </c>
      <c r="L292" s="466"/>
    </row>
    <row r="293" spans="1:14" ht="12.75" customHeight="1" thickBot="1" x14ac:dyDescent="0.25">
      <c r="A293" s="1687" t="s">
        <v>505</v>
      </c>
      <c r="B293" s="1688" t="s">
        <v>513</v>
      </c>
      <c r="C293" s="617"/>
      <c r="D293" s="617"/>
      <c r="E293" s="617"/>
      <c r="F293" s="617"/>
      <c r="G293" s="617"/>
      <c r="H293" s="1689">
        <f>SUM(H288:H292)</f>
        <v>0</v>
      </c>
      <c r="I293" s="617"/>
      <c r="J293" s="617"/>
      <c r="K293" s="1689">
        <f>SUM(K288:K292)</f>
        <v>0</v>
      </c>
      <c r="L293" s="1689">
        <f>SUM(L288:L292)</f>
        <v>0</v>
      </c>
    </row>
    <row r="294" spans="1:14" ht="15.75" customHeight="1" thickTop="1" thickBot="1" x14ac:dyDescent="0.25">
      <c r="A294" s="1644" t="s">
        <v>932</v>
      </c>
      <c r="B294" s="1632" t="s">
        <v>916</v>
      </c>
      <c r="C294" s="617"/>
      <c r="D294" s="624"/>
      <c r="E294" s="617"/>
      <c r="F294" s="617"/>
      <c r="G294" s="617"/>
      <c r="H294" s="687"/>
      <c r="I294" s="617"/>
      <c r="J294" s="617"/>
      <c r="K294" s="687"/>
      <c r="L294" s="578"/>
    </row>
    <row r="295" spans="1:14" ht="12.75" customHeight="1" thickTop="1" thickBot="1" x14ac:dyDescent="0.25">
      <c r="A295" s="2240" t="s">
        <v>526</v>
      </c>
      <c r="B295" s="2241"/>
      <c r="C295" s="617"/>
      <c r="D295" s="1689">
        <f>SUM(D229,D279,D280,D285)</f>
        <v>96891</v>
      </c>
      <c r="E295" s="617"/>
      <c r="F295" s="617"/>
      <c r="G295" s="617"/>
      <c r="H295" s="1689">
        <f>H293</f>
        <v>0</v>
      </c>
      <c r="I295" s="617"/>
      <c r="J295" s="617"/>
      <c r="K295" s="1689">
        <f>SUM(K229,K279,K280,K285,K293,K294)</f>
        <v>96891</v>
      </c>
      <c r="L295" s="1689">
        <f>SUM(L229,L279,L280,L285,L293,L294)</f>
        <v>99907</v>
      </c>
    </row>
    <row r="296" spans="1:14" ht="13.5" thickTop="1" x14ac:dyDescent="0.2">
      <c r="A296" s="2249" t="s">
        <v>1053</v>
      </c>
      <c r="B296" s="2250"/>
      <c r="C296" s="617"/>
      <c r="D296" s="619"/>
      <c r="E296" s="617"/>
      <c r="F296" s="617"/>
      <c r="G296" s="617"/>
      <c r="H296" s="688"/>
      <c r="I296" s="617"/>
      <c r="J296" s="617"/>
      <c r="K296" s="1703">
        <f>'Revenues 9-14'!G275-'Expenditures 15-22'!K295</f>
        <v>10920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32" t="s">
        <v>145</v>
      </c>
      <c r="B298" s="2226"/>
      <c r="C298" s="1570"/>
      <c r="D298" s="1571"/>
      <c r="E298" s="1571"/>
      <c r="F298" s="1571"/>
      <c r="G298" s="1571"/>
      <c r="H298" s="1571"/>
      <c r="I298" s="1571"/>
      <c r="J298" s="1571"/>
      <c r="K298" s="1571"/>
      <c r="L298" s="1572"/>
    </row>
    <row r="299" spans="1:14" ht="15.75" customHeight="1" x14ac:dyDescent="0.2">
      <c r="A299" s="1631" t="s">
        <v>146</v>
      </c>
      <c r="B299" s="1634"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6" t="s">
        <v>629</v>
      </c>
      <c r="B301" s="690">
        <v>2530</v>
      </c>
      <c r="C301" s="466"/>
      <c r="D301" s="466"/>
      <c r="E301" s="466">
        <v>18913</v>
      </c>
      <c r="F301" s="466">
        <v>15014</v>
      </c>
      <c r="G301" s="466">
        <v>2200</v>
      </c>
      <c r="H301" s="466"/>
      <c r="I301" s="467"/>
      <c r="J301" s="467"/>
      <c r="K301" s="1690">
        <f>SUM(C301:J301)</f>
        <v>36127</v>
      </c>
      <c r="L301" s="467">
        <v>31500</v>
      </c>
    </row>
    <row r="302" spans="1:14" ht="13.5" customHeight="1" x14ac:dyDescent="0.2">
      <c r="A302" s="1536" t="s">
        <v>1037</v>
      </c>
      <c r="B302" s="615" t="s">
        <v>595</v>
      </c>
      <c r="C302" s="466"/>
      <c r="D302" s="466"/>
      <c r="E302" s="466"/>
      <c r="F302" s="466"/>
      <c r="G302" s="466"/>
      <c r="H302" s="466"/>
      <c r="I302" s="467"/>
      <c r="J302" s="467"/>
      <c r="K302" s="1690">
        <f>SUM(C302:J302)</f>
        <v>0</v>
      </c>
      <c r="L302" s="466"/>
    </row>
    <row r="303" spans="1:14" ht="12.75" customHeight="1" thickBot="1" x14ac:dyDescent="0.25">
      <c r="A303" s="1687" t="s">
        <v>865</v>
      </c>
      <c r="B303" s="1688" t="s">
        <v>590</v>
      </c>
      <c r="C303" s="1696">
        <f>SUM(C301:C302)</f>
        <v>0</v>
      </c>
      <c r="D303" s="1696">
        <f t="shared" ref="D303:L303" si="23">SUM(D301:D302)</f>
        <v>0</v>
      </c>
      <c r="E303" s="1696">
        <f t="shared" si="23"/>
        <v>18913</v>
      </c>
      <c r="F303" s="1696">
        <f t="shared" si="23"/>
        <v>15014</v>
      </c>
      <c r="G303" s="1696">
        <f t="shared" si="23"/>
        <v>2200</v>
      </c>
      <c r="H303" s="1696">
        <f t="shared" si="23"/>
        <v>0</v>
      </c>
      <c r="I303" s="1696">
        <f t="shared" si="23"/>
        <v>0</v>
      </c>
      <c r="J303" s="1696">
        <f t="shared" si="23"/>
        <v>0</v>
      </c>
      <c r="K303" s="1696">
        <f t="shared" si="23"/>
        <v>36127</v>
      </c>
      <c r="L303" s="1696">
        <f t="shared" si="23"/>
        <v>31500</v>
      </c>
    </row>
    <row r="304" spans="1:14" ht="15.75" customHeight="1" thickTop="1" x14ac:dyDescent="0.2">
      <c r="A304" s="1631" t="s">
        <v>147</v>
      </c>
      <c r="B304" s="1632"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7" t="s">
        <v>1961</v>
      </c>
      <c r="B306" s="691" t="s">
        <v>1956</v>
      </c>
      <c r="C306" s="617"/>
      <c r="D306" s="617"/>
      <c r="E306" s="467"/>
      <c r="F306" s="617"/>
      <c r="G306" s="617"/>
      <c r="H306" s="467"/>
      <c r="I306" s="617"/>
      <c r="J306" s="617"/>
      <c r="K306" s="1690">
        <f>SUM(E306,H306)</f>
        <v>0</v>
      </c>
      <c r="L306" s="467"/>
    </row>
    <row r="307" spans="1:14" x14ac:dyDescent="0.2">
      <c r="A307" s="1523" t="s">
        <v>322</v>
      </c>
      <c r="B307" s="615">
        <v>4120</v>
      </c>
      <c r="C307" s="617"/>
      <c r="D307" s="617"/>
      <c r="E307" s="467"/>
      <c r="F307" s="617"/>
      <c r="G307" s="617"/>
      <c r="H307" s="467"/>
      <c r="I307" s="477"/>
      <c r="J307" s="617"/>
      <c r="K307" s="1690">
        <f>SUM(E307,H307)</f>
        <v>0</v>
      </c>
      <c r="L307" s="466"/>
    </row>
    <row r="308" spans="1:14" x14ac:dyDescent="0.2">
      <c r="A308" s="1523" t="s">
        <v>721</v>
      </c>
      <c r="B308" s="615">
        <v>4140</v>
      </c>
      <c r="C308" s="617"/>
      <c r="D308" s="617"/>
      <c r="E308" s="467"/>
      <c r="F308" s="617"/>
      <c r="G308" s="617"/>
      <c r="H308" s="467"/>
      <c r="I308" s="477"/>
      <c r="J308" s="617"/>
      <c r="K308" s="1690">
        <f>SUM(E308,H308)</f>
        <v>0</v>
      </c>
      <c r="L308" s="466"/>
    </row>
    <row r="309" spans="1:14" ht="12.75" customHeight="1" x14ac:dyDescent="0.2">
      <c r="A309" s="1527" t="s">
        <v>722</v>
      </c>
      <c r="B309" s="629">
        <v>4190</v>
      </c>
      <c r="C309" s="617"/>
      <c r="D309" s="617"/>
      <c r="E309" s="467"/>
      <c r="F309" s="617"/>
      <c r="G309" s="617"/>
      <c r="H309" s="467"/>
      <c r="I309" s="477"/>
      <c r="J309" s="617"/>
      <c r="K309" s="1690">
        <f>SUM(E309,H309)</f>
        <v>0</v>
      </c>
      <c r="L309" s="466"/>
    </row>
    <row r="310" spans="1:14" ht="12.75" customHeight="1" thickBot="1" x14ac:dyDescent="0.25">
      <c r="A310" s="1687" t="s">
        <v>1567</v>
      </c>
      <c r="B310" s="1694" t="s">
        <v>915</v>
      </c>
      <c r="C310" s="617"/>
      <c r="D310" s="617"/>
      <c r="E310" s="1689">
        <f>SUM(E306:E309)</f>
        <v>0</v>
      </c>
      <c r="F310" s="617"/>
      <c r="G310" s="617"/>
      <c r="H310" s="1689">
        <f>SUM(H306:H309)</f>
        <v>0</v>
      </c>
      <c r="I310" s="477"/>
      <c r="J310" s="617"/>
      <c r="K310" s="1689">
        <f>SUM(K306:K309)</f>
        <v>0</v>
      </c>
      <c r="L310" s="1696">
        <f>SUM(L306:L309)</f>
        <v>0</v>
      </c>
    </row>
    <row r="311" spans="1:14" ht="15.75" customHeight="1" thickTop="1" thickBot="1" x14ac:dyDescent="0.25">
      <c r="A311" s="1638" t="s">
        <v>951</v>
      </c>
      <c r="B311" s="1630" t="s">
        <v>916</v>
      </c>
      <c r="C311" s="624"/>
      <c r="D311" s="624"/>
      <c r="E311" s="624"/>
      <c r="F311" s="624"/>
      <c r="G311" s="624"/>
      <c r="H311" s="624"/>
      <c r="I311" s="624"/>
      <c r="J311" s="617"/>
      <c r="K311" s="624"/>
      <c r="L311" s="576"/>
    </row>
    <row r="312" spans="1:14" s="675" customFormat="1" ht="12.75" customHeight="1" thickTop="1" thickBot="1" x14ac:dyDescent="0.25">
      <c r="A312" s="2237" t="s">
        <v>295</v>
      </c>
      <c r="B312" s="2238"/>
      <c r="C312" s="1689">
        <f>SUM(C303)</f>
        <v>0</v>
      </c>
      <c r="D312" s="1689">
        <f>SUM(D303)</f>
        <v>0</v>
      </c>
      <c r="E312" s="1689">
        <f>SUM(E303,E310)</f>
        <v>18913</v>
      </c>
      <c r="F312" s="1689">
        <f>SUM(F303)</f>
        <v>15014</v>
      </c>
      <c r="G312" s="1689">
        <f>SUM(G303)</f>
        <v>2200</v>
      </c>
      <c r="H312" s="1689">
        <f>SUM(H303,H310)</f>
        <v>0</v>
      </c>
      <c r="I312" s="1689">
        <f>SUM(I303)</f>
        <v>0</v>
      </c>
      <c r="J312" s="1689">
        <f>SUM(J303)</f>
        <v>0</v>
      </c>
      <c r="K312" s="1689">
        <f>SUM(K303,K310,K311)</f>
        <v>36127</v>
      </c>
      <c r="L312" s="1689">
        <f>SUM(L303,L310,L311)</f>
        <v>31500</v>
      </c>
      <c r="M312" s="666"/>
      <c r="N312" s="666"/>
    </row>
    <row r="313" spans="1:14" ht="13.5" thickTop="1" x14ac:dyDescent="0.2">
      <c r="A313" s="2233" t="s">
        <v>1053</v>
      </c>
      <c r="B313" s="2234"/>
      <c r="C313" s="627"/>
      <c r="D313" s="627"/>
      <c r="E313" s="627"/>
      <c r="F313" s="627"/>
      <c r="G313" s="627"/>
      <c r="H313" s="627"/>
      <c r="I313" s="627"/>
      <c r="J313" s="627"/>
      <c r="K313" s="1704">
        <f>'Revenues 9-14'!H275-'Expenditures 15-22'!K312</f>
        <v>-36127</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46" t="s">
        <v>151</v>
      </c>
      <c r="B315" s="2247"/>
      <c r="C315" s="1575"/>
      <c r="D315" s="1576"/>
      <c r="E315" s="1576"/>
      <c r="F315" s="1576"/>
      <c r="G315" s="1576"/>
      <c r="H315" s="1576"/>
      <c r="I315" s="1576"/>
      <c r="J315" s="1576"/>
      <c r="K315" s="1576"/>
      <c r="L315" s="1577"/>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48" t="s">
        <v>954</v>
      </c>
      <c r="B317" s="2247"/>
      <c r="C317" s="1575"/>
      <c r="D317" s="1576"/>
      <c r="E317" s="1576"/>
      <c r="F317" s="1576"/>
      <c r="G317" s="1576"/>
      <c r="H317" s="1576"/>
      <c r="I317" s="1576"/>
      <c r="J317" s="1576"/>
      <c r="K317" s="1576"/>
      <c r="L317" s="1577"/>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38" t="s">
        <v>317</v>
      </c>
      <c r="B319" s="698" t="s">
        <v>299</v>
      </c>
      <c r="C319" s="467"/>
      <c r="D319" s="467"/>
      <c r="E319" s="467"/>
      <c r="F319" s="467"/>
      <c r="G319" s="467"/>
      <c r="H319" s="467"/>
      <c r="I319" s="467"/>
      <c r="J319" s="467"/>
      <c r="K319" s="1690">
        <f>SUM(C319:J319)</f>
        <v>0</v>
      </c>
      <c r="L319" s="467"/>
      <c r="M319" s="666"/>
      <c r="N319" s="666"/>
    </row>
    <row r="320" spans="1:14" s="675" customFormat="1" x14ac:dyDescent="0.2">
      <c r="A320" s="1542" t="s">
        <v>1908</v>
      </c>
      <c r="B320" s="699" t="s">
        <v>300</v>
      </c>
      <c r="C320" s="467"/>
      <c r="D320" s="467"/>
      <c r="E320" s="467">
        <v>18964</v>
      </c>
      <c r="F320" s="467"/>
      <c r="G320" s="467"/>
      <c r="H320" s="467"/>
      <c r="I320" s="467"/>
      <c r="J320" s="467"/>
      <c r="K320" s="1690">
        <f t="shared" ref="K320:K327" si="24">SUM(C320:J320)</f>
        <v>18964</v>
      </c>
      <c r="L320" s="467">
        <v>21950</v>
      </c>
      <c r="M320" s="666"/>
      <c r="N320" s="666"/>
    </row>
    <row r="321" spans="1:14" s="675" customFormat="1" x14ac:dyDescent="0.2">
      <c r="A321" s="1538" t="s">
        <v>318</v>
      </c>
      <c r="B321" s="698" t="s">
        <v>301</v>
      </c>
      <c r="C321" s="467"/>
      <c r="D321" s="467"/>
      <c r="E321" s="467"/>
      <c r="F321" s="467"/>
      <c r="G321" s="467"/>
      <c r="H321" s="467"/>
      <c r="I321" s="467"/>
      <c r="J321" s="467"/>
      <c r="K321" s="1690">
        <f t="shared" si="24"/>
        <v>0</v>
      </c>
      <c r="L321" s="467">
        <v>6200</v>
      </c>
      <c r="M321" s="666"/>
      <c r="N321" s="666"/>
    </row>
    <row r="322" spans="1:14" s="675" customFormat="1" x14ac:dyDescent="0.2">
      <c r="A322" s="1538" t="s">
        <v>256</v>
      </c>
      <c r="B322" s="698" t="s">
        <v>302</v>
      </c>
      <c r="C322" s="467"/>
      <c r="D322" s="467"/>
      <c r="E322" s="467">
        <f>40165+3166+142-1</f>
        <v>43472</v>
      </c>
      <c r="F322" s="467"/>
      <c r="G322" s="467"/>
      <c r="H322" s="467"/>
      <c r="I322" s="467"/>
      <c r="J322" s="467"/>
      <c r="K322" s="1690">
        <f t="shared" si="24"/>
        <v>43472</v>
      </c>
      <c r="L322" s="467">
        <v>38850</v>
      </c>
      <c r="M322" s="666"/>
      <c r="N322" s="666"/>
    </row>
    <row r="323" spans="1:14" s="675" customFormat="1" x14ac:dyDescent="0.2">
      <c r="A323" s="1538" t="s">
        <v>726</v>
      </c>
      <c r="B323" s="698" t="s">
        <v>303</v>
      </c>
      <c r="C323" s="467">
        <v>101700</v>
      </c>
      <c r="D323" s="467"/>
      <c r="E323" s="467"/>
      <c r="F323" s="467"/>
      <c r="G323" s="467"/>
      <c r="H323" s="467"/>
      <c r="I323" s="467"/>
      <c r="J323" s="467"/>
      <c r="K323" s="1690">
        <f t="shared" si="24"/>
        <v>101700</v>
      </c>
      <c r="L323" s="467">
        <v>103600</v>
      </c>
      <c r="M323" s="666"/>
      <c r="N323" s="666"/>
    </row>
    <row r="324" spans="1:14" s="675" customFormat="1" x14ac:dyDescent="0.2">
      <c r="A324" s="1538" t="s">
        <v>257</v>
      </c>
      <c r="B324" s="698" t="s">
        <v>304</v>
      </c>
      <c r="C324" s="467"/>
      <c r="D324" s="467"/>
      <c r="E324" s="467"/>
      <c r="F324" s="467"/>
      <c r="G324" s="467"/>
      <c r="H324" s="467"/>
      <c r="I324" s="467"/>
      <c r="J324" s="467"/>
      <c r="K324" s="1690">
        <f t="shared" si="24"/>
        <v>0</v>
      </c>
      <c r="L324" s="467"/>
      <c r="M324" s="666"/>
      <c r="N324" s="666"/>
    </row>
    <row r="325" spans="1:14" s="675" customFormat="1" ht="22.5" x14ac:dyDescent="0.2">
      <c r="A325" s="1538" t="s">
        <v>1087</v>
      </c>
      <c r="B325" s="699" t="s">
        <v>305</v>
      </c>
      <c r="C325" s="467"/>
      <c r="D325" s="467"/>
      <c r="E325" s="467">
        <v>3317</v>
      </c>
      <c r="F325" s="467"/>
      <c r="G325" s="467"/>
      <c r="H325" s="467"/>
      <c r="I325" s="467"/>
      <c r="J325" s="467"/>
      <c r="K325" s="1690">
        <f t="shared" si="24"/>
        <v>3317</v>
      </c>
      <c r="L325" s="467">
        <v>5000</v>
      </c>
      <c r="M325" s="666"/>
      <c r="N325" s="666"/>
    </row>
    <row r="326" spans="1:14" s="675" customFormat="1" x14ac:dyDescent="0.2">
      <c r="A326" s="1538" t="s">
        <v>1088</v>
      </c>
      <c r="B326" s="698" t="s">
        <v>306</v>
      </c>
      <c r="C326" s="467"/>
      <c r="D326" s="467"/>
      <c r="E326" s="467"/>
      <c r="F326" s="467"/>
      <c r="G326" s="467"/>
      <c r="H326" s="467"/>
      <c r="I326" s="467"/>
      <c r="J326" s="467"/>
      <c r="K326" s="1690">
        <f t="shared" si="24"/>
        <v>0</v>
      </c>
      <c r="L326" s="467"/>
      <c r="M326" s="666"/>
      <c r="N326" s="666"/>
    </row>
    <row r="327" spans="1:14" s="675" customFormat="1" x14ac:dyDescent="0.2">
      <c r="A327" s="1538" t="s">
        <v>1028</v>
      </c>
      <c r="B327" s="698" t="s">
        <v>307</v>
      </c>
      <c r="C327" s="467"/>
      <c r="D327" s="467"/>
      <c r="E327" s="467"/>
      <c r="F327" s="467"/>
      <c r="G327" s="467"/>
      <c r="H327" s="467"/>
      <c r="I327" s="467"/>
      <c r="J327" s="467"/>
      <c r="K327" s="1690">
        <f t="shared" si="24"/>
        <v>0</v>
      </c>
      <c r="L327" s="467"/>
      <c r="M327" s="666"/>
      <c r="N327" s="666"/>
    </row>
    <row r="328" spans="1:14" s="675" customFormat="1" x14ac:dyDescent="0.2">
      <c r="A328" s="1539" t="s">
        <v>492</v>
      </c>
      <c r="B328" s="691" t="s">
        <v>1194</v>
      </c>
      <c r="C328" s="474"/>
      <c r="D328" s="474"/>
      <c r="E328" s="474"/>
      <c r="F328" s="474"/>
      <c r="G328" s="474"/>
      <c r="H328" s="474"/>
      <c r="I328" s="474"/>
      <c r="J328" s="474"/>
      <c r="K328" s="1718">
        <f>SUM(C328:J328)</f>
        <v>0</v>
      </c>
      <c r="L328" s="474"/>
      <c r="M328" s="666"/>
      <c r="N328" s="666"/>
    </row>
    <row r="329" spans="1:14" s="675" customFormat="1" x14ac:dyDescent="0.2">
      <c r="A329" s="1539" t="s">
        <v>1195</v>
      </c>
      <c r="B329" s="691" t="s">
        <v>1196</v>
      </c>
      <c r="C329" s="474"/>
      <c r="D329" s="474"/>
      <c r="E329" s="474"/>
      <c r="F329" s="474"/>
      <c r="G329" s="474"/>
      <c r="H329" s="474"/>
      <c r="I329" s="474"/>
      <c r="J329" s="474"/>
      <c r="K329" s="1718">
        <f>SUM(C329:J329)</f>
        <v>0</v>
      </c>
      <c r="L329" s="474"/>
      <c r="M329" s="666"/>
      <c r="N329" s="666"/>
    </row>
    <row r="330" spans="1:14" s="675" customFormat="1" ht="12.75" customHeight="1" thickBot="1" x14ac:dyDescent="0.25">
      <c r="A330" s="1719" t="s">
        <v>741</v>
      </c>
      <c r="B330" s="1688" t="s">
        <v>590</v>
      </c>
      <c r="C330" s="1689">
        <f>SUM(C319:C329)</f>
        <v>101700</v>
      </c>
      <c r="D330" s="1689">
        <f t="shared" ref="D330:J330" si="25">SUM(D319:D329)</f>
        <v>0</v>
      </c>
      <c r="E330" s="1689">
        <f t="shared" si="25"/>
        <v>65753</v>
      </c>
      <c r="F330" s="1689">
        <f t="shared" si="25"/>
        <v>0</v>
      </c>
      <c r="G330" s="1689">
        <f t="shared" si="25"/>
        <v>0</v>
      </c>
      <c r="H330" s="1689">
        <f t="shared" si="25"/>
        <v>0</v>
      </c>
      <c r="I330" s="1689">
        <f t="shared" si="25"/>
        <v>0</v>
      </c>
      <c r="J330" s="1689">
        <f t="shared" si="25"/>
        <v>0</v>
      </c>
      <c r="K330" s="1689">
        <f>SUM(K319:K329)</f>
        <v>167453</v>
      </c>
      <c r="L330" s="1689">
        <f>SUM(L319:L329)</f>
        <v>175600</v>
      </c>
      <c r="M330" s="666"/>
      <c r="N330" s="666"/>
    </row>
    <row r="331" spans="1:14" s="675" customFormat="1" ht="12.75" customHeight="1" thickTop="1" x14ac:dyDescent="0.2">
      <c r="A331" s="1851" t="s">
        <v>1962</v>
      </c>
      <c r="B331" s="648" t="s">
        <v>915</v>
      </c>
      <c r="C331" s="1853"/>
      <c r="D331" s="1853"/>
      <c r="E331" s="1853"/>
      <c r="F331" s="1853"/>
      <c r="G331" s="1853"/>
      <c r="H331" s="1853"/>
      <c r="I331" s="1853"/>
      <c r="J331" s="1853"/>
      <c r="K331" s="1853"/>
      <c r="L331" s="1853"/>
      <c r="M331" s="666"/>
      <c r="N331" s="666"/>
    </row>
    <row r="332" spans="1:14" s="675" customFormat="1" ht="12.75" customHeight="1" x14ac:dyDescent="0.2">
      <c r="A332" s="1852" t="s">
        <v>517</v>
      </c>
      <c r="B332" s="1847" t="s">
        <v>1956</v>
      </c>
      <c r="C332" s="1853"/>
      <c r="D332" s="1853"/>
      <c r="E332" s="1853"/>
      <c r="F332" s="1853"/>
      <c r="G332" s="1853"/>
      <c r="H332" s="467"/>
      <c r="I332" s="1853"/>
      <c r="J332" s="1853"/>
      <c r="K332" s="1690">
        <f>H332</f>
        <v>0</v>
      </c>
      <c r="L332" s="467"/>
      <c r="M332" s="666"/>
      <c r="N332" s="666"/>
    </row>
    <row r="333" spans="1:14" s="675" customFormat="1" ht="12.75" customHeight="1" x14ac:dyDescent="0.2">
      <c r="A333" s="1852" t="s">
        <v>322</v>
      </c>
      <c r="B333" s="1847" t="s">
        <v>1958</v>
      </c>
      <c r="C333" s="1853"/>
      <c r="D333" s="1853"/>
      <c r="E333" s="1853"/>
      <c r="F333" s="1853"/>
      <c r="G333" s="1853"/>
      <c r="H333" s="467"/>
      <c r="I333" s="1853"/>
      <c r="J333" s="1853"/>
      <c r="K333" s="1690">
        <f>H333</f>
        <v>0</v>
      </c>
      <c r="L333" s="467"/>
      <c r="M333" s="666"/>
      <c r="N333" s="666"/>
    </row>
    <row r="334" spans="1:14" s="675" customFormat="1" ht="12.75" customHeight="1" thickBot="1" x14ac:dyDescent="0.25">
      <c r="A334" s="1852" t="s">
        <v>1963</v>
      </c>
      <c r="B334" s="1847" t="s">
        <v>915</v>
      </c>
      <c r="C334" s="1853"/>
      <c r="D334" s="1853"/>
      <c r="E334" s="1853"/>
      <c r="F334" s="1853"/>
      <c r="G334" s="1853"/>
      <c r="H334" s="1689">
        <f>SUM(H332:H333)</f>
        <v>0</v>
      </c>
      <c r="I334" s="1853"/>
      <c r="J334" s="1853"/>
      <c r="K334" s="1689">
        <f>SUM(K332:K333)</f>
        <v>0</v>
      </c>
      <c r="L334" s="1689">
        <f>SUM(L332:L333)</f>
        <v>0</v>
      </c>
      <c r="M334" s="666"/>
      <c r="N334" s="666"/>
    </row>
    <row r="335" spans="1:14" ht="15.75" customHeight="1" thickTop="1" x14ac:dyDescent="0.2">
      <c r="A335" s="1635" t="s">
        <v>955</v>
      </c>
      <c r="B335" s="1626"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7" t="s">
        <v>89</v>
      </c>
      <c r="B337" s="691" t="s">
        <v>956</v>
      </c>
      <c r="C337" s="639"/>
      <c r="D337" s="639"/>
      <c r="E337" s="639"/>
      <c r="F337" s="639"/>
      <c r="G337" s="639"/>
      <c r="H337" s="478"/>
      <c r="I337" s="639"/>
      <c r="J337" s="639"/>
      <c r="K337" s="1690">
        <f>H337</f>
        <v>0</v>
      </c>
      <c r="L337" s="478"/>
    </row>
    <row r="338" spans="1:14" ht="12.75" customHeight="1" x14ac:dyDescent="0.2">
      <c r="A338" s="1537" t="s">
        <v>1232</v>
      </c>
      <c r="B338" s="691" t="s">
        <v>638</v>
      </c>
      <c r="C338" s="639"/>
      <c r="D338" s="639"/>
      <c r="E338" s="639"/>
      <c r="F338" s="639"/>
      <c r="G338" s="639"/>
      <c r="H338" s="478"/>
      <c r="I338" s="639"/>
      <c r="J338" s="639"/>
      <c r="K338" s="1690">
        <f>H338</f>
        <v>0</v>
      </c>
      <c r="L338" s="478"/>
    </row>
    <row r="339" spans="1:14" x14ac:dyDescent="0.2">
      <c r="A339" s="1523" t="s">
        <v>957</v>
      </c>
      <c r="B339" s="629">
        <v>5150</v>
      </c>
      <c r="C339" s="639"/>
      <c r="D339" s="639"/>
      <c r="E339" s="639"/>
      <c r="F339" s="639"/>
      <c r="G339" s="639"/>
      <c r="H339" s="467"/>
      <c r="I339" s="639"/>
      <c r="J339" s="639"/>
      <c r="K339" s="1690">
        <f>H339</f>
        <v>0</v>
      </c>
      <c r="L339" s="467"/>
    </row>
    <row r="340" spans="1:14" ht="13.5" thickBot="1" x14ac:dyDescent="0.25">
      <c r="A340" s="1713" t="s">
        <v>958</v>
      </c>
      <c r="B340" s="1688" t="s">
        <v>513</v>
      </c>
      <c r="C340" s="617"/>
      <c r="D340" s="617"/>
      <c r="E340" s="617"/>
      <c r="F340" s="617"/>
      <c r="G340" s="617"/>
      <c r="H340" s="1707">
        <f>SUM(H337:H339)</f>
        <v>0</v>
      </c>
      <c r="I340" s="617"/>
      <c r="J340" s="617"/>
      <c r="K340" s="1707">
        <f>SUM(K337:K339)</f>
        <v>0</v>
      </c>
      <c r="L340" s="1707">
        <f>SUM(L337:L339)</f>
        <v>0</v>
      </c>
    </row>
    <row r="341" spans="1:14" ht="15.75" customHeight="1" thickTop="1" thickBot="1" x14ac:dyDescent="0.25">
      <c r="A341" s="1638" t="s">
        <v>959</v>
      </c>
      <c r="B341" s="1630" t="s">
        <v>916</v>
      </c>
      <c r="C341" s="617"/>
      <c r="D341" s="617"/>
      <c r="E341" s="477"/>
      <c r="F341" s="468"/>
      <c r="G341" s="468"/>
      <c r="H341" s="477"/>
      <c r="I341" s="477"/>
      <c r="J341" s="468"/>
      <c r="K341" s="477"/>
      <c r="L341" s="576"/>
    </row>
    <row r="342" spans="1:14" ht="12.75" customHeight="1" thickTop="1" thickBot="1" x14ac:dyDescent="0.25">
      <c r="A342" s="1705" t="s">
        <v>526</v>
      </c>
      <c r="B342" s="1720"/>
      <c r="C342" s="1689">
        <f>SUM(C330)</f>
        <v>101700</v>
      </c>
      <c r="D342" s="1689">
        <f>SUM(D330)</f>
        <v>0</v>
      </c>
      <c r="E342" s="1689">
        <f>SUM(E330)</f>
        <v>65753</v>
      </c>
      <c r="F342" s="1689">
        <f>SUM(F330)</f>
        <v>0</v>
      </c>
      <c r="G342" s="1689">
        <f>SUM(G330)</f>
        <v>0</v>
      </c>
      <c r="H342" s="1689">
        <f>SUM(H330,H334,H340)</f>
        <v>0</v>
      </c>
      <c r="I342" s="1689">
        <f>SUM(I330)</f>
        <v>0</v>
      </c>
      <c r="J342" s="1689">
        <f>SUM(J330)</f>
        <v>0</v>
      </c>
      <c r="K342" s="1689">
        <f>SUM(K330,K334,K340)</f>
        <v>167453</v>
      </c>
      <c r="L342" s="1696">
        <f>SUM(L330,L340,L341)</f>
        <v>175600</v>
      </c>
    </row>
    <row r="343" spans="1:14" ht="12.75" customHeight="1" thickTop="1" x14ac:dyDescent="0.2">
      <c r="A343" s="2235" t="s">
        <v>1053</v>
      </c>
      <c r="B343" s="2236"/>
      <c r="C343" s="617"/>
      <c r="D343" s="617"/>
      <c r="E343" s="617"/>
      <c r="F343" s="617"/>
      <c r="G343" s="617"/>
      <c r="H343" s="617"/>
      <c r="I343" s="617"/>
      <c r="J343" s="617"/>
      <c r="K343" s="1703">
        <f>'Revenues 9-14'!J275-'Expenditures 15-22'!K342</f>
        <v>62110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225" t="s">
        <v>1023</v>
      </c>
      <c r="B345" s="2226"/>
      <c r="C345" s="1570"/>
      <c r="D345" s="1571"/>
      <c r="E345" s="1571"/>
      <c r="F345" s="1571"/>
      <c r="G345" s="1571"/>
      <c r="H345" s="1571"/>
      <c r="I345" s="1571"/>
      <c r="J345" s="1571"/>
      <c r="K345" s="1571"/>
      <c r="L345" s="1572"/>
      <c r="M345" s="668"/>
      <c r="N345" s="668"/>
    </row>
    <row r="346" spans="1:14" s="343" customFormat="1" ht="15.75" customHeight="1" x14ac:dyDescent="0.2">
      <c r="A346" s="1642" t="s">
        <v>899</v>
      </c>
      <c r="B346" s="1634"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3" t="s">
        <v>4</v>
      </c>
      <c r="B348" s="615">
        <v>2530</v>
      </c>
      <c r="C348" s="466"/>
      <c r="D348" s="466"/>
      <c r="E348" s="466"/>
      <c r="F348" s="466"/>
      <c r="G348" s="466"/>
      <c r="H348" s="466"/>
      <c r="I348" s="467"/>
      <c r="J348" s="467"/>
      <c r="K348" s="1690">
        <f>SUM(C348:J348)</f>
        <v>0</v>
      </c>
      <c r="L348" s="466"/>
    </row>
    <row r="349" spans="1:14" x14ac:dyDescent="0.2">
      <c r="A349" s="1523" t="s">
        <v>206</v>
      </c>
      <c r="B349" s="615">
        <v>2540</v>
      </c>
      <c r="C349" s="466"/>
      <c r="D349" s="466"/>
      <c r="E349" s="466">
        <v>8590</v>
      </c>
      <c r="F349" s="466">
        <v>793</v>
      </c>
      <c r="G349" s="466"/>
      <c r="H349" s="466"/>
      <c r="I349" s="467"/>
      <c r="J349" s="467"/>
      <c r="K349" s="1690">
        <f>SUM(C349:J349)</f>
        <v>9383</v>
      </c>
      <c r="L349" s="466">
        <v>17000</v>
      </c>
    </row>
    <row r="350" spans="1:14" ht="12.75" customHeight="1" thickBot="1" x14ac:dyDescent="0.25">
      <c r="A350" s="1687" t="s">
        <v>743</v>
      </c>
      <c r="B350" s="1688" t="s">
        <v>35</v>
      </c>
      <c r="C350" s="1689">
        <f>SUM(C348:C349)</f>
        <v>0</v>
      </c>
      <c r="D350" s="1689">
        <f t="shared" ref="D350:L350" si="26">SUM(D348:D349)</f>
        <v>0</v>
      </c>
      <c r="E350" s="1689">
        <f t="shared" si="26"/>
        <v>8590</v>
      </c>
      <c r="F350" s="1689">
        <f t="shared" si="26"/>
        <v>793</v>
      </c>
      <c r="G350" s="1689">
        <f t="shared" si="26"/>
        <v>0</v>
      </c>
      <c r="H350" s="1689">
        <f t="shared" si="26"/>
        <v>0</v>
      </c>
      <c r="I350" s="1689">
        <f t="shared" si="26"/>
        <v>0</v>
      </c>
      <c r="J350" s="1689">
        <f t="shared" si="26"/>
        <v>0</v>
      </c>
      <c r="K350" s="1689">
        <f t="shared" si="26"/>
        <v>9383</v>
      </c>
      <c r="L350" s="1689">
        <f t="shared" si="26"/>
        <v>17000</v>
      </c>
    </row>
    <row r="351" spans="1:14" ht="12.75" customHeight="1" thickTop="1" x14ac:dyDescent="0.2">
      <c r="A351" s="1529" t="s">
        <v>1037</v>
      </c>
      <c r="B351" s="644" t="s">
        <v>595</v>
      </c>
      <c r="C351" s="481"/>
      <c r="D351" s="481"/>
      <c r="E351" s="481"/>
      <c r="F351" s="481"/>
      <c r="G351" s="481"/>
      <c r="H351" s="481"/>
      <c r="I351" s="478"/>
      <c r="J351" s="478"/>
      <c r="K351" s="616">
        <f>SUM(C351:J351)</f>
        <v>0</v>
      </c>
      <c r="L351" s="481"/>
    </row>
    <row r="352" spans="1:14" ht="12.75" customHeight="1" thickBot="1" x14ac:dyDescent="0.25">
      <c r="A352" s="1687" t="s">
        <v>645</v>
      </c>
      <c r="B352" s="1694" t="s">
        <v>590</v>
      </c>
      <c r="C352" s="1689">
        <f>SUM(C350:C351)</f>
        <v>0</v>
      </c>
      <c r="D352" s="1689">
        <f t="shared" ref="D352:L352" si="27">SUM(D350:D351)</f>
        <v>0</v>
      </c>
      <c r="E352" s="1689">
        <f t="shared" si="27"/>
        <v>8590</v>
      </c>
      <c r="F352" s="1689">
        <f t="shared" si="27"/>
        <v>793</v>
      </c>
      <c r="G352" s="1689">
        <f t="shared" si="27"/>
        <v>0</v>
      </c>
      <c r="H352" s="1689">
        <f t="shared" si="27"/>
        <v>0</v>
      </c>
      <c r="I352" s="1689">
        <f t="shared" si="27"/>
        <v>0</v>
      </c>
      <c r="J352" s="1689">
        <f t="shared" si="27"/>
        <v>0</v>
      </c>
      <c r="K352" s="1689">
        <f t="shared" si="27"/>
        <v>9383</v>
      </c>
      <c r="L352" s="1689">
        <f t="shared" si="27"/>
        <v>17000</v>
      </c>
    </row>
    <row r="353" spans="1:14" s="343" customFormat="1" ht="15.75" customHeight="1" thickTop="1" x14ac:dyDescent="0.2">
      <c r="A353" s="1631" t="s">
        <v>646</v>
      </c>
      <c r="B353" s="1628" t="s">
        <v>915</v>
      </c>
      <c r="C353" s="617"/>
      <c r="D353" s="617"/>
      <c r="E353" s="617"/>
      <c r="F353" s="617"/>
      <c r="G353" s="617"/>
      <c r="H353" s="617"/>
      <c r="I353" s="617"/>
      <c r="J353" s="617"/>
      <c r="K353" s="617"/>
      <c r="L353" s="617"/>
      <c r="M353" s="610"/>
      <c r="N353" s="610"/>
    </row>
    <row r="354" spans="1:14" x14ac:dyDescent="0.2">
      <c r="A354" s="1854" t="s">
        <v>1964</v>
      </c>
      <c r="B354" s="684" t="s">
        <v>1956</v>
      </c>
      <c r="C354" s="617"/>
      <c r="D354" s="617"/>
      <c r="E354" s="617"/>
      <c r="F354" s="617"/>
      <c r="G354" s="617"/>
      <c r="H354" s="474"/>
      <c r="I354" s="702"/>
      <c r="J354" s="617"/>
      <c r="K354" s="1718">
        <f>H354</f>
        <v>0</v>
      </c>
      <c r="L354" s="471"/>
    </row>
    <row r="355" spans="1:14" ht="12.75" customHeight="1" x14ac:dyDescent="0.2">
      <c r="A355" s="1532" t="s">
        <v>1965</v>
      </c>
      <c r="B355" s="691" t="s">
        <v>1958</v>
      </c>
      <c r="C355" s="617"/>
      <c r="D355" s="617"/>
      <c r="E355" s="617"/>
      <c r="F355" s="617"/>
      <c r="G355" s="617"/>
      <c r="H355" s="467"/>
      <c r="I355" s="702"/>
      <c r="J355" s="617"/>
      <c r="K355" s="1762">
        <f>H355</f>
        <v>0</v>
      </c>
      <c r="L355" s="467"/>
    </row>
    <row r="356" spans="1:14" ht="12.75" customHeight="1" x14ac:dyDescent="0.2">
      <c r="A356" s="1854" t="s">
        <v>722</v>
      </c>
      <c r="B356" s="684" t="s">
        <v>579</v>
      </c>
      <c r="C356" s="617"/>
      <c r="D356" s="617"/>
      <c r="E356" s="617"/>
      <c r="F356" s="617"/>
      <c r="G356" s="617"/>
      <c r="H356" s="479"/>
      <c r="I356" s="702"/>
      <c r="J356" s="617"/>
      <c r="K356" s="1759">
        <f>H356</f>
        <v>0</v>
      </c>
      <c r="L356" s="479"/>
    </row>
    <row r="357" spans="1:14" ht="12.75" customHeight="1" thickBot="1" x14ac:dyDescent="0.25">
      <c r="A357" s="1687" t="s">
        <v>1567</v>
      </c>
      <c r="B357" s="1688" t="s">
        <v>915</v>
      </c>
      <c r="C357" s="617"/>
      <c r="D357" s="617"/>
      <c r="E357" s="617"/>
      <c r="F357" s="617"/>
      <c r="G357" s="617"/>
      <c r="H357" s="1707">
        <f>SUM(H354:H356)</f>
        <v>0</v>
      </c>
      <c r="I357" s="702"/>
      <c r="J357" s="617"/>
      <c r="K357" s="1707">
        <f>SUM(K354:K356)</f>
        <v>0</v>
      </c>
      <c r="L357" s="1707">
        <f>SUM(L354:L356)</f>
        <v>0</v>
      </c>
    </row>
    <row r="358" spans="1:14" s="343" customFormat="1" ht="15.75" customHeight="1" thickTop="1" x14ac:dyDescent="0.2">
      <c r="A358" s="1631" t="s">
        <v>1005</v>
      </c>
      <c r="B358" s="1628"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3" t="s">
        <v>89</v>
      </c>
      <c r="B360" s="615">
        <v>5110</v>
      </c>
      <c r="C360" s="617"/>
      <c r="D360" s="617"/>
      <c r="E360" s="617"/>
      <c r="F360" s="617"/>
      <c r="G360" s="617"/>
      <c r="H360" s="467"/>
      <c r="I360" s="617"/>
      <c r="J360" s="617"/>
      <c r="K360" s="1690">
        <f>SUM(C360:J360)</f>
        <v>0</v>
      </c>
      <c r="L360" s="466"/>
    </row>
    <row r="361" spans="1:14" ht="12.75" customHeight="1" x14ac:dyDescent="0.2">
      <c r="A361" s="1524" t="s">
        <v>640</v>
      </c>
      <c r="B361" s="603" t="s">
        <v>639</v>
      </c>
      <c r="C361" s="617"/>
      <c r="D361" s="617"/>
      <c r="E361" s="617"/>
      <c r="F361" s="617"/>
      <c r="G361" s="617"/>
      <c r="H361" s="467"/>
      <c r="I361" s="617"/>
      <c r="J361" s="617"/>
      <c r="K361" s="1690">
        <f>SUM(C361:J361)</f>
        <v>0</v>
      </c>
      <c r="L361" s="466"/>
    </row>
    <row r="362" spans="1:14" ht="12.75" customHeight="1" thickBot="1" x14ac:dyDescent="0.25">
      <c r="A362" s="1687" t="s">
        <v>647</v>
      </c>
      <c r="B362" s="1688" t="s">
        <v>742</v>
      </c>
      <c r="C362" s="617"/>
      <c r="D362" s="617"/>
      <c r="E362" s="617"/>
      <c r="F362" s="617"/>
      <c r="G362" s="617"/>
      <c r="H362" s="1722">
        <f>SUM(H360:H361)</f>
        <v>0</v>
      </c>
      <c r="I362" s="617"/>
      <c r="J362" s="617"/>
      <c r="K362" s="1722">
        <f>SUM(K360:K361)</f>
        <v>0</v>
      </c>
      <c r="L362" s="1722">
        <f>SUM(L360:L361)</f>
        <v>0</v>
      </c>
    </row>
    <row r="363" spans="1:14" s="675" customFormat="1" ht="15.75" customHeight="1" thickTop="1" x14ac:dyDescent="0.2">
      <c r="A363" s="661" t="s">
        <v>85</v>
      </c>
      <c r="B363" s="662" t="s">
        <v>38</v>
      </c>
      <c r="C363" s="639"/>
      <c r="D363" s="639"/>
      <c r="E363" s="639"/>
      <c r="F363" s="639"/>
      <c r="G363" s="639"/>
      <c r="H363" s="479"/>
      <c r="I363" s="639"/>
      <c r="J363" s="639"/>
      <c r="K363" s="1718">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0">
        <f>SUM(C364:J364)</f>
        <v>0</v>
      </c>
      <c r="L364" s="708"/>
    </row>
    <row r="365" spans="1:14" s="675" customFormat="1" ht="12.75" customHeight="1" thickBot="1" x14ac:dyDescent="0.25">
      <c r="A365" s="1540" t="s">
        <v>611</v>
      </c>
      <c r="B365" s="660" t="s">
        <v>513</v>
      </c>
      <c r="C365" s="639"/>
      <c r="D365" s="639"/>
      <c r="E365" s="639"/>
      <c r="F365" s="639"/>
      <c r="G365" s="639"/>
      <c r="H365" s="1722">
        <f>SUM(H362,H363,H364)</f>
        <v>0</v>
      </c>
      <c r="I365" s="639"/>
      <c r="J365" s="639"/>
      <c r="K365" s="1722">
        <f>SUM(K362,K363,K364)</f>
        <v>0</v>
      </c>
      <c r="L365" s="1722">
        <f>SUM(L362,L363,L364)</f>
        <v>0</v>
      </c>
      <c r="M365" s="666"/>
      <c r="N365" s="666"/>
    </row>
    <row r="366" spans="1:14" s="343" customFormat="1" ht="15.75" customHeight="1" thickTop="1" thickBot="1" x14ac:dyDescent="0.25">
      <c r="A366" s="1625" t="s">
        <v>1006</v>
      </c>
      <c r="B366" s="1632" t="s">
        <v>916</v>
      </c>
      <c r="C366" s="624"/>
      <c r="D366" s="624"/>
      <c r="E366" s="624"/>
      <c r="F366" s="624"/>
      <c r="G366" s="624"/>
      <c r="H366" s="624"/>
      <c r="I366" s="624"/>
      <c r="J366" s="617"/>
      <c r="K366" s="624"/>
      <c r="L366" s="573"/>
      <c r="M366" s="610"/>
      <c r="N366" s="610"/>
    </row>
    <row r="367" spans="1:14" ht="12.75" customHeight="1" thickTop="1" thickBot="1" x14ac:dyDescent="0.25">
      <c r="A367" s="1711" t="s">
        <v>526</v>
      </c>
      <c r="B367" s="1723"/>
      <c r="C367" s="1689">
        <f t="shared" ref="C367:L367" si="28">SUM(C352,C357,C365,C366)</f>
        <v>0</v>
      </c>
      <c r="D367" s="1689">
        <f t="shared" si="28"/>
        <v>0</v>
      </c>
      <c r="E367" s="1689">
        <f t="shared" si="28"/>
        <v>8590</v>
      </c>
      <c r="F367" s="1689">
        <f t="shared" si="28"/>
        <v>793</v>
      </c>
      <c r="G367" s="1689">
        <f t="shared" si="28"/>
        <v>0</v>
      </c>
      <c r="H367" s="1689">
        <f t="shared" si="28"/>
        <v>0</v>
      </c>
      <c r="I367" s="1689">
        <f t="shared" si="28"/>
        <v>0</v>
      </c>
      <c r="J367" s="1689">
        <f t="shared" si="28"/>
        <v>0</v>
      </c>
      <c r="K367" s="1689">
        <f t="shared" si="28"/>
        <v>9383</v>
      </c>
      <c r="L367" s="1689">
        <f t="shared" si="28"/>
        <v>17000</v>
      </c>
    </row>
    <row r="368" spans="1:14" ht="13.5" thickTop="1" x14ac:dyDescent="0.2">
      <c r="A368" s="2249" t="s">
        <v>1053</v>
      </c>
      <c r="B368" s="2250"/>
      <c r="C368" s="655"/>
      <c r="D368" s="655"/>
      <c r="E368" s="627"/>
      <c r="F368" s="627"/>
      <c r="G368" s="627"/>
      <c r="H368" s="627"/>
      <c r="I368" s="627"/>
      <c r="J368" s="624"/>
      <c r="K368" s="1690">
        <f>'Revenues 9-14'!K275-'Expenditures 15-22'!K367</f>
        <v>12114</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orizontalCentered="1" headings="1" gridLinesSet="0"/>
  <pageMargins left="0.5" right="0.5" top="1.4" bottom="0.75" header="1" footer="0.5"/>
  <pageSetup scale="68"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d21dc803-237d-4c68-8692-8d731fd29118"/>
    <ds:schemaRef ds:uri="http://purl.org/dc/elements/1.1/"/>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6ce3111e-7420-4802-b50a-75d4e9a0b980"/>
    <ds:schemaRef ds:uri="http://schemas.microsoft.com/office/2006/metadata/properties"/>
    <ds:schemaRef ds:uri="4d435f69-8686-490b-bd6d-b153bf22ab50"/>
    <ds:schemaRef ds:uri="http://schemas.microsoft.com/sharepoint/v3"/>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17</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Itemization 33</vt:lpstr>
      <vt:lpstr>AC32</vt:lpstr>
      <vt:lpstr>REF 34</vt:lpstr>
      <vt:lpstr>Table of Contents - Excel</vt:lpstr>
      <vt:lpstr>Opinion - PDF</vt:lpstr>
      <vt:lpstr>GAS Report - PDF</vt:lpstr>
      <vt:lpstr>Notes - PDF</vt:lpstr>
      <vt:lpstr>Activity Funds - Excel</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2018-09-12T20:49:53Z</cp:lastPrinted>
  <dcterms:created xsi:type="dcterms:W3CDTF">2003-10-29T19:06:34Z</dcterms:created>
  <dcterms:modified xsi:type="dcterms:W3CDTF">2018-09-26T19:04:09Z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