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71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1)" sheetId="179" r:id="rId28"/>
    <sheet name=" SEFA (2)" sheetId="183" r:id="rId29"/>
    <sheet name=" SEFA (3)" sheetId="184" r:id="rId30"/>
    <sheet name="SEFA NOTES" sheetId="173" r:id="rId31"/>
    <sheet name="SF&amp;QC Sec-1" sheetId="174" r:id="rId32"/>
    <sheet name="SF&amp;QC Sec-2" sheetId="185" r:id="rId33"/>
    <sheet name="SF&amp;QC Sec-3a" sheetId="176" r:id="rId34"/>
    <sheet name="SSPAF" sheetId="177" r:id="rId35"/>
  </sheets>
  <definedNames>
    <definedName name="_xlnm.Print_Area" localSheetId="27">' SEFA (1)'!$B$1:$M$50</definedName>
    <definedName name="_xlnm.Print_Area" localSheetId="28">' SEFA (2)'!$B$1:$M$48</definedName>
    <definedName name="_xlnm.Print_Area" localSheetId="29">' SEFA (3)'!$B$1:$M$45</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4" i="185" l="1"/>
  <c r="E11" i="108" l="1"/>
  <c r="I15" i="183" l="1"/>
  <c r="I16" i="183" s="1"/>
  <c r="L13" i="179"/>
  <c r="I16" i="179"/>
  <c r="I18" i="179" s="1"/>
  <c r="I12" i="179"/>
  <c r="L12" i="179" s="1"/>
  <c r="K14" i="184"/>
  <c r="K16" i="184" s="1"/>
  <c r="J14" i="184"/>
  <c r="J16" i="184" s="1"/>
  <c r="I14" i="184"/>
  <c r="I16" i="184" s="1"/>
  <c r="H14" i="184"/>
  <c r="H16" i="184" s="1"/>
  <c r="G14" i="184"/>
  <c r="G16" i="184" s="1"/>
  <c r="F14" i="184"/>
  <c r="F16" i="184" s="1"/>
  <c r="E14" i="184"/>
  <c r="E16" i="184" s="1"/>
  <c r="K24" i="183"/>
  <c r="J24" i="183"/>
  <c r="I24" i="183"/>
  <c r="H24" i="183"/>
  <c r="G24" i="183"/>
  <c r="F24" i="183"/>
  <c r="E24" i="183"/>
  <c r="K20" i="183"/>
  <c r="J20" i="183"/>
  <c r="I20" i="183"/>
  <c r="H20" i="183"/>
  <c r="G20" i="183"/>
  <c r="F20" i="183"/>
  <c r="E20" i="183"/>
  <c r="K16" i="183"/>
  <c r="J16" i="183"/>
  <c r="H16" i="183"/>
  <c r="G16" i="183"/>
  <c r="F16" i="183"/>
  <c r="E16" i="183"/>
  <c r="L24" i="179"/>
  <c r="L25" i="179" s="1"/>
  <c r="K25" i="179"/>
  <c r="J25" i="179"/>
  <c r="I25" i="179"/>
  <c r="G39" i="174" s="1"/>
  <c r="H25" i="179"/>
  <c r="G25" i="179"/>
  <c r="F25" i="179"/>
  <c r="E25" i="179"/>
  <c r="K29" i="179"/>
  <c r="J29" i="179"/>
  <c r="I29" i="179"/>
  <c r="H29" i="179"/>
  <c r="G29" i="179"/>
  <c r="F29" i="179"/>
  <c r="E29" i="179"/>
  <c r="K22" i="179"/>
  <c r="J22" i="179"/>
  <c r="I22" i="179"/>
  <c r="H22" i="179"/>
  <c r="G22" i="179"/>
  <c r="F22" i="179"/>
  <c r="E22" i="179"/>
  <c r="K18" i="179"/>
  <c r="J18" i="179"/>
  <c r="H18" i="179"/>
  <c r="G18" i="179"/>
  <c r="F18" i="179"/>
  <c r="E18" i="179"/>
  <c r="K14" i="179"/>
  <c r="J14" i="179"/>
  <c r="H14" i="179"/>
  <c r="G14" i="179"/>
  <c r="F14" i="179"/>
  <c r="E14" i="179"/>
  <c r="L13" i="184"/>
  <c r="L12" i="184"/>
  <c r="B4" i="184"/>
  <c r="L23" i="183"/>
  <c r="L22" i="183"/>
  <c r="L19" i="183"/>
  <c r="L18" i="183"/>
  <c r="L14" i="183"/>
  <c r="L13" i="183"/>
  <c r="L12" i="183"/>
  <c r="B4" i="183"/>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K355" i="29"/>
  <c r="B7794" i="106" s="1"/>
  <c r="D7794" i="106" s="1"/>
  <c r="K354" i="29"/>
  <c r="B7792" i="106" s="1"/>
  <c r="D7792" i="106" s="1"/>
  <c r="H357" i="29"/>
  <c r="L334" i="29"/>
  <c r="K333" i="29"/>
  <c r="K332" i="29"/>
  <c r="B7786" i="106" s="1"/>
  <c r="D7786" i="106" s="1"/>
  <c r="H334" i="29"/>
  <c r="B7789" i="106" s="1"/>
  <c r="D7789" i="106" s="1"/>
  <c r="K282" i="29"/>
  <c r="B7784" i="106" s="1"/>
  <c r="D7784" i="106" s="1"/>
  <c r="H160" i="29"/>
  <c r="K159" i="29"/>
  <c r="B7782" i="106" s="1"/>
  <c r="D7782" i="106" s="1"/>
  <c r="K158" i="29"/>
  <c r="K157" i="29"/>
  <c r="B7778" i="106" s="1"/>
  <c r="D7778" i="106" s="1"/>
  <c r="B7795" i="106"/>
  <c r="D7795" i="106" s="1"/>
  <c r="K133" i="29"/>
  <c r="B7776" i="106" s="1"/>
  <c r="D7776" i="106" s="1"/>
  <c r="B7793" i="106"/>
  <c r="D7793" i="106" s="1"/>
  <c r="B7791" i="106"/>
  <c r="B7787" i="106"/>
  <c r="D7787" i="106" s="1"/>
  <c r="B7785" i="106"/>
  <c r="D7785" i="106" s="1"/>
  <c r="B7783" i="106"/>
  <c r="D7783" i="106" s="1"/>
  <c r="B7781" i="106"/>
  <c r="B7779" i="106"/>
  <c r="D7779" i="106" s="1"/>
  <c r="B7777" i="106"/>
  <c r="D7777" i="106" s="1"/>
  <c r="B7775" i="106"/>
  <c r="D7775" i="106" s="1"/>
  <c r="B7774" i="106"/>
  <c r="L357" i="29"/>
  <c r="L285" i="29"/>
  <c r="D285" i="29"/>
  <c r="B3722" i="106" s="1"/>
  <c r="D3722" i="106" s="1"/>
  <c r="L160" i="29"/>
  <c r="L137" i="29"/>
  <c r="L139" i="29" s="1"/>
  <c r="H137" i="29"/>
  <c r="E137" i="29"/>
  <c r="B4202" i="106" s="1"/>
  <c r="D4202" i="106" s="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c r="G132" i="181" s="1"/>
  <c r="F131" i="181"/>
  <c r="G131" i="181" s="1"/>
  <c r="E131" i="181"/>
  <c r="F130" i="181"/>
  <c r="G130" i="181" s="1"/>
  <c r="E130" i="181"/>
  <c r="F129" i="181"/>
  <c r="G129" i="181" s="1"/>
  <c r="E129" i="181"/>
  <c r="F128" i="181"/>
  <c r="G128" i="181" s="1"/>
  <c r="E128" i="181"/>
  <c r="E127" i="181"/>
  <c r="F127" i="181"/>
  <c r="G127" i="181" s="1"/>
  <c r="F126" i="181"/>
  <c r="G126" i="181" s="1"/>
  <c r="E126" i="181"/>
  <c r="F125" i="181"/>
  <c r="G125" i="181" s="1"/>
  <c r="E125" i="181"/>
  <c r="F124" i="181"/>
  <c r="G124" i="181" s="1"/>
  <c r="E124" i="181"/>
  <c r="E123" i="181"/>
  <c r="F123" i="18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c r="G114" i="181" s="1"/>
  <c r="F113" i="181"/>
  <c r="G113" i="181" s="1"/>
  <c r="E113" i="181"/>
  <c r="F112" i="181"/>
  <c r="G112" i="181" s="1"/>
  <c r="E112" i="181"/>
  <c r="F111" i="181"/>
  <c r="G111" i="181" s="1"/>
  <c r="E111" i="181"/>
  <c r="E110" i="181"/>
  <c r="F110" i="18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c r="G102" i="181" s="1"/>
  <c r="F101" i="181"/>
  <c r="G101" i="181" s="1"/>
  <c r="E101" i="181"/>
  <c r="E100" i="181"/>
  <c r="F100" i="181"/>
  <c r="G100" i="181" s="1"/>
  <c r="F98" i="181"/>
  <c r="G98" i="181" s="1"/>
  <c r="E98" i="181"/>
  <c r="E97" i="181"/>
  <c r="F97" i="181"/>
  <c r="G97" i="181" s="1"/>
  <c r="F96" i="181"/>
  <c r="G96" i="181" s="1"/>
  <c r="E96" i="181"/>
  <c r="E95" i="181"/>
  <c r="F95" i="181"/>
  <c r="G95" i="181" s="1"/>
  <c r="F93" i="181"/>
  <c r="G93" i="181" s="1"/>
  <c r="E93" i="181"/>
  <c r="F92" i="181"/>
  <c r="G92" i="181" s="1"/>
  <c r="E92" i="181"/>
  <c r="E91" i="181"/>
  <c r="F91" i="181"/>
  <c r="G91" i="181" s="1"/>
  <c r="F90" i="181"/>
  <c r="G90" i="181" s="1"/>
  <c r="E90" i="181"/>
  <c r="F89" i="181"/>
  <c r="G89" i="181" s="1"/>
  <c r="E89" i="181"/>
  <c r="E88" i="181"/>
  <c r="F88" i="181"/>
  <c r="G88" i="181" s="1"/>
  <c r="F87" i="181"/>
  <c r="G87" i="181" s="1"/>
  <c r="E87" i="181"/>
  <c r="E86" i="181"/>
  <c r="F86" i="18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c r="G75" i="181" s="1"/>
  <c r="F74" i="181"/>
  <c r="G74" i="181" s="1"/>
  <c r="E74" i="181"/>
  <c r="F73" i="181"/>
  <c r="G73" i="181" s="1"/>
  <c r="E73" i="181"/>
  <c r="F140" i="181"/>
  <c r="G140" i="181" s="1"/>
  <c r="E140" i="181"/>
  <c r="F94" i="181"/>
  <c r="G94" i="181" s="1"/>
  <c r="E94" i="181"/>
  <c r="F85" i="181"/>
  <c r="G85" i="181" s="1"/>
  <c r="E85" i="181"/>
  <c r="E72" i="181"/>
  <c r="F72" i="181"/>
  <c r="G72" i="181" s="1"/>
  <c r="F71" i="181"/>
  <c r="G71" i="181" s="1"/>
  <c r="E71" i="181"/>
  <c r="F70" i="181"/>
  <c r="G70" i="181" s="1"/>
  <c r="E70" i="181"/>
  <c r="F69" i="181"/>
  <c r="G69" i="181" s="1"/>
  <c r="E69" i="181"/>
  <c r="F68" i="181"/>
  <c r="G68" i="181" s="1"/>
  <c r="E68" i="181"/>
  <c r="F67" i="181"/>
  <c r="G67" i="181" s="1"/>
  <c r="E67" i="181"/>
  <c r="F66" i="181"/>
  <c r="G66" i="181" s="1"/>
  <c r="E66" i="181"/>
  <c r="E65" i="181"/>
  <c r="F65" i="181"/>
  <c r="G65" i="181"/>
  <c r="E64" i="181"/>
  <c r="F64" i="181"/>
  <c r="G64" i="181" s="1"/>
  <c r="F63" i="181"/>
  <c r="G63" i="181" s="1"/>
  <c r="E63" i="181"/>
  <c r="F62" i="181"/>
  <c r="G62" i="181" s="1"/>
  <c r="E62" i="181"/>
  <c r="F61" i="181"/>
  <c r="G61" i="181" s="1"/>
  <c r="E61" i="181"/>
  <c r="E60" i="181"/>
  <c r="F60" i="181"/>
  <c r="G60" i="181" s="1"/>
  <c r="F59" i="181"/>
  <c r="G59" i="181" s="1"/>
  <c r="E59" i="181"/>
  <c r="E58" i="181"/>
  <c r="F58" i="181"/>
  <c r="G58" i="181" s="1"/>
  <c r="F57" i="181"/>
  <c r="G57" i="181" s="1"/>
  <c r="E57" i="181"/>
  <c r="E56" i="181"/>
  <c r="F56" i="181"/>
  <c r="G56" i="181" s="1"/>
  <c r="F55" i="181"/>
  <c r="G55" i="181" s="1"/>
  <c r="E55" i="181"/>
  <c r="E54" i="181"/>
  <c r="F54" i="181"/>
  <c r="G54" i="181" s="1"/>
  <c r="F53" i="181"/>
  <c r="G53" i="181" s="1"/>
  <c r="E53" i="181"/>
  <c r="F52" i="181"/>
  <c r="G52" i="181" s="1"/>
  <c r="E52" i="181"/>
  <c r="F51" i="181"/>
  <c r="G51" i="181" s="1"/>
  <c r="E51" i="181"/>
  <c r="F50" i="181"/>
  <c r="G50" i="181" s="1"/>
  <c r="E50" i="181"/>
  <c r="F49" i="181"/>
  <c r="G49" i="181" s="1"/>
  <c r="E49" i="181"/>
  <c r="E48" i="181"/>
  <c r="F48" i="181"/>
  <c r="G48" i="181" s="1"/>
  <c r="F47" i="181"/>
  <c r="G47" i="181" s="1"/>
  <c r="E47" i="181"/>
  <c r="F46" i="181"/>
  <c r="G46" i="181" s="1"/>
  <c r="E46" i="181"/>
  <c r="F45" i="181"/>
  <c r="G45" i="181" s="1"/>
  <c r="E45" i="181"/>
  <c r="F44" i="181"/>
  <c r="G44" i="181" s="1"/>
  <c r="E44" i="181"/>
  <c r="E43" i="181"/>
  <c r="F43" i="181"/>
  <c r="G43" i="181" s="1"/>
  <c r="E42" i="181"/>
  <c r="F42" i="18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c r="G33" i="181" s="1"/>
  <c r="F32" i="181"/>
  <c r="G32" i="181" s="1"/>
  <c r="E32" i="181"/>
  <c r="F31" i="181"/>
  <c r="G31" i="181" s="1"/>
  <c r="E31" i="181"/>
  <c r="F30" i="181"/>
  <c r="G30" i="181" s="1"/>
  <c r="E30" i="181"/>
  <c r="E29" i="181"/>
  <c r="F29" i="181"/>
  <c r="G29" i="181" s="1"/>
  <c r="F28" i="181"/>
  <c r="G28" i="181" s="1"/>
  <c r="E28" i="181"/>
  <c r="E27" i="181"/>
  <c r="F27" i="181"/>
  <c r="G27" i="181" s="1"/>
  <c r="F26" i="181"/>
  <c r="G26" i="181" s="1"/>
  <c r="E26" i="181"/>
  <c r="E25" i="181"/>
  <c r="F25" i="181"/>
  <c r="G25" i="181" s="1"/>
  <c r="F24" i="181"/>
  <c r="G24" i="181" s="1"/>
  <c r="E24" i="181"/>
  <c r="F23" i="181"/>
  <c r="G23" i="181" s="1"/>
  <c r="E23" i="181"/>
  <c r="F22" i="181"/>
  <c r="G22" i="181" s="1"/>
  <c r="E22" i="181"/>
  <c r="F21" i="181"/>
  <c r="G21" i="181" s="1"/>
  <c r="E21" i="181"/>
  <c r="F20" i="181"/>
  <c r="G20" i="181" s="1"/>
  <c r="E20" i="181"/>
  <c r="E19" i="181"/>
  <c r="F19" i="181"/>
  <c r="G19" i="181" s="1"/>
  <c r="F18" i="181"/>
  <c r="G18" i="181" s="1"/>
  <c r="E18" i="181"/>
  <c r="D141" i="181"/>
  <c r="D80" i="36" s="1"/>
  <c r="E17" i="181"/>
  <c r="F17" i="181" s="1"/>
  <c r="G17" i="181" s="1"/>
  <c r="E16" i="181"/>
  <c r="F16" i="181" s="1"/>
  <c r="G16" i="181" s="1"/>
  <c r="B4" i="179"/>
  <c r="D17" i="171"/>
  <c r="L28" i="179"/>
  <c r="L27" i="179"/>
  <c r="L21" i="179"/>
  <c r="L20" i="179"/>
  <c r="L17" i="179"/>
  <c r="D14" i="171"/>
  <c r="D12" i="171"/>
  <c r="A10" i="169"/>
  <c r="A16" i="169"/>
  <c r="A15" i="169"/>
  <c r="A14" i="169"/>
  <c r="K18" i="169"/>
  <c r="G18" i="169"/>
  <c r="G15" i="169"/>
  <c r="I13" i="169"/>
  <c r="G11" i="169"/>
  <c r="G10" i="169"/>
  <c r="G9" i="169"/>
  <c r="G7" i="169"/>
  <c r="E7" i="169"/>
  <c r="B2" i="176" s="1"/>
  <c r="A7" i="169"/>
  <c r="A1" i="171" s="1"/>
  <c r="B4" i="177"/>
  <c r="B4" i="176"/>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773" i="106"/>
  <c r="D7773" i="106" s="1"/>
  <c r="B61" i="106"/>
  <c r="B52" i="106"/>
  <c r="B51" i="106"/>
  <c r="B49" i="106"/>
  <c r="B48" i="106"/>
  <c r="B47" i="106"/>
  <c r="B46" i="106"/>
  <c r="B45" i="106"/>
  <c r="B44" i="106"/>
  <c r="B43" i="106"/>
  <c r="B42" i="106"/>
  <c r="B41" i="106"/>
  <c r="B50" i="106"/>
  <c r="F163" i="34"/>
  <c r="B7769" i="106"/>
  <c r="B7768" i="106"/>
  <c r="D7768" i="106" s="1"/>
  <c r="B7766" i="106"/>
  <c r="D7766" i="106" s="1"/>
  <c r="B7765" i="106"/>
  <c r="D7765" i="106" s="1"/>
  <c r="B7764" i="106"/>
  <c r="J85" i="28"/>
  <c r="B7758" i="106" s="1"/>
  <c r="D7758" i="106" s="1"/>
  <c r="J88" i="28"/>
  <c r="K6" i="29"/>
  <c r="B7763" i="106" s="1"/>
  <c r="D7763" i="106" s="1"/>
  <c r="B7762" i="106"/>
  <c r="K12" i="12"/>
  <c r="B7719" i="106" s="1"/>
  <c r="D7719" i="106" s="1"/>
  <c r="K23" i="12"/>
  <c r="J12" i="12"/>
  <c r="B7718" i="106" s="1"/>
  <c r="D7718" i="106" s="1"/>
  <c r="J21" i="12"/>
  <c r="J23" i="12" s="1"/>
  <c r="B7729" i="106"/>
  <c r="D7729" i="106" s="1"/>
  <c r="B7734" i="106"/>
  <c r="D7734" i="106" s="1"/>
  <c r="B7726" i="106"/>
  <c r="D7726" i="106" s="1"/>
  <c r="D76" i="36"/>
  <c r="F162" i="34"/>
  <c r="B30" i="36"/>
  <c r="B33" i="36" s="1"/>
  <c r="B43" i="36" s="1"/>
  <c r="B56" i="36" s="1"/>
  <c r="B66" i="36" s="1"/>
  <c r="B70" i="36" s="1"/>
  <c r="B74" i="36" s="1"/>
  <c r="D73" i="36"/>
  <c r="C191" i="5"/>
  <c r="C201" i="5"/>
  <c r="B5246" i="106" s="1"/>
  <c r="D5246" i="106" s="1"/>
  <c r="C211" i="5"/>
  <c r="B5260" i="106" s="1"/>
  <c r="D5260" i="106" s="1"/>
  <c r="C216" i="5"/>
  <c r="B4411" i="106" s="1"/>
  <c r="D4411" i="106" s="1"/>
  <c r="C224" i="5"/>
  <c r="C228" i="5"/>
  <c r="B5304" i="106" s="1"/>
  <c r="D5304" i="106" s="1"/>
  <c r="C259" i="5"/>
  <c r="B6833" i="106" s="1"/>
  <c r="D6833" i="106" s="1"/>
  <c r="B7761" i="106"/>
  <c r="D7761" i="106" s="1"/>
  <c r="L127" i="29"/>
  <c r="L129" i="29" s="1"/>
  <c r="L149" i="29"/>
  <c r="I7" i="145"/>
  <c r="I6" i="145"/>
  <c r="D78" i="36"/>
  <c r="K75" i="29"/>
  <c r="K130" i="29"/>
  <c r="K185" i="29"/>
  <c r="B2836" i="106" s="1"/>
  <c r="D2836" i="106" s="1"/>
  <c r="K122" i="29"/>
  <c r="F15" i="145" s="1"/>
  <c r="F19" i="145" s="1"/>
  <c r="K67" i="29"/>
  <c r="K64" i="29"/>
  <c r="B1131" i="106" s="1"/>
  <c r="D1131" i="106" s="1"/>
  <c r="K59" i="29"/>
  <c r="E15" i="145" s="1"/>
  <c r="K56" i="29"/>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2" i="106" s="1"/>
  <c r="D122" i="106" s="1"/>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39" i="106" s="1"/>
  <c r="D139" i="106" s="1"/>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69" i="106" s="1"/>
  <c r="D169" i="106" s="1"/>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8" i="106" s="1"/>
  <c r="D188" i="106" s="1"/>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H41" i="3" s="1"/>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7" i="106" s="1"/>
  <c r="D847" i="106" s="1"/>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5" i="106" s="1"/>
  <c r="D905" i="106" s="1"/>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1" i="106" s="1"/>
  <c r="D1021" i="106" s="1"/>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H100" i="29"/>
  <c r="B1048" i="106"/>
  <c r="D1048" i="106" s="1"/>
  <c r="B1049" i="106"/>
  <c r="D1049" i="106" s="1"/>
  <c r="D1050" i="106"/>
  <c r="B1051" i="106"/>
  <c r="D1051" i="106" s="1"/>
  <c r="D1052" i="106"/>
  <c r="H110" i="29"/>
  <c r="H112" i="29" s="1"/>
  <c r="B7018" i="106" s="1"/>
  <c r="D7018"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K14" i="29"/>
  <c r="B1106" i="106" s="1"/>
  <c r="D1106" i="106" s="1"/>
  <c r="K15" i="29"/>
  <c r="B1107" i="106" s="1"/>
  <c r="D1107" i="106" s="1"/>
  <c r="K36" i="29"/>
  <c r="B1109" i="106" s="1"/>
  <c r="D1109" i="106" s="1"/>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3" i="106" s="1"/>
  <c r="D1123" i="106" s="1"/>
  <c r="K60" i="29"/>
  <c r="K61" i="29"/>
  <c r="B1128" i="106" s="1"/>
  <c r="D1128" i="106" s="1"/>
  <c r="K62" i="29"/>
  <c r="B1129" i="106" s="1"/>
  <c r="D1129" i="106" s="1"/>
  <c r="K63" i="29"/>
  <c r="G30" i="108" s="1"/>
  <c r="D1132" i="106"/>
  <c r="K68" i="29"/>
  <c r="E34" i="108" s="1"/>
  <c r="K69" i="29"/>
  <c r="B1136" i="106" s="1"/>
  <c r="D1136" i="106" s="1"/>
  <c r="K70" i="29"/>
  <c r="D1138" i="106"/>
  <c r="K71" i="29"/>
  <c r="F37" i="108"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B1146" i="106" s="1"/>
  <c r="D1146" i="106" s="1"/>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D129" i="29" s="1"/>
  <c r="D151" i="29" s="1"/>
  <c r="B1234" i="106" s="1"/>
  <c r="D1234" i="106" s="1"/>
  <c r="B1232" i="106"/>
  <c r="D1232" i="106" s="1"/>
  <c r="B1235" i="106"/>
  <c r="D1235" i="106" s="1"/>
  <c r="B1236" i="106"/>
  <c r="D1236" i="106" s="1"/>
  <c r="B1237" i="106"/>
  <c r="D1237" i="106" s="1"/>
  <c r="D1238" i="106"/>
  <c r="E127" i="29"/>
  <c r="E129" i="29" s="1"/>
  <c r="B1241" i="106" s="1"/>
  <c r="D1241" i="106" s="1"/>
  <c r="B1240" i="106"/>
  <c r="D1240" i="106" s="1"/>
  <c r="B1243" i="106"/>
  <c r="D1243" i="106" s="1"/>
  <c r="B1244" i="106"/>
  <c r="D1244" i="106" s="1"/>
  <c r="B1245" i="106"/>
  <c r="D1245" i="106" s="1"/>
  <c r="D1246" i="106"/>
  <c r="F127" i="29"/>
  <c r="F129" i="29" s="1"/>
  <c r="F151" i="29" s="1"/>
  <c r="B1250" i="106" s="1"/>
  <c r="D1250" i="106" s="1"/>
  <c r="B1248" i="106"/>
  <c r="D1248" i="106" s="1"/>
  <c r="B1251" i="106"/>
  <c r="D1251" i="106" s="1"/>
  <c r="B1252" i="106"/>
  <c r="D1252" i="106" s="1"/>
  <c r="B1253" i="106"/>
  <c r="D1253" i="106" s="1"/>
  <c r="B1254" i="106"/>
  <c r="D1254" i="106" s="1"/>
  <c r="D1255" i="106"/>
  <c r="G127" i="29"/>
  <c r="G129" i="29" s="1"/>
  <c r="G151" i="29" s="1"/>
  <c r="F58" i="34" s="1"/>
  <c r="B1257" i="106"/>
  <c r="D1257" i="106" s="1"/>
  <c r="B1260" i="106"/>
  <c r="D1260" i="106" s="1"/>
  <c r="B1261" i="106"/>
  <c r="D1261" i="106" s="1"/>
  <c r="B1262" i="106"/>
  <c r="D1262" i="106" s="1"/>
  <c r="D1263" i="106"/>
  <c r="H127" i="29"/>
  <c r="B1265" i="106"/>
  <c r="D1265" i="106" s="1"/>
  <c r="B1268" i="106"/>
  <c r="D1268" i="106" s="1"/>
  <c r="B1269" i="106"/>
  <c r="D1269" i="106" s="1"/>
  <c r="B1270" i="106"/>
  <c r="D1270" i="106" s="1"/>
  <c r="D1271" i="106"/>
  <c r="H147" i="29"/>
  <c r="H149" i="29" s="1"/>
  <c r="B1272" i="106" s="1"/>
  <c r="D1272" i="106" s="1"/>
  <c r="K123" i="29"/>
  <c r="B1275" i="106" s="1"/>
  <c r="D1275" i="106" s="1"/>
  <c r="K124" i="29"/>
  <c r="K126" i="29"/>
  <c r="B1277" i="106" s="1"/>
  <c r="D1277" i="106" s="1"/>
  <c r="D1278" i="106"/>
  <c r="K125" i="29"/>
  <c r="B3488" i="106" s="1"/>
  <c r="D3488" i="106" s="1"/>
  <c r="K128" i="29"/>
  <c r="B1280" i="106" s="1"/>
  <c r="D1280" i="106" s="1"/>
  <c r="K120" i="29"/>
  <c r="B4080" i="106" s="1"/>
  <c r="D4080" i="106" s="1"/>
  <c r="K134" i="29"/>
  <c r="B2986" i="106" s="1"/>
  <c r="D2986" i="106" s="1"/>
  <c r="K135" i="29"/>
  <c r="B2987" i="106" s="1"/>
  <c r="D2987" i="106" s="1"/>
  <c r="K136" i="29"/>
  <c r="B2988" i="106" s="1"/>
  <c r="D2988" i="106" s="1"/>
  <c r="K138" i="29"/>
  <c r="B2094" i="106" s="1"/>
  <c r="D2094" i="106" s="1"/>
  <c r="K142" i="29"/>
  <c r="B1283" i="106" s="1"/>
  <c r="D1283" i="106" s="1"/>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F61" i="34" s="1"/>
  <c r="K171" i="29"/>
  <c r="B1330" i="106" s="1"/>
  <c r="D1330" i="106" s="1"/>
  <c r="D1334" i="106"/>
  <c r="B1335" i="106"/>
  <c r="D1335" i="106" s="1"/>
  <c r="D1336" i="106"/>
  <c r="D1337" i="106"/>
  <c r="B1338" i="106"/>
  <c r="D1338" i="106" s="1"/>
  <c r="C184" i="29"/>
  <c r="C210" i="29" s="1"/>
  <c r="B1340" i="106" s="1"/>
  <c r="D1340" i="106" s="1"/>
  <c r="B1341" i="106"/>
  <c r="D1341" i="106" s="1"/>
  <c r="D1342" i="106"/>
  <c r="D1343" i="106"/>
  <c r="B1344" i="106"/>
  <c r="D1344" i="106" s="1"/>
  <c r="D184" i="29"/>
  <c r="D210" i="29" s="1"/>
  <c r="B1346" i="106" s="1"/>
  <c r="D1346" i="106" s="1"/>
  <c r="B1347" i="106"/>
  <c r="D1347" i="106" s="1"/>
  <c r="D1348" i="106"/>
  <c r="D1349" i="106"/>
  <c r="B1350" i="106"/>
  <c r="D1350" i="106" s="1"/>
  <c r="E184" i="29"/>
  <c r="B1351" i="106" s="1"/>
  <c r="D1351" i="106" s="1"/>
  <c r="E194" i="29"/>
  <c r="E196" i="29" s="1"/>
  <c r="B1352" i="106" s="1"/>
  <c r="D1352" i="106"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194" i="29"/>
  <c r="H196" i="29" s="1"/>
  <c r="B2830" i="106" s="1"/>
  <c r="D2830" i="106" s="1"/>
  <c r="K182" i="29"/>
  <c r="B1377" i="106" s="1"/>
  <c r="D1377" i="106" s="1"/>
  <c r="D1378" i="106"/>
  <c r="D1379" i="106"/>
  <c r="K183" i="29"/>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B2842" i="106" s="1"/>
  <c r="D2842" i="106" s="1"/>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7" i="106" s="1"/>
  <c r="D1417" i="106" s="1"/>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B1475" i="106" s="1"/>
  <c r="D1475" i="106" s="1"/>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B1492" i="106" s="1"/>
  <c r="D1492" i="106" s="1"/>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B1512" i="106" s="1"/>
  <c r="D1512" i="106" s="1"/>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C312" i="29" s="1"/>
  <c r="B1524" i="106" s="1"/>
  <c r="D1524" i="106" s="1"/>
  <c r="B1525" i="106"/>
  <c r="D1525" i="106" s="1"/>
  <c r="D1526" i="106"/>
  <c r="D1527" i="106"/>
  <c r="B1528" i="106"/>
  <c r="D1528" i="106" s="1"/>
  <c r="D303" i="29"/>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B1555" i="106" s="1"/>
  <c r="D1555" i="106" s="1"/>
  <c r="D1556" i="106"/>
  <c r="D1557" i="106"/>
  <c r="K302" i="29"/>
  <c r="B1558" i="106" s="1"/>
  <c r="D1558" i="106" s="1"/>
  <c r="K306" i="29"/>
  <c r="B7107" i="106" s="1"/>
  <c r="D7107" i="106" s="1"/>
  <c r="K307" i="29"/>
  <c r="B4099" i="106" s="1"/>
  <c r="D4099" i="106" s="1"/>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B1867" i="106" s="1"/>
  <c r="D1867" i="106"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B1977" i="106" s="1"/>
  <c r="D1977" i="106" s="1"/>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29" i="106" s="1"/>
  <c r="D3229" i="106" s="1"/>
  <c r="B3230" i="106"/>
  <c r="D3230" i="106" s="1"/>
  <c r="C76" i="4"/>
  <c r="B3231" i="106" s="1"/>
  <c r="D3231" i="106" s="1"/>
  <c r="B3234" i="106"/>
  <c r="D3234" i="106" s="1"/>
  <c r="D44" i="4"/>
  <c r="B3235" i="106" s="1"/>
  <c r="D3235" i="106" s="1"/>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K41" i="3"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703" i="106" s="1"/>
  <c r="D3703"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G367" i="29" s="1"/>
  <c r="B3650" i="106" s="1"/>
  <c r="D3650" i="106" s="1"/>
  <c r="B3648" i="106"/>
  <c r="D3648" i="106" s="1"/>
  <c r="D3651" i="106"/>
  <c r="B3652" i="106"/>
  <c r="D3652" i="106" s="1"/>
  <c r="B3653" i="106"/>
  <c r="D3653" i="106" s="1"/>
  <c r="H350" i="29"/>
  <c r="B3654" i="106" s="1"/>
  <c r="D3654" i="106" s="1"/>
  <c r="B3655" i="106"/>
  <c r="D3655" i="106" s="1"/>
  <c r="B3657" i="106"/>
  <c r="D3657" i="106" s="1"/>
  <c r="H362" i="29"/>
  <c r="H365" i="29" s="1"/>
  <c r="B7242" i="106" s="1"/>
  <c r="D7242" i="106" s="1"/>
  <c r="D3659" i="106"/>
  <c r="D3661" i="106"/>
  <c r="D3662" i="106"/>
  <c r="D3663" i="106"/>
  <c r="D3664" i="106"/>
  <c r="D3665" i="106"/>
  <c r="D3666" i="106"/>
  <c r="D3667" i="106"/>
  <c r="K348" i="29"/>
  <c r="B3668" i="106" s="1"/>
  <c r="D3668" i="106" s="1"/>
  <c r="K349" i="29"/>
  <c r="B3669" i="106" s="1"/>
  <c r="D3669" i="106" s="1"/>
  <c r="K351" i="29"/>
  <c r="B3671" i="106" s="1"/>
  <c r="D3671"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F36" i="34"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7" i="106" s="1"/>
  <c r="D6877" i="106" s="1"/>
  <c r="B6878" i="106"/>
  <c r="D6878" i="106" s="1"/>
  <c r="K21" i="29"/>
  <c r="B6879" i="106" s="1"/>
  <c r="D6879" i="106" s="1"/>
  <c r="B6880" i="106"/>
  <c r="D6880" i="106" s="1"/>
  <c r="K22" i="29"/>
  <c r="B6881" i="106" s="1"/>
  <c r="D6881" i="106" s="1"/>
  <c r="B6882" i="106"/>
  <c r="D6882" i="106" s="1"/>
  <c r="K23" i="29"/>
  <c r="B6884" i="106"/>
  <c r="D6884" i="106" s="1"/>
  <c r="K24" i="29"/>
  <c r="F43" i="34" s="1"/>
  <c r="B6886" i="106"/>
  <c r="D6886" i="106" s="1"/>
  <c r="K25" i="29"/>
  <c r="B6888" i="106"/>
  <c r="D6888" i="106" s="1"/>
  <c r="K26" i="29"/>
  <c r="B6889" i="106" s="1"/>
  <c r="D6889" i="106" s="1"/>
  <c r="B6890" i="106"/>
  <c r="D6890" i="106" s="1"/>
  <c r="K27" i="29"/>
  <c r="B6891" i="106" s="1"/>
  <c r="D6891" i="106" s="1"/>
  <c r="B6892" i="106"/>
  <c r="D6892" i="106" s="1"/>
  <c r="K28" i="29"/>
  <c r="B6893" i="106" s="1"/>
  <c r="D6893" i="106" s="1"/>
  <c r="B6894" i="106"/>
  <c r="D6894" i="106" s="1"/>
  <c r="K29" i="29"/>
  <c r="B6895" i="106" s="1"/>
  <c r="D6895" i="106" s="1"/>
  <c r="B6896" i="106"/>
  <c r="D6896" i="106" s="1"/>
  <c r="K30" i="29"/>
  <c r="B6897" i="106" s="1"/>
  <c r="D6897" i="106" s="1"/>
  <c r="B6898" i="106"/>
  <c r="D6898" i="106" s="1"/>
  <c r="K31" i="29"/>
  <c r="B6900" i="106"/>
  <c r="D6900" i="106" s="1"/>
  <c r="K32" i="29"/>
  <c r="F51" i="34"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B6916" i="106" s="1"/>
  <c r="D6916" i="106" s="1"/>
  <c r="J42" i="29"/>
  <c r="B6917" i="106" s="1"/>
  <c r="D6917" i="106" s="1"/>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J127" i="29"/>
  <c r="J129" i="29" s="1"/>
  <c r="J151" i="29" s="1"/>
  <c r="B7052" i="106" s="1"/>
  <c r="D7052"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I210" i="29" s="1"/>
  <c r="B7071" i="106" s="1"/>
  <c r="D7071" i="106" s="1"/>
  <c r="J184" i="29"/>
  <c r="J210" i="29" s="1"/>
  <c r="B7072" i="106" s="1"/>
  <c r="D7072"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J303" i="29"/>
  <c r="J312" i="29" s="1"/>
  <c r="B7117" i="106" s="1"/>
  <c r="D7117"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4" i="106" s="1"/>
  <c r="D7144" i="106" s="1"/>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C342" i="29" s="1"/>
  <c r="B7216" i="106" s="1"/>
  <c r="D7216" i="106" s="1"/>
  <c r="D330" i="29"/>
  <c r="D342" i="29" s="1"/>
  <c r="B7217" i="106" s="1"/>
  <c r="D7217" i="106" s="1"/>
  <c r="E330" i="29"/>
  <c r="F330" i="29"/>
  <c r="B7202" i="106" s="1"/>
  <c r="D7202" i="106" s="1"/>
  <c r="G330" i="29"/>
  <c r="G342" i="29" s="1"/>
  <c r="B7220" i="106" s="1"/>
  <c r="D7220" i="106" s="1"/>
  <c r="H330" i="29"/>
  <c r="B7204" i="106" s="1"/>
  <c r="D7204" i="106" s="1"/>
  <c r="I330" i="29"/>
  <c r="I342" i="29" s="1"/>
  <c r="B7222" i="106" s="1"/>
  <c r="D7222" i="106" s="1"/>
  <c r="J330" i="29"/>
  <c r="B7206" i="106" s="1"/>
  <c r="D7206" i="106" s="1"/>
  <c r="K328" i="29"/>
  <c r="B7696" i="106" s="1"/>
  <c r="D7696" i="106" s="1"/>
  <c r="K329" i="29"/>
  <c r="B7705" i="106" s="1"/>
  <c r="D7705" i="106" s="1"/>
  <c r="B7208" i="106"/>
  <c r="D7208" i="106" s="1"/>
  <c r="K337" i="29"/>
  <c r="B7209" i="106" s="1"/>
  <c r="D7209" i="106" s="1"/>
  <c r="B7210" i="106"/>
  <c r="D7210" i="106" s="1"/>
  <c r="K338" i="29"/>
  <c r="B7211" i="106" s="1"/>
  <c r="D7211" i="106" s="1"/>
  <c r="B7212" i="106"/>
  <c r="D7212" i="106" s="1"/>
  <c r="K339" i="29"/>
  <c r="B7213" i="106" s="1"/>
  <c r="D7213" i="106" s="1"/>
  <c r="H340" i="29"/>
  <c r="B7214" i="106" s="1"/>
  <c r="D7214" i="106" s="1"/>
  <c r="B7226" i="106"/>
  <c r="D7226" i="106" s="1"/>
  <c r="B7227" i="106"/>
  <c r="D7227" i="106" s="1"/>
  <c r="B7228" i="106"/>
  <c r="D7228" i="106" s="1"/>
  <c r="B7229" i="106"/>
  <c r="D7229" i="106" s="1"/>
  <c r="I350" i="29"/>
  <c r="I352" i="29" s="1"/>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5" i="106"/>
  <c r="B7616" i="106"/>
  <c r="B7617" i="106"/>
  <c r="F14" i="11"/>
  <c r="B7618" i="106"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4" i="106"/>
  <c r="D7769" i="106"/>
  <c r="D7770" i="106"/>
  <c r="D7771" i="106"/>
  <c r="D7772" i="106"/>
  <c r="D7774" i="106"/>
  <c r="D7781" i="106"/>
  <c r="D7791"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6" i="108"/>
  <c r="G26" i="108"/>
  <c r="E27" i="108"/>
  <c r="G27" i="108"/>
  <c r="G28" i="108"/>
  <c r="D37" i="108"/>
  <c r="E31" i="108"/>
  <c r="G31" i="108"/>
  <c r="G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D8" i="7" s="1"/>
  <c r="B1764" i="106" s="1"/>
  <c r="D1764"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B720" i="106" s="1"/>
  <c r="D720" i="106" s="1"/>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B1116" i="106" s="1"/>
  <c r="D1116" i="106" s="1"/>
  <c r="K45" i="29"/>
  <c r="B1117" i="106" s="1"/>
  <c r="D1117" i="106" s="1"/>
  <c r="C47" i="29"/>
  <c r="B731" i="106" s="1"/>
  <c r="D731" i="106" s="1"/>
  <c r="L47" i="29"/>
  <c r="K50" i="29"/>
  <c r="B1121" i="106" s="1"/>
  <c r="D1121" i="106"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B5618" i="106" s="1"/>
  <c r="D5618"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I172" i="5"/>
  <c r="I173" i="5" s="1"/>
  <c r="B4216" i="106" s="1"/>
  <c r="D4216"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B4950" i="106" s="1"/>
  <c r="D4950" i="106" s="1"/>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H184" i="5"/>
  <c r="B5908" i="106" s="1"/>
  <c r="D5908" i="106" s="1"/>
  <c r="K184" i="5"/>
  <c r="B6016" i="106" s="1"/>
  <c r="D6016" i="106" s="1"/>
  <c r="B4395" i="106"/>
  <c r="D4395" i="106" s="1"/>
  <c r="D191" i="5"/>
  <c r="B4396" i="106" s="1"/>
  <c r="D4396" i="106" s="1"/>
  <c r="F191" i="5"/>
  <c r="B4397" i="106" s="1"/>
  <c r="D4397" i="106" s="1"/>
  <c r="G191" i="5"/>
  <c r="B4398" i="106" s="1"/>
  <c r="D4398"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B6835" i="106" s="1"/>
  <c r="D6835" i="106" s="1"/>
  <c r="F259" i="5"/>
  <c r="B6836" i="106" s="1"/>
  <c r="D6836" i="106" s="1"/>
  <c r="H259" i="5"/>
  <c r="H273" i="5" s="1"/>
  <c r="B4441" i="106" s="1"/>
  <c r="D4441" i="106" s="1"/>
  <c r="J259" i="5"/>
  <c r="J273" i="5" s="1"/>
  <c r="K259" i="5"/>
  <c r="K273" i="5" s="1"/>
  <c r="D7" i="118"/>
  <c r="D8" i="118"/>
  <c r="D9" i="118"/>
  <c r="H14" i="118"/>
  <c r="H19" i="118"/>
  <c r="H24" i="118"/>
  <c r="B7503" i="106"/>
  <c r="B7531" i="106"/>
  <c r="B1231" i="106"/>
  <c r="D1231" i="106" s="1"/>
  <c r="B7270" i="106"/>
  <c r="D24" i="36"/>
  <c r="B3674" i="106"/>
  <c r="D3674" i="106" s="1"/>
  <c r="B7298" i="106"/>
  <c r="B7299" i="106"/>
  <c r="E26" i="183" l="1"/>
  <c r="F26" i="108"/>
  <c r="B1126" i="106"/>
  <c r="D1126" i="106" s="1"/>
  <c r="F14" i="4"/>
  <c r="B2597" i="106" s="1"/>
  <c r="D2597" i="106" s="1"/>
  <c r="F71" i="34"/>
  <c r="D26" i="108"/>
  <c r="J22" i="37"/>
  <c r="B6885" i="106"/>
  <c r="D6885" i="106" s="1"/>
  <c r="B6901" i="106"/>
  <c r="D6901" i="106" s="1"/>
  <c r="F49" i="34"/>
  <c r="F39" i="34"/>
  <c r="F67" i="34"/>
  <c r="L10" i="11"/>
  <c r="B2058" i="106" s="1"/>
  <c r="D2058" i="106" s="1"/>
  <c r="H29" i="118"/>
  <c r="D22" i="37"/>
  <c r="N22" i="3"/>
  <c r="N23" i="3" s="1"/>
  <c r="B284" i="106" s="1"/>
  <c r="D284" i="106" s="1"/>
  <c r="H33" i="118"/>
  <c r="E35" i="108"/>
  <c r="B1274" i="106"/>
  <c r="D1274" i="106" s="1"/>
  <c r="B2828" i="106"/>
  <c r="D2828" i="106" s="1"/>
  <c r="B1258" i="106"/>
  <c r="D1258" i="106" s="1"/>
  <c r="F69" i="34"/>
  <c r="B7047" i="106"/>
  <c r="D7047" i="106" s="1"/>
  <c r="E16" i="145"/>
  <c r="G16" i="145" s="1"/>
  <c r="F31" i="108"/>
  <c r="B1523" i="106"/>
  <c r="D1523" i="106" s="1"/>
  <c r="D7" i="7"/>
  <c r="B1763" i="106" s="1"/>
  <c r="D1763" i="106" s="1"/>
  <c r="B5096" i="106"/>
  <c r="D5096" i="106" s="1"/>
  <c r="B2823" i="106"/>
  <c r="D2823" i="106" s="1"/>
  <c r="F66" i="34"/>
  <c r="D31" i="108"/>
  <c r="E29" i="108"/>
  <c r="B1239" i="106"/>
  <c r="D1239" i="106" s="1"/>
  <c r="F40" i="34"/>
  <c r="G35" i="108"/>
  <c r="L22" i="37"/>
  <c r="H24" i="12"/>
  <c r="B1983" i="106" s="1"/>
  <c r="D1983" i="106" s="1"/>
  <c r="B3647" i="106"/>
  <c r="D3647" i="106" s="1"/>
  <c r="B3649" i="106"/>
  <c r="D3649" i="106" s="1"/>
  <c r="D69" i="36"/>
  <c r="D68" i="36"/>
  <c r="H28" i="118"/>
  <c r="L14" i="11"/>
  <c r="B7623" i="106" s="1"/>
  <c r="L8" i="11"/>
  <c r="B2057" i="106" s="1"/>
  <c r="D2057" i="106" s="1"/>
  <c r="L5" i="11"/>
  <c r="B2056" i="106" s="1"/>
  <c r="D2056" i="106" s="1"/>
  <c r="F5" i="4"/>
  <c r="B3408" i="106" s="1"/>
  <c r="D3408" i="106" s="1"/>
  <c r="K24" i="12"/>
  <c r="B7733" i="106" s="1"/>
  <c r="D7733" i="106" s="1"/>
  <c r="G24" i="12"/>
  <c r="B1958" i="106" s="1"/>
  <c r="D1958" i="106" s="1"/>
  <c r="D24" i="37"/>
  <c r="B4270" i="106" s="1"/>
  <c r="D4270" i="106" s="1"/>
  <c r="F15" i="8"/>
  <c r="B1875" i="106" s="1"/>
  <c r="D1875" i="106" s="1"/>
  <c r="D31" i="36"/>
  <c r="D11" i="37"/>
  <c r="J90" i="28"/>
  <c r="B7760" i="106" s="1"/>
  <c r="D7760" i="106" s="1"/>
  <c r="B7759" i="106"/>
  <c r="D7759" i="106" s="1"/>
  <c r="L9" i="11"/>
  <c r="B7614" i="106" s="1"/>
  <c r="D17" i="7"/>
  <c r="B4104" i="106" s="1"/>
  <c r="D4104" i="106" s="1"/>
  <c r="D5" i="7"/>
  <c r="B1761" i="106" s="1"/>
  <c r="D1761" i="106" s="1"/>
  <c r="A2" i="173"/>
  <c r="I49" i="8"/>
  <c r="N36" i="3" s="1"/>
  <c r="H37" i="37" s="1"/>
  <c r="B4997" i="106" s="1"/>
  <c r="D4997" i="106" s="1"/>
  <c r="I6" i="4"/>
  <c r="B5011" i="106" s="1"/>
  <c r="D5011" i="106" s="1"/>
  <c r="B1" i="184"/>
  <c r="B1" i="185"/>
  <c r="B2" i="184"/>
  <c r="B2" i="185"/>
  <c r="B2" i="179"/>
  <c r="K303" i="29"/>
  <c r="B1559" i="106" s="1"/>
  <c r="D1559" i="106" s="1"/>
  <c r="E173" i="5"/>
  <c r="E6" i="4" s="1"/>
  <c r="B2631" i="106" s="1"/>
  <c r="D2631" i="106" s="1"/>
  <c r="B1" i="177"/>
  <c r="D6103" i="106"/>
  <c r="J19" i="145"/>
  <c r="D82" i="36" s="1"/>
  <c r="I24" i="12"/>
  <c r="B1996" i="106" s="1"/>
  <c r="D1996" i="106" s="1"/>
  <c r="F21" i="8"/>
  <c r="B1879" i="106" s="1"/>
  <c r="D1879" i="106" s="1"/>
  <c r="B6858" i="106"/>
  <c r="D6858" i="106" s="1"/>
  <c r="B1" i="174"/>
  <c r="A1" i="173"/>
  <c r="B1" i="183"/>
  <c r="B1" i="176"/>
  <c r="A1" i="170"/>
  <c r="B1" i="179"/>
  <c r="A7250" i="106"/>
  <c r="A7251" i="106" s="1"/>
  <c r="A7252" i="106" s="1"/>
  <c r="A7253" i="106" s="1"/>
  <c r="D7249" i="106"/>
  <c r="D7248" i="106"/>
  <c r="D7247" i="106"/>
  <c r="D7250" i="106"/>
  <c r="D7246" i="106"/>
  <c r="B79" i="36"/>
  <c r="B77" i="36"/>
  <c r="H34" i="182"/>
  <c r="I34" i="182"/>
  <c r="J34" i="182"/>
  <c r="L15" i="11"/>
  <c r="B3459" i="106" s="1"/>
  <c r="D3459" i="106" s="1"/>
  <c r="J24" i="12"/>
  <c r="B7732" i="106" s="1"/>
  <c r="D7732" i="106" s="1"/>
  <c r="B7730" i="106"/>
  <c r="D7730" i="106" s="1"/>
  <c r="B1995" i="106"/>
  <c r="D1995" i="106" s="1"/>
  <c r="B1876" i="106"/>
  <c r="D1876" i="106" s="1"/>
  <c r="F19" i="7"/>
  <c r="B1807" i="106" s="1"/>
  <c r="D1807" i="106" s="1"/>
  <c r="B2" i="174"/>
  <c r="B6289" i="106"/>
  <c r="D6289" i="106" s="1"/>
  <c r="B1053" i="106"/>
  <c r="D1053" i="106" s="1"/>
  <c r="B3658" i="106"/>
  <c r="D3658" i="106" s="1"/>
  <c r="C41" i="3"/>
  <c r="B93" i="106" s="1"/>
  <c r="D93" i="106" s="1"/>
  <c r="F45" i="34"/>
  <c r="B1247" i="106"/>
  <c r="D1247" i="106" s="1"/>
  <c r="B1135" i="106"/>
  <c r="D1135" i="106" s="1"/>
  <c r="F72" i="34"/>
  <c r="F46" i="34"/>
  <c r="B7203" i="106"/>
  <c r="D7203" i="106" s="1"/>
  <c r="B1256" i="106"/>
  <c r="D1256" i="106" s="1"/>
  <c r="F48" i="34"/>
  <c r="G14" i="4"/>
  <c r="B2609" i="106" s="1"/>
  <c r="D2609" i="106" s="1"/>
  <c r="F70" i="34"/>
  <c r="F35" i="34"/>
  <c r="G29" i="108"/>
  <c r="B7205" i="106"/>
  <c r="D7205" i="106" s="1"/>
  <c r="B7104" i="106"/>
  <c r="D7104" i="106" s="1"/>
  <c r="B7034" i="106"/>
  <c r="D7034" i="106" s="1"/>
  <c r="B1746" i="106"/>
  <c r="D1746" i="106" s="1"/>
  <c r="D10" i="7"/>
  <c r="B1765" i="106" s="1"/>
  <c r="D1765" i="106" s="1"/>
  <c r="C352" i="29"/>
  <c r="B3619" i="106"/>
  <c r="D3619" i="106" s="1"/>
  <c r="F210" i="29"/>
  <c r="B1359" i="106" s="1"/>
  <c r="D1359" i="106" s="1"/>
  <c r="B1358" i="106"/>
  <c r="D1358" i="106" s="1"/>
  <c r="G33" i="108"/>
  <c r="B1134" i="106"/>
  <c r="D1134" i="106" s="1"/>
  <c r="E33" i="108"/>
  <c r="E17" i="145"/>
  <c r="G17" i="145" s="1"/>
  <c r="F352" i="29"/>
  <c r="B3642" i="106" s="1"/>
  <c r="D3642" i="106" s="1"/>
  <c r="B3640" i="106"/>
  <c r="D3640" i="106" s="1"/>
  <c r="H208" i="29"/>
  <c r="B1375" i="106" s="1"/>
  <c r="D1375" i="106" s="1"/>
  <c r="B4156" i="106"/>
  <c r="D4156" i="106" s="1"/>
  <c r="B1137" i="106"/>
  <c r="D1137" i="106" s="1"/>
  <c r="F36" i="108"/>
  <c r="D36" i="108"/>
  <c r="D27" i="108"/>
  <c r="B1127" i="106"/>
  <c r="D1127" i="106" s="1"/>
  <c r="B2724" i="106"/>
  <c r="D2724" i="106" s="1"/>
  <c r="E13" i="145"/>
  <c r="G13" i="145" s="1"/>
  <c r="B2805" i="106"/>
  <c r="D2805" i="106" s="1"/>
  <c r="D14" i="4"/>
  <c r="B2570" i="106" s="1"/>
  <c r="D2570" i="106" s="1"/>
  <c r="F56" i="34"/>
  <c r="H139" i="29"/>
  <c r="B1267" i="106" s="1"/>
  <c r="D1267" i="106" s="1"/>
  <c r="B2091" i="106"/>
  <c r="D2091" i="106" s="1"/>
  <c r="B1541" i="106"/>
  <c r="D1541" i="106" s="1"/>
  <c r="F312" i="29"/>
  <c r="B1542" i="106" s="1"/>
  <c r="D1542" i="106" s="1"/>
  <c r="B1345" i="106"/>
  <c r="D1345" i="106" s="1"/>
  <c r="B4211" i="106"/>
  <c r="D4211" i="106" s="1"/>
  <c r="F64" i="34"/>
  <c r="B1104" i="106"/>
  <c r="D1104" i="106" s="1"/>
  <c r="F37" i="34"/>
  <c r="E39" i="108"/>
  <c r="F68" i="34"/>
  <c r="B3673" i="106"/>
  <c r="D3673" i="106" s="1"/>
  <c r="B1233" i="106"/>
  <c r="D1233" i="106" s="1"/>
  <c r="B1339" i="106"/>
  <c r="D1339" i="106" s="1"/>
  <c r="D4" i="7"/>
  <c r="B1760" i="106" s="1"/>
  <c r="D1760" i="106" s="1"/>
  <c r="D12" i="7"/>
  <c r="B1769" i="106" s="1"/>
  <c r="D1769" i="106" s="1"/>
  <c r="D15" i="7"/>
  <c r="B1772" i="106" s="1"/>
  <c r="D1772" i="106" s="1"/>
  <c r="J173" i="5"/>
  <c r="D11" i="7"/>
  <c r="B1768" i="106" s="1"/>
  <c r="D1768" i="106" s="1"/>
  <c r="G5" i="4"/>
  <c r="B3409" i="106" s="1"/>
  <c r="D3409" i="106" s="1"/>
  <c r="C5" i="4"/>
  <c r="B3405" i="106" s="1"/>
  <c r="D3405" i="106" s="1"/>
  <c r="D9" i="7"/>
  <c r="B1767" i="106" s="1"/>
  <c r="D1767" i="106" s="1"/>
  <c r="F111" i="34"/>
  <c r="F47" i="34"/>
  <c r="B7200" i="106"/>
  <c r="D7200" i="106" s="1"/>
  <c r="F41" i="34"/>
  <c r="B7063" i="106"/>
  <c r="D7063" i="106" s="1"/>
  <c r="H295" i="29"/>
  <c r="B1454" i="106" s="1"/>
  <c r="D1454" i="106" s="1"/>
  <c r="B1452" i="106"/>
  <c r="D1452" i="106" s="1"/>
  <c r="G15" i="145"/>
  <c r="E12" i="145"/>
  <c r="G12" i="145" s="1"/>
  <c r="B7064" i="106"/>
  <c r="D7064" i="106" s="1"/>
  <c r="K362" i="29"/>
  <c r="B3676" i="106" s="1"/>
  <c r="D3676" i="106" s="1"/>
  <c r="B211" i="106"/>
  <c r="D211" i="106" s="1"/>
  <c r="C14" i="4"/>
  <c r="B2558" i="106" s="1"/>
  <c r="D2558" i="106" s="1"/>
  <c r="F52" i="34"/>
  <c r="B1144" i="106"/>
  <c r="D1144" i="106" s="1"/>
  <c r="G39" i="108"/>
  <c r="B6883" i="106"/>
  <c r="D6883" i="106" s="1"/>
  <c r="F42" i="34"/>
  <c r="B1308" i="106"/>
  <c r="D1308" i="106" s="1"/>
  <c r="E174" i="29"/>
  <c r="B1309" i="106" s="1"/>
  <c r="D1309" i="106" s="1"/>
  <c r="B1264" i="106"/>
  <c r="D1264" i="106" s="1"/>
  <c r="H129" i="29"/>
  <c r="B1266" i="106" s="1"/>
  <c r="D1266" i="106" s="1"/>
  <c r="D312" i="29"/>
  <c r="B1530" i="106" s="1"/>
  <c r="D1530" i="106" s="1"/>
  <c r="B1529" i="106"/>
  <c r="D1529" i="106" s="1"/>
  <c r="B6887" i="106"/>
  <c r="D6887" i="106" s="1"/>
  <c r="F44" i="34"/>
  <c r="B1380" i="106"/>
  <c r="D1380" i="106" s="1"/>
  <c r="E38" i="108"/>
  <c r="G38" i="108"/>
  <c r="K92" i="29"/>
  <c r="B2089" i="106" s="1"/>
  <c r="D2089" i="106" s="1"/>
  <c r="B6995" i="106"/>
  <c r="D6995" i="106" s="1"/>
  <c r="B7201" i="106"/>
  <c r="D7201" i="106" s="1"/>
  <c r="E342" i="29"/>
  <c r="B7218" i="106" s="1"/>
  <c r="D7218" i="106" s="1"/>
  <c r="I312" i="29"/>
  <c r="B7116" i="106" s="1"/>
  <c r="D7116" i="106" s="1"/>
  <c r="B7103" i="106"/>
  <c r="D7103" i="106" s="1"/>
  <c r="I129" i="29"/>
  <c r="B7033" i="106"/>
  <c r="D7033" i="106" s="1"/>
  <c r="B6899" i="106"/>
  <c r="D6899" i="106" s="1"/>
  <c r="F50" i="34"/>
  <c r="E352" i="29"/>
  <c r="B3633" i="106"/>
  <c r="D3633" i="106" s="1"/>
  <c r="G210" i="29"/>
  <c r="B1364" i="106"/>
  <c r="D1364" i="106" s="1"/>
  <c r="E14" i="145"/>
  <c r="G14" i="145" s="1"/>
  <c r="B1124" i="106"/>
  <c r="D1124" i="106" s="1"/>
  <c r="B7038" i="106"/>
  <c r="D7038" i="106" s="1"/>
  <c r="G77" i="4"/>
  <c r="B3261" i="106" s="1"/>
  <c r="D3261" i="106" s="1"/>
  <c r="B1139" i="106"/>
  <c r="D1139" i="106" s="1"/>
  <c r="E30" i="108"/>
  <c r="B1130" i="106"/>
  <c r="D1130" i="106" s="1"/>
  <c r="F27" i="108"/>
  <c r="F34" i="34"/>
  <c r="F342" i="29"/>
  <c r="B7219" i="106" s="1"/>
  <c r="D7219" i="106" s="1"/>
  <c r="E102" i="29"/>
  <c r="B2790" i="106" s="1"/>
  <c r="D2790" i="106" s="1"/>
  <c r="F106" i="34"/>
  <c r="F95" i="34"/>
  <c r="D16" i="7"/>
  <c r="B3447" i="106" s="1"/>
  <c r="D3447" i="106" s="1"/>
  <c r="F107" i="34"/>
  <c r="D5" i="4"/>
  <c r="B3406" i="106" s="1"/>
  <c r="D3406" i="106" s="1"/>
  <c r="B5383" i="106"/>
  <c r="D5383" i="106" s="1"/>
  <c r="D172" i="5"/>
  <c r="B5412" i="106" s="1"/>
  <c r="D5412" i="106" s="1"/>
  <c r="G109" i="5"/>
  <c r="G4" i="4" s="1"/>
  <c r="B2603" i="106" s="1"/>
  <c r="D2603" i="106" s="1"/>
  <c r="D13" i="7"/>
  <c r="B3726" i="106" s="1"/>
  <c r="D3726" i="106" s="1"/>
  <c r="E273" i="5"/>
  <c r="B7747" i="106" s="1"/>
  <c r="D7747" i="106" s="1"/>
  <c r="J342" i="29"/>
  <c r="B7223" i="106" s="1"/>
  <c r="D7223" i="106" s="1"/>
  <c r="K57" i="29"/>
  <c r="E24" i="108" s="1"/>
  <c r="H102" i="29"/>
  <c r="B1047" i="106" s="1"/>
  <c r="D1047" i="106" s="1"/>
  <c r="G74" i="29"/>
  <c r="L3" i="11"/>
  <c r="B7596" i="106" s="1"/>
  <c r="G141" i="181"/>
  <c r="E40" i="108" s="1"/>
  <c r="L13" i="11"/>
  <c r="B2060" i="106" s="1"/>
  <c r="D2060" i="106" s="1"/>
  <c r="F16" i="11"/>
  <c r="B2031" i="106" s="1"/>
  <c r="D2031" i="106" s="1"/>
  <c r="L151" i="29"/>
  <c r="K84" i="29"/>
  <c r="B2088" i="106" s="1"/>
  <c r="D2088" i="106" s="1"/>
  <c r="D74" i="29"/>
  <c r="K16" i="11"/>
  <c r="B2055" i="106" s="1"/>
  <c r="D2055" i="106" s="1"/>
  <c r="B7613" i="106"/>
  <c r="L6" i="11"/>
  <c r="B7605" i="106" s="1"/>
  <c r="L12" i="11"/>
  <c r="B2059" i="106" s="1"/>
  <c r="D2059" i="106" s="1"/>
  <c r="B7600" i="106"/>
  <c r="K72" i="29"/>
  <c r="B1141" i="106" s="1"/>
  <c r="D1141" i="106" s="1"/>
  <c r="F74" i="29"/>
  <c r="C74" i="29"/>
  <c r="K194" i="29"/>
  <c r="K261" i="29"/>
  <c r="B1491" i="106" s="1"/>
  <c r="D1491" i="106" s="1"/>
  <c r="F172" i="5"/>
  <c r="B5644" i="106" s="1"/>
  <c r="D5644" i="106" s="1"/>
  <c r="B6838" i="106"/>
  <c r="D6838" i="106" s="1"/>
  <c r="C77" i="4"/>
  <c r="B3232" i="106" s="1"/>
  <c r="D3232" i="106" s="1"/>
  <c r="B4363" i="106"/>
  <c r="D4363" i="106" s="1"/>
  <c r="K277" i="29"/>
  <c r="B1508" i="106" s="1"/>
  <c r="D1508" i="106" s="1"/>
  <c r="H352" i="29"/>
  <c r="H367" i="29" s="1"/>
  <c r="B3660" i="106" s="1"/>
  <c r="D3660" i="106" s="1"/>
  <c r="H172" i="29"/>
  <c r="H174" i="29" s="1"/>
  <c r="B1318" i="106" s="1"/>
  <c r="D1318" i="106" s="1"/>
  <c r="J274" i="5"/>
  <c r="B7054" i="106" s="1"/>
  <c r="D7054" i="106" s="1"/>
  <c r="F105" i="34"/>
  <c r="K173" i="5"/>
  <c r="K6" i="4" s="1"/>
  <c r="B3570" i="106" s="1"/>
  <c r="D3570" i="106" s="1"/>
  <c r="B1329" i="106"/>
  <c r="D1329" i="106" s="1"/>
  <c r="K137" i="29"/>
  <c r="K127" i="29"/>
  <c r="K129" i="29" s="1"/>
  <c r="B1281" i="106" s="1"/>
  <c r="D1281" i="106" s="1"/>
  <c r="F129" i="34"/>
  <c r="D77" i="4"/>
  <c r="B3238" i="106" s="1"/>
  <c r="D3238" i="106" s="1"/>
  <c r="I76" i="4"/>
  <c r="F28" i="108"/>
  <c r="E28" i="108"/>
  <c r="B1276" i="106"/>
  <c r="D1276" i="106" s="1"/>
  <c r="H312" i="29"/>
  <c r="B1554" i="106" s="1"/>
  <c r="D1554" i="106" s="1"/>
  <c r="K47" i="29"/>
  <c r="E312" i="29"/>
  <c r="B1536" i="106" s="1"/>
  <c r="D1536" i="106" s="1"/>
  <c r="L312" i="29"/>
  <c r="E210" i="29"/>
  <c r="B1353" i="106" s="1"/>
  <c r="D1353" i="106" s="1"/>
  <c r="L102" i="29"/>
  <c r="K53" i="29"/>
  <c r="B1122" i="106" s="1"/>
  <c r="D1122" i="106" s="1"/>
  <c r="D14" i="7"/>
  <c r="B1770" i="106" s="1"/>
  <c r="D1770" i="106" s="1"/>
  <c r="D41" i="3"/>
  <c r="B124" i="106" s="1"/>
  <c r="D124" i="106" s="1"/>
  <c r="I41" i="3"/>
  <c r="B2913" i="106" s="1"/>
  <c r="D2913" i="106" s="1"/>
  <c r="E41" i="3"/>
  <c r="E44" i="4"/>
  <c r="F41" i="3"/>
  <c r="K330" i="29"/>
  <c r="B7199" i="106"/>
  <c r="D7199" i="106" s="1"/>
  <c r="H342" i="29"/>
  <c r="B7221" i="106" s="1"/>
  <c r="D7221" i="106" s="1"/>
  <c r="L74" i="29"/>
  <c r="L279" i="29"/>
  <c r="L295" i="29" s="1"/>
  <c r="I74" i="29"/>
  <c r="J74" i="29"/>
  <c r="K310" i="29"/>
  <c r="K293" i="29"/>
  <c r="K147" i="29"/>
  <c r="K110" i="29"/>
  <c r="K100" i="29"/>
  <c r="K65" i="29"/>
  <c r="B1133" i="106" s="1"/>
  <c r="D1133" i="106" s="1"/>
  <c r="K42" i="29"/>
  <c r="B1115" i="106" s="1"/>
  <c r="D1115" i="106" s="1"/>
  <c r="H74" i="29"/>
  <c r="B1045" i="106" s="1"/>
  <c r="D1045" i="106" s="1"/>
  <c r="E74" i="29"/>
  <c r="G312" i="29"/>
  <c r="B1548" i="106" s="1"/>
  <c r="D1548" i="106" s="1"/>
  <c r="K204" i="29"/>
  <c r="K208" i="29" s="1"/>
  <c r="B1387" i="106" s="1"/>
  <c r="D1387" i="106" s="1"/>
  <c r="J109" i="5"/>
  <c r="H109" i="5"/>
  <c r="B5537" i="106"/>
  <c r="D5537" i="106" s="1"/>
  <c r="H173" i="5"/>
  <c r="H6" i="4" s="1"/>
  <c r="G172" i="5"/>
  <c r="B5770" i="106" s="1"/>
  <c r="D5770" i="106" s="1"/>
  <c r="F109" i="5"/>
  <c r="B6839" i="106"/>
  <c r="D6839" i="106" s="1"/>
  <c r="B6840" i="106"/>
  <c r="D6840" i="106" s="1"/>
  <c r="F127" i="34"/>
  <c r="F128" i="34"/>
  <c r="F161" i="34"/>
  <c r="K109" i="5"/>
  <c r="C109" i="5"/>
  <c r="C273" i="5"/>
  <c r="F130" i="34"/>
  <c r="D109" i="5"/>
  <c r="I274" i="5"/>
  <c r="B3565" i="106"/>
  <c r="D3565" i="106" s="1"/>
  <c r="D279" i="29"/>
  <c r="B1446" i="106" s="1"/>
  <c r="D1446" i="106" s="1"/>
  <c r="K257" i="29"/>
  <c r="B1488" i="106" s="1"/>
  <c r="D1488" i="106" s="1"/>
  <c r="K238" i="29"/>
  <c r="B1481" i="106" s="1"/>
  <c r="D1481" i="106" s="1"/>
  <c r="K229" i="29"/>
  <c r="D352" i="29"/>
  <c r="B3628" i="106" s="1"/>
  <c r="D3628" i="106" s="1"/>
  <c r="K270" i="29"/>
  <c r="B1500" i="106" s="1"/>
  <c r="D1500" i="106" s="1"/>
  <c r="L342" i="29"/>
  <c r="K33" i="29"/>
  <c r="E19" i="108" s="1"/>
  <c r="K350" i="29"/>
  <c r="K352" i="29" s="1"/>
  <c r="B3672" i="106" s="1"/>
  <c r="D3672" i="106" s="1"/>
  <c r="B1748" i="106"/>
  <c r="D1748" i="106" s="1"/>
  <c r="C172" i="5"/>
  <c r="E109" i="5"/>
  <c r="I109" i="5"/>
  <c r="B7041" i="106"/>
  <c r="D7041" i="106" s="1"/>
  <c r="G273" i="5"/>
  <c r="B5863" i="106" s="1"/>
  <c r="D5863" i="106" s="1"/>
  <c r="D49" i="36"/>
  <c r="B213" i="106"/>
  <c r="D213" i="106" s="1"/>
  <c r="D54" i="36"/>
  <c r="G41" i="3"/>
  <c r="B190" i="106" s="1"/>
  <c r="D190" i="106" s="1"/>
  <c r="F77" i="4"/>
  <c r="B3255" i="106" s="1"/>
  <c r="D3255" i="106" s="1"/>
  <c r="K76" i="4"/>
  <c r="B3586" i="106" s="1"/>
  <c r="D3586" i="106" s="1"/>
  <c r="B3702" i="106"/>
  <c r="D3702" i="106" s="1"/>
  <c r="B3568" i="106"/>
  <c r="D3568" i="106" s="1"/>
  <c r="D52" i="36"/>
  <c r="L41" i="3"/>
  <c r="J41" i="3"/>
  <c r="A2" i="171"/>
  <c r="A2" i="170"/>
  <c r="B2" i="177"/>
  <c r="B2" i="183"/>
  <c r="B3296" i="106"/>
  <c r="D3296" i="106" s="1"/>
  <c r="H76" i="4"/>
  <c r="B3298" i="106" s="1"/>
  <c r="D3298" i="106" s="1"/>
  <c r="J77" i="4"/>
  <c r="B6262" i="106" s="1"/>
  <c r="D6262" i="106" s="1"/>
  <c r="I367" i="29"/>
  <c r="B7244" i="106" s="1"/>
  <c r="D7244" i="106" s="1"/>
  <c r="B7234" i="106"/>
  <c r="D7234" i="106" s="1"/>
  <c r="B7230" i="106"/>
  <c r="D7230" i="106" s="1"/>
  <c r="K340" i="29"/>
  <c r="C129" i="29"/>
  <c r="B1223" i="106"/>
  <c r="D1223" i="106" s="1"/>
  <c r="J352" i="29"/>
  <c r="B7231" i="106"/>
  <c r="D7231" i="106" s="1"/>
  <c r="B1259" i="106"/>
  <c r="D1259" i="106" s="1"/>
  <c r="B1249" i="106"/>
  <c r="D1249" i="106" s="1"/>
  <c r="L210" i="29"/>
  <c r="L367" i="29"/>
  <c r="K243" i="29"/>
  <c r="K168" i="29"/>
  <c r="B7780" i="106"/>
  <c r="D7780" i="106" s="1"/>
  <c r="K160" i="29"/>
  <c r="B7788" i="106"/>
  <c r="D7788" i="106" s="1"/>
  <c r="K334" i="29"/>
  <c r="F74" i="34" s="1"/>
  <c r="E139" i="29"/>
  <c r="B4203" i="106" s="1"/>
  <c r="D4203" i="106" s="1"/>
  <c r="K184" i="29"/>
  <c r="K357" i="29"/>
  <c r="K15" i="4" s="1"/>
  <c r="B3573" i="106" s="1"/>
  <c r="D3573" i="106" s="1"/>
  <c r="K285" i="29"/>
  <c r="B4442" i="106"/>
  <c r="D4442" i="106" s="1"/>
  <c r="K274" i="5"/>
  <c r="F273" i="5"/>
  <c r="D18" i="7"/>
  <c r="B4105" i="106" s="1"/>
  <c r="D4105" i="106" s="1"/>
  <c r="D273" i="5"/>
  <c r="H274" i="5"/>
  <c r="F136" i="34"/>
  <c r="B4414" i="106"/>
  <c r="D4414" i="106" s="1"/>
  <c r="B5784" i="106"/>
  <c r="D5784" i="106" s="1"/>
  <c r="B5899" i="106"/>
  <c r="D5899" i="106" s="1"/>
  <c r="B19" i="7"/>
  <c r="B1759" i="106" s="1"/>
  <c r="D1759" i="106" s="1"/>
  <c r="F131" i="34"/>
  <c r="F26" i="183"/>
  <c r="I14" i="179"/>
  <c r="I31" i="179" s="1"/>
  <c r="L24" i="183"/>
  <c r="I26" i="183"/>
  <c r="G38" i="174" s="1"/>
  <c r="G43" i="174" s="1"/>
  <c r="L22" i="179"/>
  <c r="L20" i="183"/>
  <c r="K31" i="179"/>
  <c r="E28" i="183"/>
  <c r="J28" i="183"/>
  <c r="K26" i="183"/>
  <c r="F28" i="183"/>
  <c r="L14" i="184"/>
  <c r="G26" i="183"/>
  <c r="E31" i="179"/>
  <c r="H31" i="179"/>
  <c r="L29" i="179"/>
  <c r="L16" i="184"/>
  <c r="L16" i="179"/>
  <c r="F31" i="179"/>
  <c r="F18" i="184" s="1"/>
  <c r="J31" i="179"/>
  <c r="G31" i="179"/>
  <c r="L16" i="183"/>
  <c r="I28" i="183"/>
  <c r="L15" i="183"/>
  <c r="H28" i="183"/>
  <c r="G28" i="183"/>
  <c r="L18" i="179"/>
  <c r="H26" i="183"/>
  <c r="K28" i="183"/>
  <c r="J26" i="183"/>
  <c r="E141" i="181"/>
  <c r="B7797" i="106"/>
  <c r="D7797" i="106" s="1"/>
  <c r="F141" i="181"/>
  <c r="B7798" i="106" s="1"/>
  <c r="D7798" i="106" s="1"/>
  <c r="K28" i="118" l="1"/>
  <c r="O27" i="118" s="1"/>
  <c r="O29" i="118" s="1"/>
  <c r="B283" i="106"/>
  <c r="D283" i="106" s="1"/>
  <c r="H26" i="12"/>
  <c r="B7740" i="106" s="1"/>
  <c r="D7740" i="106" s="1"/>
  <c r="H13" i="4"/>
  <c r="B2659" i="106" s="1"/>
  <c r="D2659" i="106" s="1"/>
  <c r="F22" i="37"/>
  <c r="B5544" i="106"/>
  <c r="D5544" i="106" s="1"/>
  <c r="E274" i="5"/>
  <c r="E7" i="4" s="1"/>
  <c r="K26" i="12"/>
  <c r="B7743" i="106" s="1"/>
  <c r="D7743" i="106" s="1"/>
  <c r="G26" i="12"/>
  <c r="B7739" i="106" s="1"/>
  <c r="D7739" i="106" s="1"/>
  <c r="K365" i="29"/>
  <c r="K367" i="29" s="1"/>
  <c r="H32" i="118"/>
  <c r="K32" i="118" s="1"/>
  <c r="O31" i="118" s="1"/>
  <c r="O33" i="118" s="1"/>
  <c r="B285" i="106"/>
  <c r="D285" i="106" s="1"/>
  <c r="N37" i="3"/>
  <c r="B287" i="106" s="1"/>
  <c r="D287" i="106" s="1"/>
  <c r="H22" i="37"/>
  <c r="K34" i="182"/>
  <c r="D81" i="36" s="1"/>
  <c r="I26" i="12"/>
  <c r="B7741" i="106" s="1"/>
  <c r="D7741" i="106" s="1"/>
  <c r="J26" i="12"/>
  <c r="B7742" i="106" s="1"/>
  <c r="D7742" i="106" s="1"/>
  <c r="B4171" i="106"/>
  <c r="D4171" i="106" s="1"/>
  <c r="B7799" i="106"/>
  <c r="D7799" i="106" s="1"/>
  <c r="B5906" i="106"/>
  <c r="D5906" i="106" s="1"/>
  <c r="F367" i="29"/>
  <c r="B3643" i="106" s="1"/>
  <c r="D3643" i="106" s="1"/>
  <c r="G40" i="108"/>
  <c r="B6014" i="106"/>
  <c r="D6014" i="106" s="1"/>
  <c r="D7252" i="106"/>
  <c r="D45" i="36"/>
  <c r="D7251" i="106"/>
  <c r="A7254" i="106"/>
  <c r="D7253" i="106"/>
  <c r="D44" i="36"/>
  <c r="G19" i="145"/>
  <c r="J20" i="145" s="1"/>
  <c r="B1279" i="106"/>
  <c r="D1279" i="106" s="1"/>
  <c r="H151" i="29"/>
  <c r="B1273" i="106" s="1"/>
  <c r="D1273" i="106" s="1"/>
  <c r="H210" i="29"/>
  <c r="B1376" i="106" s="1"/>
  <c r="D1376" i="106" s="1"/>
  <c r="D41" i="108"/>
  <c r="E43" i="108" s="1"/>
  <c r="F173" i="5"/>
  <c r="B5653" i="106" s="1"/>
  <c r="D5653" i="106" s="1"/>
  <c r="D173" i="5"/>
  <c r="B5421" i="106" s="1"/>
  <c r="D5421" i="106" s="1"/>
  <c r="E21" i="108"/>
  <c r="D13" i="4"/>
  <c r="B2569" i="106" s="1"/>
  <c r="D2569" i="106" s="1"/>
  <c r="C367" i="29"/>
  <c r="B3622" i="106" s="1"/>
  <c r="D3622" i="106" s="1"/>
  <c r="B3621" i="106"/>
  <c r="D3621" i="106" s="1"/>
  <c r="B6397" i="106"/>
  <c r="D6397" i="106" s="1"/>
  <c r="J6" i="4"/>
  <c r="B6221" i="106" s="1"/>
  <c r="D6221" i="106" s="1"/>
  <c r="B6024" i="106"/>
  <c r="D6024" i="106" s="1"/>
  <c r="K139" i="29"/>
  <c r="B2093" i="106"/>
  <c r="D2093" i="106" s="1"/>
  <c r="K112" i="29"/>
  <c r="B1151" i="106"/>
  <c r="D1151" i="106" s="1"/>
  <c r="J114" i="29"/>
  <c r="B7021" i="106" s="1"/>
  <c r="D7021" i="106" s="1"/>
  <c r="B6978" i="106"/>
  <c r="D6978" i="106" s="1"/>
  <c r="B1317" i="106"/>
  <c r="D1317" i="106" s="1"/>
  <c r="F65" i="34"/>
  <c r="B1365" i="106"/>
  <c r="D1365" i="106" s="1"/>
  <c r="E19" i="145"/>
  <c r="K149" i="29"/>
  <c r="B7048" i="106"/>
  <c r="D7048" i="106" s="1"/>
  <c r="I114" i="29"/>
  <c r="B6977" i="106"/>
  <c r="D6977" i="106" s="1"/>
  <c r="F41" i="108"/>
  <c r="G43" i="108" s="1"/>
  <c r="K196" i="29"/>
  <c r="K210" i="29" s="1"/>
  <c r="B2837" i="106"/>
  <c r="D2837" i="106" s="1"/>
  <c r="K102" i="29"/>
  <c r="F53" i="34" s="1"/>
  <c r="B7013" i="106"/>
  <c r="D7013" i="106" s="1"/>
  <c r="K312" i="29"/>
  <c r="B1560" i="106" s="1"/>
  <c r="D1560" i="106" s="1"/>
  <c r="B2102" i="106"/>
  <c r="D2102" i="106" s="1"/>
  <c r="H15" i="4"/>
  <c r="B2660" i="106" s="1"/>
  <c r="D2660" i="106" s="1"/>
  <c r="B7790" i="106"/>
  <c r="D7790" i="106" s="1"/>
  <c r="F16" i="4"/>
  <c r="B2599" i="106" s="1"/>
  <c r="D2599" i="106" s="1"/>
  <c r="B4157" i="106"/>
  <c r="D4157" i="106" s="1"/>
  <c r="B1515" i="106"/>
  <c r="D1515" i="106" s="1"/>
  <c r="G16" i="4"/>
  <c r="B2611" i="106" s="1"/>
  <c r="D2611" i="106" s="1"/>
  <c r="E367" i="29"/>
  <c r="B3636" i="106" s="1"/>
  <c r="D3636" i="106" s="1"/>
  <c r="B3635" i="106"/>
  <c r="D3635" i="106" s="1"/>
  <c r="I151" i="29"/>
  <c r="B7037" i="106"/>
  <c r="D7037" i="106" s="1"/>
  <c r="G24" i="108"/>
  <c r="B1125" i="106"/>
  <c r="D1125" i="106" s="1"/>
  <c r="G114" i="29"/>
  <c r="F54" i="34" s="1"/>
  <c r="B987" i="106"/>
  <c r="D987" i="106" s="1"/>
  <c r="G22" i="108"/>
  <c r="B1119" i="106"/>
  <c r="D1119" i="106" s="1"/>
  <c r="E22" i="108"/>
  <c r="F114" i="29"/>
  <c r="B931" i="106" s="1"/>
  <c r="D931" i="106" s="1"/>
  <c r="B929" i="106"/>
  <c r="D929" i="106" s="1"/>
  <c r="E114" i="29"/>
  <c r="B873" i="106" s="1"/>
  <c r="D873" i="106" s="1"/>
  <c r="B871" i="106"/>
  <c r="D871" i="106" s="1"/>
  <c r="D114" i="29"/>
  <c r="B815" i="106" s="1"/>
  <c r="D815" i="106" s="1"/>
  <c r="B813" i="106"/>
  <c r="D813" i="106" s="1"/>
  <c r="C114" i="29"/>
  <c r="B757" i="106" s="1"/>
  <c r="D757" i="106" s="1"/>
  <c r="B755" i="106"/>
  <c r="D755" i="106" s="1"/>
  <c r="G21" i="108"/>
  <c r="B1108" i="106"/>
  <c r="D1108" i="106" s="1"/>
  <c r="C12" i="4"/>
  <c r="G19" i="108"/>
  <c r="C4" i="4"/>
  <c r="B2551" i="106" s="1"/>
  <c r="D2551" i="106" s="1"/>
  <c r="B5121" i="106"/>
  <c r="D5121" i="106" s="1"/>
  <c r="B5588" i="106"/>
  <c r="D5588" i="106" s="1"/>
  <c r="F4" i="4"/>
  <c r="B2591" i="106" s="1"/>
  <c r="D2591" i="106" s="1"/>
  <c r="J15" i="4"/>
  <c r="B7796" i="106" s="1"/>
  <c r="D7796" i="106" s="1"/>
  <c r="H114" i="29"/>
  <c r="B1054" i="106" s="1"/>
  <c r="D1054" i="106" s="1"/>
  <c r="B3656" i="106"/>
  <c r="D3656" i="106" s="1"/>
  <c r="B3670" i="106"/>
  <c r="D3670" i="106" s="1"/>
  <c r="G23" i="108"/>
  <c r="L16" i="11"/>
  <c r="B2061" i="106" s="1"/>
  <c r="D2061" i="106" s="1"/>
  <c r="L114" i="29"/>
  <c r="K74" i="29"/>
  <c r="B6025" i="106"/>
  <c r="D6025" i="106" s="1"/>
  <c r="H4" i="4"/>
  <c r="B2655" i="106" s="1"/>
  <c r="D2655" i="106" s="1"/>
  <c r="J7" i="4"/>
  <c r="B6222" i="106" s="1"/>
  <c r="D6222" i="106" s="1"/>
  <c r="G274" i="5"/>
  <c r="G7" i="4" s="1"/>
  <c r="B2605" i="106" s="1"/>
  <c r="D2605" i="106" s="1"/>
  <c r="B6026" i="106"/>
  <c r="D6026" i="106" s="1"/>
  <c r="I4" i="4"/>
  <c r="B3225" i="106" s="1"/>
  <c r="D3225" i="106" s="1"/>
  <c r="J275" i="5"/>
  <c r="B7055" i="106" s="1"/>
  <c r="D7055" i="106" s="1"/>
  <c r="K13" i="4"/>
  <c r="B3572" i="106" s="1"/>
  <c r="D3572" i="106" s="1"/>
  <c r="K4" i="4"/>
  <c r="B3569" i="106" s="1"/>
  <c r="D3569" i="106" s="1"/>
  <c r="B6028" i="106"/>
  <c r="D6028" i="106" s="1"/>
  <c r="D50" i="36"/>
  <c r="I77" i="4"/>
  <c r="B3319" i="106" s="1"/>
  <c r="D3319" i="106" s="1"/>
  <c r="B3318" i="106"/>
  <c r="D3318" i="106" s="1"/>
  <c r="E4" i="4"/>
  <c r="B2630" i="106" s="1"/>
  <c r="D2630" i="106" s="1"/>
  <c r="B5527" i="106"/>
  <c r="D5527" i="106" s="1"/>
  <c r="K275" i="5"/>
  <c r="B6023" i="106" s="1"/>
  <c r="D6023" i="106" s="1"/>
  <c r="D4" i="4"/>
  <c r="B2564" i="106" s="1"/>
  <c r="D2564" i="106" s="1"/>
  <c r="B5356" i="106"/>
  <c r="D5356" i="106" s="1"/>
  <c r="H275" i="5"/>
  <c r="B5915" i="106" s="1"/>
  <c r="D5915" i="106" s="1"/>
  <c r="D46" i="36"/>
  <c r="B141" i="106"/>
  <c r="D141" i="106" s="1"/>
  <c r="E77" i="4"/>
  <c r="B3277" i="106" s="1"/>
  <c r="D3277" i="106" s="1"/>
  <c r="B3274" i="106"/>
  <c r="D3274" i="106" s="1"/>
  <c r="D47" i="36"/>
  <c r="B171" i="106"/>
  <c r="D171" i="106" s="1"/>
  <c r="E23" i="108"/>
  <c r="J13" i="4"/>
  <c r="B7042" i="106" s="1"/>
  <c r="D7042" i="106" s="1"/>
  <c r="B7207" i="106"/>
  <c r="D7207" i="106" s="1"/>
  <c r="B6352" i="106"/>
  <c r="D6352" i="106" s="1"/>
  <c r="J4" i="4"/>
  <c r="B6220" i="106" s="1"/>
  <c r="D6220" i="106" s="1"/>
  <c r="G173" i="5"/>
  <c r="I275" i="5"/>
  <c r="B5946" i="106" s="1"/>
  <c r="D5946" i="106" s="1"/>
  <c r="F178" i="34"/>
  <c r="C173" i="5"/>
  <c r="B5214" i="106"/>
  <c r="D5214" i="106" s="1"/>
  <c r="B4435" i="106"/>
  <c r="D4435" i="106" s="1"/>
  <c r="I7" i="4"/>
  <c r="B5320" i="106"/>
  <c r="D5320" i="106" s="1"/>
  <c r="C274" i="5"/>
  <c r="D295" i="29"/>
  <c r="B1448" i="106" s="1"/>
  <c r="D1448" i="106" s="1"/>
  <c r="B1474" i="106"/>
  <c r="D1474" i="106" s="1"/>
  <c r="G12" i="4"/>
  <c r="B2607" i="106" s="1"/>
  <c r="D2607" i="106" s="1"/>
  <c r="E151" i="29"/>
  <c r="B1242" i="106" s="1"/>
  <c r="D1242" i="106" s="1"/>
  <c r="K342" i="29"/>
  <c r="D367" i="29"/>
  <c r="B3629" i="106" s="1"/>
  <c r="D3629" i="106" s="1"/>
  <c r="D19" i="7"/>
  <c r="B1775" i="106" s="1"/>
  <c r="D1775" i="106" s="1"/>
  <c r="D48" i="36"/>
  <c r="K77" i="4"/>
  <c r="B3587" i="106" s="1"/>
  <c r="D3587" i="106" s="1"/>
  <c r="D51" i="36"/>
  <c r="B6216" i="106"/>
  <c r="D6216" i="106" s="1"/>
  <c r="D53" i="36"/>
  <c r="B2917" i="106"/>
  <c r="D2917" i="106" s="1"/>
  <c r="H77" i="4"/>
  <c r="B3299" i="106" s="1"/>
  <c r="D3299" i="106" s="1"/>
  <c r="F13" i="4"/>
  <c r="B1381" i="106"/>
  <c r="D1381" i="106" s="1"/>
  <c r="K172" i="29"/>
  <c r="B1328" i="106"/>
  <c r="D1328" i="106" s="1"/>
  <c r="C151" i="29"/>
  <c r="B1226" i="106" s="1"/>
  <c r="D1226" i="106" s="1"/>
  <c r="B1225" i="106"/>
  <c r="D1225" i="106" s="1"/>
  <c r="J16" i="4"/>
  <c r="B6226" i="106" s="1"/>
  <c r="D6226" i="106" s="1"/>
  <c r="B7215" i="106"/>
  <c r="D7215" i="106" s="1"/>
  <c r="B1485" i="106"/>
  <c r="D1485" i="106" s="1"/>
  <c r="K279" i="29"/>
  <c r="J367" i="29"/>
  <c r="B7245" i="106" s="1"/>
  <c r="D7245" i="106" s="1"/>
  <c r="B7235" i="106"/>
  <c r="D7235" i="106" s="1"/>
  <c r="F60" i="34"/>
  <c r="E15" i="4"/>
  <c r="F73" i="34"/>
  <c r="G15" i="4"/>
  <c r="B6032" i="106" s="1"/>
  <c r="D6032" i="106" s="1"/>
  <c r="B3724" i="106"/>
  <c r="D3724" i="106" s="1"/>
  <c r="B5713" i="106"/>
  <c r="D5713" i="106" s="1"/>
  <c r="F274" i="5"/>
  <c r="K7" i="4"/>
  <c r="B6022" i="106"/>
  <c r="D6022" i="106" s="1"/>
  <c r="B5914" i="106"/>
  <c r="D5914" i="106" s="1"/>
  <c r="H7" i="4"/>
  <c r="B2657" i="106" s="1"/>
  <c r="D2657" i="106" s="1"/>
  <c r="D274" i="5"/>
  <c r="B5501" i="106"/>
  <c r="D5501" i="106" s="1"/>
  <c r="B2656" i="106"/>
  <c r="D2656" i="106" s="1"/>
  <c r="K18" i="184"/>
  <c r="L14" i="179"/>
  <c r="L31" i="179" s="1"/>
  <c r="L26" i="183"/>
  <c r="G18" i="184"/>
  <c r="H18" i="184"/>
  <c r="J18" i="184"/>
  <c r="I18" i="184"/>
  <c r="E18" i="184"/>
  <c r="L28" i="183"/>
  <c r="K16" i="4" l="1"/>
  <c r="B3574" i="106" s="1"/>
  <c r="D3574" i="106" s="1"/>
  <c r="B1145" i="106"/>
  <c r="D1145" i="106" s="1"/>
  <c r="E275" i="5"/>
  <c r="B5552" i="106" s="1"/>
  <c r="D5552" i="106" s="1"/>
  <c r="C15" i="4"/>
  <c r="B2559" i="106" s="1"/>
  <c r="D2559" i="106" s="1"/>
  <c r="B4434" i="106"/>
  <c r="D4434" i="106" s="1"/>
  <c r="B7243" i="106"/>
  <c r="D7243" i="106" s="1"/>
  <c r="D6" i="4"/>
  <c r="B2566" i="106" s="1"/>
  <c r="D2566" i="106" s="1"/>
  <c r="F24" i="37"/>
  <c r="N41" i="3"/>
  <c r="B288" i="106" s="1"/>
  <c r="D288" i="106" s="1"/>
  <c r="A7255" i="106"/>
  <c r="D7254" i="106"/>
  <c r="H17" i="4"/>
  <c r="H19" i="4" s="1"/>
  <c r="B4141" i="106" s="1"/>
  <c r="D4141" i="106" s="1"/>
  <c r="F17" i="11"/>
  <c r="B7624" i="106" s="1"/>
  <c r="F6" i="4"/>
  <c r="B2593" i="106" s="1"/>
  <c r="D2593" i="106" s="1"/>
  <c r="E41" i="108"/>
  <c r="E44" i="108" s="1"/>
  <c r="E45" i="108" s="1"/>
  <c r="B5869" i="106"/>
  <c r="D5869" i="106" s="1"/>
  <c r="K151" i="29"/>
  <c r="F9" i="34" s="1"/>
  <c r="F63" i="34"/>
  <c r="B1382" i="106"/>
  <c r="D1382" i="106" s="1"/>
  <c r="F15" i="4"/>
  <c r="B2598" i="106" s="1"/>
  <c r="D2598" i="106" s="1"/>
  <c r="K313" i="29"/>
  <c r="B1561" i="106" s="1"/>
  <c r="D1561" i="106" s="1"/>
  <c r="B1287" i="106"/>
  <c r="D1287" i="106" s="1"/>
  <c r="D16" i="4"/>
  <c r="B2572" i="106" s="1"/>
  <c r="D2572" i="106" s="1"/>
  <c r="B7019" i="106"/>
  <c r="D7019" i="106" s="1"/>
  <c r="C16" i="4"/>
  <c r="B2560" i="106" s="1"/>
  <c r="D2560" i="106" s="1"/>
  <c r="F59" i="34"/>
  <c r="B7051" i="106"/>
  <c r="D7051" i="106" s="1"/>
  <c r="B7020" i="106"/>
  <c r="D7020" i="106" s="1"/>
  <c r="F55" i="34"/>
  <c r="D15" i="4"/>
  <c r="F57" i="34"/>
  <c r="B1282" i="106"/>
  <c r="D1282" i="106" s="1"/>
  <c r="B989" i="106"/>
  <c r="D989" i="106" s="1"/>
  <c r="K114" i="29"/>
  <c r="B1152" i="106" s="1"/>
  <c r="D1152" i="106" s="1"/>
  <c r="B1143" i="106"/>
  <c r="D1143" i="106" s="1"/>
  <c r="C13" i="4"/>
  <c r="B2557" i="106" s="1"/>
  <c r="D2557" i="106" s="1"/>
  <c r="G41" i="108"/>
  <c r="G44" i="108" s="1"/>
  <c r="G45" i="108" s="1"/>
  <c r="B2556" i="106"/>
  <c r="D2556" i="106" s="1"/>
  <c r="G275" i="5"/>
  <c r="B5870" i="106" s="1"/>
  <c r="D5870" i="106" s="1"/>
  <c r="B5778" i="106"/>
  <c r="D5778" i="106" s="1"/>
  <c r="G6" i="4"/>
  <c r="B2604" i="106" s="1"/>
  <c r="D2604" i="106" s="1"/>
  <c r="K368" i="29"/>
  <c r="B3681" i="106" s="1"/>
  <c r="D3681" i="106" s="1"/>
  <c r="J8" i="4"/>
  <c r="J10" i="4" s="1"/>
  <c r="B6225" i="106" s="1"/>
  <c r="D6225" i="106" s="1"/>
  <c r="K343" i="29"/>
  <c r="B7225" i="106" s="1"/>
  <c r="D7225" i="106" s="1"/>
  <c r="F13" i="34"/>
  <c r="B7224" i="106"/>
  <c r="D7224" i="106" s="1"/>
  <c r="B3678" i="106"/>
  <c r="D3678" i="106" s="1"/>
  <c r="C6" i="4"/>
  <c r="B2553" i="106" s="1"/>
  <c r="D2553" i="106" s="1"/>
  <c r="B5223" i="106"/>
  <c r="D5223" i="106" s="1"/>
  <c r="C7" i="4"/>
  <c r="B5326" i="106"/>
  <c r="D5326" i="106" s="1"/>
  <c r="C275" i="5"/>
  <c r="B5327" i="106" s="1"/>
  <c r="D5327" i="106" s="1"/>
  <c r="B4444" i="106"/>
  <c r="D4444" i="106" s="1"/>
  <c r="I8" i="4"/>
  <c r="J17" i="4"/>
  <c r="B6227" i="106" s="1"/>
  <c r="D6227" i="106" s="1"/>
  <c r="K174" i="29"/>
  <c r="B1331" i="106"/>
  <c r="D1331" i="106" s="1"/>
  <c r="E16" i="4"/>
  <c r="B2634" i="106" s="1"/>
  <c r="D2634" i="106" s="1"/>
  <c r="B2633" i="106"/>
  <c r="D2633" i="106" s="1"/>
  <c r="G13" i="4"/>
  <c r="B1510" i="106"/>
  <c r="D1510" i="106" s="1"/>
  <c r="K295" i="29"/>
  <c r="B2596" i="106"/>
  <c r="D2596" i="106" s="1"/>
  <c r="F11" i="34"/>
  <c r="B1388" i="106"/>
  <c r="D1388" i="106" s="1"/>
  <c r="B3718" i="106"/>
  <c r="D3718" i="106" s="1"/>
  <c r="K8" i="4"/>
  <c r="F7" i="4"/>
  <c r="B5719" i="106"/>
  <c r="D5719" i="106" s="1"/>
  <c r="F275" i="5"/>
  <c r="B5507" i="106"/>
  <c r="D5507" i="106" s="1"/>
  <c r="D7" i="4"/>
  <c r="D275" i="5"/>
  <c r="B4443" i="106"/>
  <c r="D4443" i="106" s="1"/>
  <c r="E8" i="4"/>
  <c r="H8" i="4"/>
  <c r="L18" i="184"/>
  <c r="D45" i="174"/>
  <c r="D47" i="174" s="1"/>
  <c r="B2661" i="106" l="1"/>
  <c r="D2661" i="106" s="1"/>
  <c r="K17" i="4"/>
  <c r="K19" i="4" s="1"/>
  <c r="B4144" i="106" s="1"/>
  <c r="D4144" i="106" s="1"/>
  <c r="D55" i="36"/>
  <c r="A7256" i="106"/>
  <c r="D7255" i="106"/>
  <c r="I17" i="11"/>
  <c r="I18" i="11" s="1"/>
  <c r="B7631" i="106" s="1"/>
  <c r="F76" i="34"/>
  <c r="F17" i="4"/>
  <c r="F19" i="4" s="1"/>
  <c r="B4139" i="106" s="1"/>
  <c r="D4139" i="106" s="1"/>
  <c r="C17" i="4"/>
  <c r="B2561" i="106" s="1"/>
  <c r="D2561" i="106" s="1"/>
  <c r="B1288" i="106"/>
  <c r="D1288" i="106" s="1"/>
  <c r="B2571" i="106"/>
  <c r="D2571" i="106" s="1"/>
  <c r="D17" i="4"/>
  <c r="F8" i="34"/>
  <c r="B6223" i="106"/>
  <c r="D6223" i="106" s="1"/>
  <c r="G8" i="4"/>
  <c r="B2606" i="106" s="1"/>
  <c r="D2606" i="106" s="1"/>
  <c r="K115" i="29"/>
  <c r="B1153" i="106" s="1"/>
  <c r="D1153" i="106" s="1"/>
  <c r="J19" i="4"/>
  <c r="B6229" i="106" s="1"/>
  <c r="D6229" i="106" s="1"/>
  <c r="J20" i="4"/>
  <c r="B6230" i="106" s="1"/>
  <c r="D6230" i="106" s="1"/>
  <c r="E8" i="146"/>
  <c r="E10" i="146" s="1"/>
  <c r="I20" i="4"/>
  <c r="I10" i="4"/>
  <c r="B4128" i="106" s="1"/>
  <c r="D4128" i="106" s="1"/>
  <c r="B3226" i="106"/>
  <c r="D3226" i="106" s="1"/>
  <c r="C8" i="4"/>
  <c r="B2554" i="106"/>
  <c r="D2554" i="106" s="1"/>
  <c r="E17" i="4"/>
  <c r="F12" i="34"/>
  <c r="B1517" i="106"/>
  <c r="D1517" i="106" s="1"/>
  <c r="K296" i="29"/>
  <c r="B1518" i="106" s="1"/>
  <c r="D1518" i="106" s="1"/>
  <c r="B2608" i="106"/>
  <c r="D2608" i="106" s="1"/>
  <c r="G17" i="4"/>
  <c r="F10" i="34"/>
  <c r="B1332" i="106"/>
  <c r="D1332" i="106" s="1"/>
  <c r="K175" i="29"/>
  <c r="B1333" i="106" s="1"/>
  <c r="D1333" i="106" s="1"/>
  <c r="B5720" i="106"/>
  <c r="D5720" i="106" s="1"/>
  <c r="K211" i="29"/>
  <c r="B1389" i="106" s="1"/>
  <c r="D1389" i="106" s="1"/>
  <c r="B2594" i="106"/>
  <c r="D2594" i="106" s="1"/>
  <c r="F8" i="4"/>
  <c r="B5508" i="106"/>
  <c r="D5508" i="106" s="1"/>
  <c r="K152" i="29"/>
  <c r="B1289" i="106" s="1"/>
  <c r="D1289" i="106" s="1"/>
  <c r="K10" i="4"/>
  <c r="B4130" i="106" s="1"/>
  <c r="D4130" i="106" s="1"/>
  <c r="B3571" i="106"/>
  <c r="D3571" i="106" s="1"/>
  <c r="B2632" i="106"/>
  <c r="D2632" i="106" s="1"/>
  <c r="E10" i="4"/>
  <c r="B4124" i="106" s="1"/>
  <c r="D4124" i="106" s="1"/>
  <c r="B2658" i="106"/>
  <c r="D2658" i="106" s="1"/>
  <c r="H20" i="4"/>
  <c r="H10" i="4"/>
  <c r="B4127" i="106" s="1"/>
  <c r="D4127" i="106" s="1"/>
  <c r="B2567" i="106"/>
  <c r="D2567" i="106" s="1"/>
  <c r="D10" i="171"/>
  <c r="D19" i="171" s="1"/>
  <c r="D32" i="171" s="1"/>
  <c r="D49" i="171" s="1"/>
  <c r="D8" i="4"/>
  <c r="B3575" i="106" l="1"/>
  <c r="D3575" i="106" s="1"/>
  <c r="K20" i="4"/>
  <c r="K78" i="4" s="1"/>
  <c r="B3588" i="106" s="1"/>
  <c r="D3588" i="106" s="1"/>
  <c r="B2600" i="106"/>
  <c r="D2600" i="106" s="1"/>
  <c r="A7257" i="106"/>
  <c r="D7256" i="106"/>
  <c r="F180" i="34"/>
  <c r="B7625" i="106"/>
  <c r="B9" i="146"/>
  <c r="D9" i="146"/>
  <c r="C19" i="4"/>
  <c r="B4136" i="106" s="1"/>
  <c r="D4136" i="106" s="1"/>
  <c r="H17" i="118"/>
  <c r="H25" i="118" s="1"/>
  <c r="K24" i="118" s="1"/>
  <c r="O23" i="118" s="1"/>
  <c r="O25" i="118" s="1"/>
  <c r="F16" i="37"/>
  <c r="G10" i="4"/>
  <c r="B4126" i="106" s="1"/>
  <c r="D4126" i="106" s="1"/>
  <c r="F14" i="34"/>
  <c r="F77" i="34" s="1"/>
  <c r="F179" i="34" s="1"/>
  <c r="D19" i="4"/>
  <c r="B4137" i="106" s="1"/>
  <c r="D4137" i="106" s="1"/>
  <c r="C9" i="146"/>
  <c r="B2573" i="106"/>
  <c r="D2573" i="106" s="1"/>
  <c r="J78" i="4"/>
  <c r="J81" i="4" s="1"/>
  <c r="C10" i="4"/>
  <c r="B4122" i="106" s="1"/>
  <c r="D4122" i="106" s="1"/>
  <c r="B2555" i="106"/>
  <c r="D2555" i="106" s="1"/>
  <c r="C20" i="4"/>
  <c r="B8" i="146"/>
  <c r="I78" i="4"/>
  <c r="B3227" i="106"/>
  <c r="D3227" i="106" s="1"/>
  <c r="B2635" i="106"/>
  <c r="D2635" i="106" s="1"/>
  <c r="E19" i="4"/>
  <c r="B4138" i="106" s="1"/>
  <c r="D4138" i="106" s="1"/>
  <c r="G19" i="4"/>
  <c r="B4140" i="106" s="1"/>
  <c r="D4140" i="106" s="1"/>
  <c r="B2612" i="106"/>
  <c r="D2612" i="106" s="1"/>
  <c r="G20" i="4"/>
  <c r="B2613" i="106" s="1"/>
  <c r="D2613" i="106" s="1"/>
  <c r="E20" i="4"/>
  <c r="E78" i="4" s="1"/>
  <c r="H78" i="4"/>
  <c r="B2662" i="106"/>
  <c r="D2662" i="106" s="1"/>
  <c r="C8" i="146"/>
  <c r="D10" i="4"/>
  <c r="B4123" i="106" s="1"/>
  <c r="D4123" i="106" s="1"/>
  <c r="D20" i="4"/>
  <c r="B2568" i="106"/>
  <c r="D2568" i="106" s="1"/>
  <c r="H13" i="118"/>
  <c r="H18" i="118"/>
  <c r="D16" i="37"/>
  <c r="F20" i="4"/>
  <c r="B2595" i="106"/>
  <c r="D2595" i="106" s="1"/>
  <c r="D8" i="146"/>
  <c r="F10" i="4"/>
  <c r="B4125" i="106" s="1"/>
  <c r="D4125" i="106" s="1"/>
  <c r="K81" i="4" l="1"/>
  <c r="K82" i="4" s="1"/>
  <c r="B3576" i="106"/>
  <c r="D3576" i="106" s="1"/>
  <c r="F181" i="34"/>
  <c r="F183" i="34" s="1"/>
  <c r="A7258" i="106"/>
  <c r="D7257" i="106"/>
  <c r="H16" i="37"/>
  <c r="B10" i="146"/>
  <c r="F79" i="34"/>
  <c r="K17" i="118"/>
  <c r="O16" i="118" s="1"/>
  <c r="D10" i="146"/>
  <c r="F9" i="146"/>
  <c r="B6263" i="106"/>
  <c r="D6263" i="106" s="1"/>
  <c r="I81" i="4"/>
  <c r="B3320" i="106"/>
  <c r="D3320" i="106" s="1"/>
  <c r="C78" i="4"/>
  <c r="B2562" i="106"/>
  <c r="D2562" i="106" s="1"/>
  <c r="G78" i="4"/>
  <c r="G81" i="4" s="1"/>
  <c r="B2636" i="106"/>
  <c r="D2636" i="106" s="1"/>
  <c r="F78" i="4"/>
  <c r="B2601" i="106"/>
  <c r="D2601" i="106" s="1"/>
  <c r="D78" i="4"/>
  <c r="B2574" i="106"/>
  <c r="D2574" i="106" s="1"/>
  <c r="C10" i="146"/>
  <c r="F8" i="146"/>
  <c r="B3278" i="106"/>
  <c r="D3278" i="106" s="1"/>
  <c r="E81" i="4"/>
  <c r="B3300" i="106"/>
  <c r="D3300" i="106" s="1"/>
  <c r="H81" i="4"/>
  <c r="D65" i="36"/>
  <c r="B3591" i="106"/>
  <c r="D3591" i="106" s="1"/>
  <c r="J82" i="4"/>
  <c r="B6266" i="106"/>
  <c r="D6266" i="106" s="1"/>
  <c r="D64" i="36"/>
  <c r="A7259" i="106" l="1"/>
  <c r="D7258" i="106"/>
  <c r="F10" i="146"/>
  <c r="B3233" i="106"/>
  <c r="D3233" i="106" s="1"/>
  <c r="C81" i="4"/>
  <c r="D63" i="36"/>
  <c r="B3323" i="106"/>
  <c r="D3323" i="106" s="1"/>
  <c r="E11" i="146"/>
  <c r="I82" i="4"/>
  <c r="B3262" i="106"/>
  <c r="D3262" i="106" s="1"/>
  <c r="B1700" i="106"/>
  <c r="D1700" i="106" s="1"/>
  <c r="H82" i="4"/>
  <c r="D62" i="36"/>
  <c r="D81" i="4"/>
  <c r="B3239" i="106"/>
  <c r="D3239" i="106" s="1"/>
  <c r="D59" i="36"/>
  <c r="E82" i="4"/>
  <c r="B1658" i="106"/>
  <c r="D1658" i="106" s="1"/>
  <c r="B1686" i="106"/>
  <c r="D1686" i="106" s="1"/>
  <c r="G82" i="4"/>
  <c r="D61" i="36"/>
  <c r="B3256" i="106"/>
  <c r="D3256" i="106" s="1"/>
  <c r="F81" i="4"/>
  <c r="B6274" i="106"/>
  <c r="D6274" i="106" s="1"/>
  <c r="J83" i="4"/>
  <c r="B6283" i="106" s="1"/>
  <c r="D6283" i="106" s="1"/>
  <c r="K83" i="4"/>
  <c r="B6284" i="106" s="1"/>
  <c r="D6284" i="106" s="1"/>
  <c r="B6275" i="106"/>
  <c r="D6275" i="106" s="1"/>
  <c r="A7260" i="106" l="1"/>
  <c r="D7259" i="106"/>
  <c r="B6273" i="106"/>
  <c r="D6273" i="106" s="1"/>
  <c r="I83" i="4"/>
  <c r="B6282" i="106" s="1"/>
  <c r="D6282" i="106" s="1"/>
  <c r="B11" i="146"/>
  <c r="C82" i="4"/>
  <c r="D57" i="36"/>
  <c r="B1630" i="106"/>
  <c r="D1630" i="106" s="1"/>
  <c r="D58" i="36"/>
  <c r="C11" i="146"/>
  <c r="D82" i="4"/>
  <c r="B1644" i="106"/>
  <c r="D1644" i="106" s="1"/>
  <c r="J16" i="37"/>
  <c r="B4269" i="106" s="1"/>
  <c r="D4269" i="106" s="1"/>
  <c r="H12" i="118"/>
  <c r="K12" i="118" s="1"/>
  <c r="B6269" i="106"/>
  <c r="D6269" i="106" s="1"/>
  <c r="E83" i="4"/>
  <c r="B6278" i="106" s="1"/>
  <c r="D6278" i="106" s="1"/>
  <c r="B6271" i="106"/>
  <c r="D6271" i="106" s="1"/>
  <c r="G83" i="4"/>
  <c r="B6280" i="106" s="1"/>
  <c r="D6280" i="106" s="1"/>
  <c r="H83" i="4"/>
  <c r="B6281" i="106" s="1"/>
  <c r="D6281" i="106" s="1"/>
  <c r="B6272" i="106"/>
  <c r="D6272" i="106" s="1"/>
  <c r="F82" i="4"/>
  <c r="B1672" i="106"/>
  <c r="D1672" i="106" s="1"/>
  <c r="D11" i="146"/>
  <c r="D60" i="36"/>
  <c r="A7261" i="106" l="1"/>
  <c r="D7260" i="106"/>
  <c r="O11" i="118"/>
  <c r="O13" i="118" s="1"/>
  <c r="J20" i="118"/>
  <c r="B6267" i="106"/>
  <c r="D6267" i="106" s="1"/>
  <c r="C83" i="4"/>
  <c r="B6276" i="106" s="1"/>
  <c r="D6276" i="106" s="1"/>
  <c r="B6268" i="106"/>
  <c r="D6268" i="106" s="1"/>
  <c r="D83" i="4"/>
  <c r="B6277" i="106" s="1"/>
  <c r="D6277" i="106" s="1"/>
  <c r="F11" i="146"/>
  <c r="B6270" i="106"/>
  <c r="D6270" i="106" s="1"/>
  <c r="F83" i="4"/>
  <c r="B6279" i="106" s="1"/>
  <c r="D6279" i="106" s="1"/>
  <c r="A7262" i="106" l="1"/>
  <c r="D7261" i="106"/>
  <c r="K20" i="118"/>
  <c r="O17" i="118"/>
  <c r="O20" i="118" s="1"/>
  <c r="O35" i="118" s="1"/>
  <c r="O37" i="118" s="1"/>
  <c r="D29" i="36"/>
  <c r="J24" i="24" s="1"/>
  <c r="C12" i="146"/>
  <c r="A7263" i="106" l="1"/>
  <c r="D7262" i="106"/>
  <c r="A7264" i="106" l="1"/>
  <c r="D7263" i="106"/>
  <c r="A7265" i="106" l="1"/>
  <c r="D7264" i="106"/>
  <c r="A7266" i="106" l="1"/>
  <c r="D7265" i="106"/>
  <c r="A7267" i="106" l="1"/>
  <c r="D7266" i="106"/>
  <c r="A7268" i="106" l="1"/>
  <c r="D7267" i="106"/>
  <c r="A7269" i="106" l="1"/>
  <c r="D7268" i="106"/>
  <c r="D7269" i="106" l="1"/>
  <c r="A7270" i="106"/>
  <c r="A7271" i="106" l="1"/>
  <c r="D7270" i="106"/>
  <c r="D7271" i="106" l="1"/>
  <c r="A7272" i="106"/>
  <c r="A7273" i="106" l="1"/>
  <c r="D7272" i="106"/>
  <c r="D7273" i="106" l="1"/>
  <c r="A7274" i="106"/>
  <c r="A7275" i="106" l="1"/>
  <c r="D7274" i="106"/>
  <c r="D7275" i="106" l="1"/>
  <c r="A7276" i="106"/>
  <c r="A7277" i="106" l="1"/>
  <c r="D7276" i="106"/>
  <c r="D7277" i="106" l="1"/>
  <c r="A7278" i="106"/>
  <c r="A7279" i="106" l="1"/>
  <c r="D7278" i="106"/>
  <c r="D7279" i="106" l="1"/>
  <c r="A7280" i="106"/>
  <c r="A7281" i="106" l="1"/>
  <c r="D7280" i="106"/>
  <c r="D7281" i="106" l="1"/>
  <c r="A7282" i="106"/>
  <c r="A7283" i="106" l="1"/>
  <c r="D7282" i="106"/>
  <c r="D7283" i="106" l="1"/>
  <c r="A7284" i="106"/>
  <c r="A7285" i="106" l="1"/>
  <c r="D7284" i="106"/>
  <c r="D7285" i="106" l="1"/>
  <c r="A7286" i="106"/>
  <c r="A7287" i="106" l="1"/>
  <c r="D7286" i="106"/>
  <c r="D7287" i="106" l="1"/>
  <c r="A7288" i="106"/>
  <c r="A7289" i="106" l="1"/>
  <c r="D7288" i="106"/>
  <c r="D7289" i="106" l="1"/>
  <c r="A7290" i="106"/>
  <c r="A7291" i="106" l="1"/>
  <c r="D7290" i="106"/>
  <c r="D7291" i="106" l="1"/>
  <c r="A7292" i="106"/>
  <c r="A7293" i="106" l="1"/>
  <c r="D7292" i="106"/>
  <c r="D7293" i="106" l="1"/>
  <c r="A7294" i="106"/>
  <c r="A7295" i="106" l="1"/>
  <c r="D7294" i="106"/>
  <c r="D7295" i="106" l="1"/>
  <c r="A7296" i="106"/>
  <c r="A7297" i="106" l="1"/>
  <c r="D7296" i="106"/>
  <c r="D7297" i="106" l="1"/>
  <c r="A7298" i="106"/>
  <c r="A7299" i="106" l="1"/>
  <c r="D7298" i="106"/>
  <c r="D7299" i="106" l="1"/>
  <c r="A7300" i="106"/>
  <c r="A7301" i="106" l="1"/>
  <c r="D7300" i="106"/>
  <c r="D7301" i="106" l="1"/>
  <c r="A7302" i="106"/>
  <c r="A7303" i="106" l="1"/>
  <c r="D7302" i="106"/>
  <c r="D7303" i="106" l="1"/>
  <c r="A7304" i="106"/>
  <c r="A7305" i="106" l="1"/>
  <c r="D7304" i="106"/>
  <c r="D7305" i="106" l="1"/>
  <c r="A7306" i="106"/>
  <c r="A7307" i="106" l="1"/>
  <c r="D7306" i="106"/>
  <c r="D7307" i="106" l="1"/>
  <c r="A7308" i="106"/>
  <c r="A7309" i="106" l="1"/>
  <c r="D7308" i="106"/>
  <c r="D7309" i="106" l="1"/>
  <c r="A7310" i="106"/>
  <c r="A7311" i="106" l="1"/>
  <c r="D7310" i="106"/>
  <c r="D7311" i="106" l="1"/>
  <c r="A7312" i="106"/>
  <c r="A7313" i="106" l="1"/>
  <c r="D7312" i="106"/>
  <c r="D7313" i="106" l="1"/>
  <c r="A7314" i="106"/>
  <c r="A7315" i="106" l="1"/>
  <c r="D7314" i="106"/>
  <c r="D7315" i="106" l="1"/>
  <c r="A7316" i="106"/>
  <c r="A7317" i="106" l="1"/>
  <c r="D7316" i="106"/>
  <c r="D7317" i="106" l="1"/>
  <c r="A7318" i="106"/>
  <c r="A7319" i="106" l="1"/>
  <c r="D7318" i="106"/>
  <c r="D7319" i="106" l="1"/>
  <c r="A7320" i="106"/>
  <c r="A7321" i="106" l="1"/>
  <c r="D7320" i="106"/>
  <c r="D7321" i="106" l="1"/>
  <c r="A7322" i="106"/>
  <c r="A7323" i="106" l="1"/>
  <c r="D7322" i="106"/>
  <c r="D7323" i="106" l="1"/>
  <c r="A7324" i="106"/>
  <c r="A7325" i="106" l="1"/>
  <c r="D7324" i="106"/>
  <c r="D7325" i="106" l="1"/>
  <c r="A7326" i="106"/>
  <c r="A7327" i="106" l="1"/>
  <c r="D7326" i="106"/>
  <c r="D7327" i="106" l="1"/>
  <c r="A7328" i="106"/>
  <c r="A7329" i="106" l="1"/>
  <c r="D7328" i="106"/>
  <c r="D7329" i="106" l="1"/>
  <c r="A7330" i="106"/>
  <c r="A7331" i="106" l="1"/>
  <c r="D7330" i="106"/>
  <c r="D7331" i="106" l="1"/>
  <c r="A7332" i="106"/>
  <c r="A7333" i="106" l="1"/>
  <c r="D7332" i="106"/>
  <c r="D7333" i="106" l="1"/>
  <c r="A7334" i="106"/>
  <c r="A7335" i="106" l="1"/>
  <c r="D7334" i="106"/>
  <c r="D7335" i="106" l="1"/>
  <c r="A7336" i="106"/>
  <c r="A7337" i="106" l="1"/>
  <c r="D7336" i="106"/>
  <c r="D7337" i="106" l="1"/>
  <c r="A7338" i="106"/>
  <c r="A7339" i="106" l="1"/>
  <c r="D7338" i="106"/>
  <c r="D7339" i="106" l="1"/>
  <c r="A7340" i="106"/>
  <c r="A7341" i="106" l="1"/>
  <c r="D7340" i="106"/>
  <c r="D7341" i="106" l="1"/>
  <c r="A7342" i="106"/>
  <c r="A7343" i="106" l="1"/>
  <c r="D7342" i="106"/>
  <c r="D7343" i="106" l="1"/>
  <c r="A7344" i="106"/>
  <c r="A7345" i="106" l="1"/>
  <c r="D7344" i="106"/>
  <c r="D7345" i="106" l="1"/>
  <c r="A7346" i="106"/>
  <c r="A7347" i="106" l="1"/>
  <c r="D7346" i="106"/>
  <c r="D7347" i="106" l="1"/>
  <c r="A7348" i="106"/>
  <c r="A7349" i="106" l="1"/>
  <c r="D7348" i="106"/>
  <c r="D7349" i="106" l="1"/>
  <c r="A7350" i="106"/>
  <c r="A7351" i="106" l="1"/>
  <c r="D7350" i="106"/>
  <c r="D7351" i="106" l="1"/>
  <c r="A7352" i="106"/>
  <c r="A7353" i="106" l="1"/>
  <c r="D7352" i="106"/>
  <c r="A7354" i="106" l="1"/>
  <c r="D7353" i="106"/>
  <c r="A7355" i="106" l="1"/>
  <c r="D7354" i="106"/>
  <c r="A7356" i="106" l="1"/>
  <c r="D7355" i="106"/>
  <c r="A7357" i="106" l="1"/>
  <c r="D7356" i="106"/>
  <c r="A7358" i="106" l="1"/>
  <c r="D7357" i="106"/>
  <c r="A7359" i="106" l="1"/>
  <c r="D7358" i="106"/>
  <c r="D7359" i="106" l="1"/>
  <c r="A7360" i="106"/>
  <c r="A7361" i="106" l="1"/>
  <c r="D7360" i="106"/>
  <c r="A7362" i="106" l="1"/>
  <c r="D7361" i="106"/>
  <c r="A7363" i="106" l="1"/>
  <c r="D7362" i="106"/>
  <c r="A7364" i="106" l="1"/>
  <c r="D7363" i="106"/>
  <c r="A7365" i="106" l="1"/>
  <c r="D7364" i="106"/>
  <c r="A7366" i="106" l="1"/>
  <c r="D7365" i="106"/>
  <c r="A7367" i="106" l="1"/>
  <c r="D7366" i="106"/>
  <c r="D7367" i="106" l="1"/>
  <c r="A7368" i="106"/>
  <c r="A7369" i="106" l="1"/>
  <c r="D7368" i="106"/>
  <c r="A7370" i="106" l="1"/>
  <c r="D7369" i="106"/>
  <c r="A7371" i="106" l="1"/>
  <c r="D7370" i="106"/>
  <c r="A7372" i="106" l="1"/>
  <c r="D7371" i="106"/>
  <c r="A7373" i="106" l="1"/>
  <c r="D7372" i="106"/>
  <c r="A7374" i="106" l="1"/>
  <c r="D7373" i="106"/>
  <c r="A7375" i="106" l="1"/>
  <c r="D7374" i="106"/>
  <c r="D7375" i="106" l="1"/>
  <c r="A7376" i="106"/>
  <c r="A7377" i="106" l="1"/>
  <c r="D7376" i="106"/>
  <c r="A7378" i="106" l="1"/>
  <c r="D7377" i="106"/>
  <c r="A7379" i="106" l="1"/>
  <c r="D7378" i="106"/>
  <c r="A7380" i="106" l="1"/>
  <c r="D7379" i="106"/>
  <c r="A7381" i="106" l="1"/>
  <c r="D7380" i="106"/>
  <c r="A7382" i="106" l="1"/>
  <c r="D7381" i="106"/>
  <c r="A7383" i="106" l="1"/>
  <c r="D7382" i="106"/>
  <c r="D7383" i="106" l="1"/>
  <c r="A7384"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D7522" i="106" l="1"/>
  <c r="A7523" i="106"/>
  <c r="A7524" i="106" l="1"/>
  <c r="D7523" i="106"/>
  <c r="D7524" i="106" l="1"/>
  <c r="A7525" i="106"/>
  <c r="A7526" i="106" l="1"/>
  <c r="D7525" i="106"/>
  <c r="A7527" i="106" l="1"/>
  <c r="D7526" i="106"/>
  <c r="A7528" i="106" l="1"/>
  <c r="D7527" i="106"/>
  <c r="D7528" i="106" l="1"/>
  <c r="A7529" i="106"/>
  <c r="A7530" i="106" l="1"/>
  <c r="D7529" i="106"/>
  <c r="D7530" i="106" l="1"/>
  <c r="A7531" i="106"/>
  <c r="A7532" i="106" l="1"/>
  <c r="D7531" i="106"/>
  <c r="A7533" i="106" l="1"/>
  <c r="D7532" i="106"/>
  <c r="A7534" i="106" l="1"/>
  <c r="D7533" i="106"/>
  <c r="D7534" i="106" l="1"/>
  <c r="A7535" i="106"/>
  <c r="A7536" i="106" l="1"/>
  <c r="D7535" i="106"/>
  <c r="A7537" i="106" l="1"/>
  <c r="D7536" i="106"/>
  <c r="A7538" i="106" l="1"/>
  <c r="D7537" i="106"/>
  <c r="D7538" i="106" l="1"/>
  <c r="A7539" i="106"/>
  <c r="A7540" i="106" l="1"/>
  <c r="D7539" i="106"/>
  <c r="A7541" i="106" l="1"/>
  <c r="D7540" i="106"/>
  <c r="A7542" i="106" l="1"/>
  <c r="D7541" i="106"/>
  <c r="D7542" i="106" l="1"/>
  <c r="A7543" i="106"/>
  <c r="A7544" i="106" l="1"/>
  <c r="D7543" i="106"/>
  <c r="D7544" i="106" l="1"/>
  <c r="A7545" i="106"/>
  <c r="A7546" i="106" l="1"/>
  <c r="D7545" i="106"/>
  <c r="A7547" i="106" l="1"/>
  <c r="D7546" i="106"/>
  <c r="A7548" i="106" l="1"/>
  <c r="D7547" i="106"/>
  <c r="D7548" i="106" l="1"/>
  <c r="A7549" i="106"/>
  <c r="A7550" i="106" l="1"/>
  <c r="D7549" i="106"/>
  <c r="A7551" i="106" l="1"/>
  <c r="D7550" i="106"/>
  <c r="A7552" i="106" l="1"/>
  <c r="D7551" i="106"/>
  <c r="D7552" i="106" l="1"/>
  <c r="A7553" i="106"/>
  <c r="A7554" i="106" l="1"/>
  <c r="D7553" i="106"/>
  <c r="A7555" i="106" l="1"/>
  <c r="D7554" i="106"/>
  <c r="A7556" i="106" l="1"/>
  <c r="D7555" i="106"/>
  <c r="D7556" i="106" l="1"/>
  <c r="A7557" i="106"/>
  <c r="A7558" i="106" l="1"/>
  <c r="D7557" i="106"/>
  <c r="D7558" i="106" l="1"/>
  <c r="A7559" i="106"/>
  <c r="A7560" i="106" l="1"/>
  <c r="D7559" i="106"/>
  <c r="A7561" i="106" l="1"/>
  <c r="D7560" i="106"/>
  <c r="A7562" i="106" l="1"/>
  <c r="D7561" i="106"/>
  <c r="D7562" i="106" l="1"/>
  <c r="A7563" i="106"/>
  <c r="A7564" i="106" l="1"/>
  <c r="D7563" i="106"/>
  <c r="A7565" i="106" l="1"/>
  <c r="D7564" i="106"/>
  <c r="A7566" i="106" l="1"/>
  <c r="D7565" i="106"/>
  <c r="D7566" i="106" l="1"/>
  <c r="A7567" i="106"/>
  <c r="A7568" i="106" l="1"/>
  <c r="D7567" i="106"/>
  <c r="A7569" i="106" l="1"/>
  <c r="D7568" i="106"/>
  <c r="A7570" i="106" l="1"/>
  <c r="D7569" i="106"/>
  <c r="D7570" i="106" l="1"/>
  <c r="A7571" i="106"/>
  <c r="A7572" i="106" l="1"/>
  <c r="D7571" i="106"/>
  <c r="D7572" i="106" l="1"/>
  <c r="A7573" i="106"/>
  <c r="D7573" i="106" l="1"/>
  <c r="A7574" i="106"/>
  <c r="D7574" i="106" l="1"/>
  <c r="A7575" i="106"/>
  <c r="D7575" i="106" l="1"/>
  <c r="A7576" i="106"/>
  <c r="D7576" i="106" l="1"/>
  <c r="A7577" i="106"/>
  <c r="D7577" i="106" l="1"/>
  <c r="A7578" i="106"/>
  <c r="D7578" i="106" l="1"/>
  <c r="A7579" i="106"/>
  <c r="D7579" i="106" l="1"/>
  <c r="A7580" i="106"/>
  <c r="D7580" i="106" l="1"/>
  <c r="A7581" i="106"/>
  <c r="D7581" i="106" l="1"/>
  <c r="A7582" i="106"/>
  <c r="D7582" i="106" l="1"/>
  <c r="A7583" i="106"/>
  <c r="D7583" i="106" l="1"/>
  <c r="A7584" i="106"/>
  <c r="D7584" i="106" l="1"/>
  <c r="A7585" i="106"/>
  <c r="D7585" i="106" l="1"/>
  <c r="A7586" i="106"/>
  <c r="D7586" i="106" l="1"/>
  <c r="A7587" i="106"/>
  <c r="D7587" i="106" l="1"/>
  <c r="A7588" i="106"/>
  <c r="D7588" i="106" l="1"/>
  <c r="A7589" i="106"/>
  <c r="D7589" i="106" l="1"/>
  <c r="A7590" i="106"/>
  <c r="D7590" i="106" l="1"/>
  <c r="A7591" i="106"/>
  <c r="A7592" i="106" l="1"/>
  <c r="D7591" i="106"/>
  <c r="A7593" i="106" l="1"/>
  <c r="D7592" i="106"/>
  <c r="A7594" i="106" l="1"/>
  <c r="D7593" i="106"/>
  <c r="A7595" i="106" l="1"/>
  <c r="D7594" i="106"/>
  <c r="A7596" i="106" l="1"/>
  <c r="D7595" i="106"/>
  <c r="A7597" i="106" l="1"/>
  <c r="D7596" i="106"/>
  <c r="A7598" i="106" l="1"/>
  <c r="D7597" i="106"/>
  <c r="A7599" i="106" l="1"/>
  <c r="D7598" i="106"/>
  <c r="D7599" i="106" l="1"/>
  <c r="A7600" i="106"/>
  <c r="A7601" i="106" l="1"/>
  <c r="D7600" i="106"/>
  <c r="A7602" i="106" l="1"/>
  <c r="D7601" i="106"/>
  <c r="A7603" i="106" l="1"/>
  <c r="D7602" i="106"/>
  <c r="A7604" i="106" l="1"/>
  <c r="D7603" i="106"/>
  <c r="A7605" i="106" l="1"/>
  <c r="D7604" i="106"/>
  <c r="A7606" i="106" l="1"/>
  <c r="D7605" i="106"/>
  <c r="A7607" i="106" l="1"/>
  <c r="D7606" i="106"/>
  <c r="D7607" i="106" l="1"/>
  <c r="A7608" i="106"/>
  <c r="D7608" i="106" l="1"/>
  <c r="A7609" i="106"/>
  <c r="A7610" i="106" l="1"/>
  <c r="D7609" i="106"/>
  <c r="A7611" i="106" l="1"/>
  <c r="D7610" i="106"/>
  <c r="D7611" i="106" l="1"/>
  <c r="A7612" i="106"/>
  <c r="D7612" i="106" l="1"/>
  <c r="A7613" i="106"/>
  <c r="A7614" i="106" l="1"/>
  <c r="D7613" i="106"/>
  <c r="A7615" i="106" l="1"/>
  <c r="D7614" i="106"/>
  <c r="D7615" i="106" l="1"/>
  <c r="A7616" i="106"/>
  <c r="D7616" i="106" l="1"/>
  <c r="A7617" i="106"/>
  <c r="D7617" i="106" l="1"/>
  <c r="A7618"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D7637" i="106" l="1"/>
  <c r="A7638"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<sst xmlns="http://schemas.openxmlformats.org/spreadsheetml/2006/main" count="5340" uniqueCount="2198">
  <si>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</si>
  <si>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</si>
  <si>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</si>
  <si>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</si>
  <si>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</si>
  <si>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</si>
  <si>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</si>
  <si>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</si>
  <si>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</si>
  <si>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</si>
  <si>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</si>
  <si>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</si>
  <si>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</si>
  <si>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</si>
  <si>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</si>
  <si>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</si>
  <si>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</si>
  <si>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</si>
  <si>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</si>
  <si>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</si>
  <si>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</si>
  <si>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</si>
  <si>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</si>
  <si>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</si>
  <si>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</si>
  <si>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</si>
  <si>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</si>
  <si>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</si>
  <si>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</si>
  <si>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</si>
  <si>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</si>
  <si>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</si>
  <si>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</si>
  <si>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</si>
  <si>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</si>
  <si>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</si>
  <si>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</si>
  <si>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</si>
  <si>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</si>
  <si>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</si>
  <si>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</si>
  <si>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</si>
  <si>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</si>
  <si>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</si>
  <si>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</si>
  <si>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</si>
  <si>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</si>
  <si>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</si>
  <si>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</si>
  <si>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</si>
  <si>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</si>
  <si>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</si>
  <si>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</si>
  <si>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</si>
  <si>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</si>
  <si>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</si>
  <si>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</si>
  <si>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</si>
  <si>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</si>
  <si>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</si>
  <si>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</si>
  <si>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</si>
  <si>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</si>
  <si>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</si>
  <si>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</si>
  <si>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</si>
  <si>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</si>
  <si>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</si>
  <si>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</si>
  <si>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</si>
  <si>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</si>
  <si>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</si>
  <si>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</si>
  <si>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</si>
  <si>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</si>
  <si>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</si>
  <si>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</si>
  <si>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</si>
  <si>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</si>
  <si>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</si>
  <si>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</si>
  <si>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</si>
  <si>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</si>
  <si>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</si>
  <si>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</si>
  <si>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</si>
  <si>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</si>
  <si>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</si>
  <si>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</si>
  <si>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</si>
  <si>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</si>
  <si>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</si>
  <si>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</si>
  <si>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</si>
  <si>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</si>
  <si>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</si>
  <si>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</si>
  <si>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</si>
  <si>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</si>
  <si>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</si>
  <si>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</si>
  <si>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</si>
  <si>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</si>
  <si>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</si>
  <si>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</si>
  <si>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</si>
  <si>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</si>
  <si>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</si>
  <si>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</si>
  <si>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</si>
  <si>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</si>
  <si>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</si>
  <si>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</si>
  <si>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</si>
  <si>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</si>
  <si>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</si>
  <si>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</si>
  <si>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</si>
  <si>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</si>
  <si>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</si>
  <si>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</si>
  <si>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</si>
  <si>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</si>
  <si>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</si>
  <si>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</si>
  <si>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</si>
  <si>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</si>
  <si>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</si>
  <si>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</si>
  <si>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</si>
  <si>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</si>
  <si>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</si>
  <si>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</si>
  <si>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</si>
  <si>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</si>
  <si>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</si>
  <si>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</si>
  <si>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</si>
  <si>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</si>
  <si>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</si>
  <si>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</si>
  <si>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</si>
  <si>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</si>
  <si>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</si>
  <si>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</si>
  <si>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</si>
  <si>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</si>
  <si>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</si>
  <si>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</si>
  <si>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</si>
  <si>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</si>
  <si>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</si>
  <si>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</si>
  <si>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</si>
  <si>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</si>
  <si>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</si>
  <si>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</si>
  <si>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</si>
  <si>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</si>
  <si>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</si>
  <si>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</si>
  <si>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</si>
  <si>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</si>
  <si>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</si>
  <si>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</si>
  <si>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</si>
  <si>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</si>
  <si>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</si>
  <si>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</si>
  <si>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</si>
  <si>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</si>
  <si>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</si>
  <si>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</si>
  <si>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</si>
  <si>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</si>
  <si>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</si>
  <si>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</si>
  <si>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</si>
  <si>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</si>
  <si>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</si>
  <si>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</si>
  <si>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</si>
  <si>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</si>
  <si>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</si>
  <si>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</si>
  <si>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</si>
  <si>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</si>
  <si>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</si>
  <si>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</si>
  <si>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</si>
  <si>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</si>
  <si>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</si>
  <si>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</si>
  <si>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</si>
  <si>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</si>
  <si>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</si>
  <si>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</si>
  <si>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</si>
  <si>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</si>
  <si>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</si>
  <si>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</si>
  <si>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</si>
  <si>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</si>
  <si>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</si>
  <si>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</si>
  <si>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</si>
  <si>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</si>
  <si>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</si>
  <si>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</si>
  <si>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</si>
  <si>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</si>
  <si>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</si>
  <si>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</si>
  <si>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</si>
  <si>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</si>
  <si>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</si>
  <si>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</si>
  <si>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</si>
  <si>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</si>
  <si>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</si>
  <si>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</si>
  <si>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</si>
  <si>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</si>
  <si>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</si>
  <si>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</si>
  <si>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</si>
  <si>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</si>
  <si>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</si>
  <si>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</si>
  <si>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</si>
  <si>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</si>
  <si>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</si>
  <si>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</si>
  <si>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</si>
  <si>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</si>
  <si>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</si>
  <si>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</si>
  <si>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</si>
  <si>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</si>
  <si>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</si>
  <si>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</si>
  <si>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</si>
  <si>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</si>
  <si>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</si>
  <si>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</si>
  <si>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</si>
  <si>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</si>
  <si>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</si>
  <si>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</si>
  <si>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</si>
  <si>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</si>
  <si>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</si>
  <si>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</si>
  <si>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</si>
  <si>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</si>
  <si>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</si>
  <si>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</si>
  <si>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</si>
  <si>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</si>
  <si>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</si>
  <si>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</si>
  <si>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</si>
  <si>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</si>
  <si>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</si>
  <si>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</si>
  <si>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</si>
  <si>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</si>
  <si>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</si>
  <si>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</si>
  <si>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</si>
  <si>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</si>
  <si>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</si>
  <si>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</si>
  <si>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</si>
  <si>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</si>
  <si>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</si>
  <si>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</si>
  <si>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</si>
  <si>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</si>
  <si>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</si>
  <si>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</si>
  <si>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</si>
  <si>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</si>
  <si>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</si>
  <si>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</si>
  <si>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</si>
  <si>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</si>
  <si>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</si>
  <si>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</si>
  <si>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</si>
  <si>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</si>
  <si>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</si>
  <si>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</si>
  <si>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</si>
  <si>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</si>
  <si>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</si>
  <si>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</si>
  <si>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</si>
  <si>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</si>
  <si>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</si>
  <si>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</si>
  <si>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</si>
  <si>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</si>
  <si>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</si>
  <si>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</si>
  <si>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</si>
  <si>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</si>
  <si>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</si>
  <si>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</si>
  <si>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</si>
  <si>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</si>
  <si>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</si>
  <si>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</si>
  <si>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</si>
  <si>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</si>
  <si>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</si>
  <si>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</si>
  <si>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</si>
  <si>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</si>
  <si>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</si>
  <si>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</si>
  <si>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</si>
  <si>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</si>
  <si>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</si>
  <si>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</si>
  <si>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</si>
  <si>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</si>
  <si>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</si>
  <si>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</si>
  <si>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</si>
  <si>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</si>
  <si>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</si>
  <si>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</si>
  <si>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</si>
  <si>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</si>
  <si>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</si>
  <si>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</si>
  <si>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</si>
  <si>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</si>
  <si>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</si>
  <si>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</si>
  <si>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</si>
  <si>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</si>
  <si>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</si>
  <si>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</si>
  <si>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</si>
  <si>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</si>
  <si>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</si>
  <si>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</si>
  <si>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</si>
  <si>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</si>
  <si>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</si>
  <si>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</si>
  <si>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</si>
  <si>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</si>
  <si>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</si>
  <si>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</si>
  <si>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</si>
  <si>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</si>
  <si>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</si>
  <si>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</si>
  <si>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</si>
  <si>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</si>
  <si>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</si>
  <si>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</si>
  <si>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</si>
  <si>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</si>
  <si>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</si>
  <si>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</si>
  <si>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</si>
  <si>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</si>
  <si>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</si>
  <si>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</si>
  <si>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</si>
  <si>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</si>
  <si>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</si>
  <si>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</si>
  <si>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</si>
  <si>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</si>
  <si>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</si>
  <si>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</si>
  <si>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</si>
  <si>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</si>
  <si>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</si>
  <si>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</si>
  <si>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</si>
  <si>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</si>
  <si>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</si>
  <si>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</si>
  <si>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</si>
  <si>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</si>
  <si>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</si>
  <si>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</si>
  <si>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</si>
  <si>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</si>
  <si>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</si>
  <si>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</si>
  <si>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</si>
  <si>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</si>
  <si>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</si>
  <si>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</si>
  <si>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</si>
  <si>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</si>
  <si>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</si>
  <si>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</si>
  <si>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</si>
  <si>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</si>
  <si>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</si>
  <si>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</si>
  <si>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</si>
  <si>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</si>
  <si>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</si>
  <si>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</si>
  <si>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</si>
  <si>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</si>
  <si>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</si>
  <si>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</si>
  <si>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</si>
  <si>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</si>
  <si>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</si>
  <si>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</si>
  <si>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</si>
  <si>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</si>
  <si>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</si>
  <si>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</si>
  <si>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</si>
  <si>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</si>
  <si>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</si>
  <si>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</si>
  <si>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</si>
  <si>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</si>
  <si>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</si>
  <si>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</si>
  <si>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</si>
  <si>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</si>
  <si>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</si>
  <si>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</si>
  <si>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</si>
  <si>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</si>
  <si>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</si>
  <si>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</si>
  <si>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</si>
  <si>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</si>
  <si>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</si>
  <si>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</si>
  <si>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</si>
  <si>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</si>
  <si>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</si>
  <si>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</si>
  <si>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</si>
  <si>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</si>
  <si>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</si>
  <si>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</si>
  <si>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</si>
  <si>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</si>
  <si>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</si>
  <si>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</si>
  <si>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</si>
  <si>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</si>
  <si>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</si>
  <si>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</si>
  <si>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</si>
  <si>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</si>
  <si>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</si>
  <si>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</si>
  <si>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</si>
  <si>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</si>
  <si>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</si>
  <si>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</si>
  <si>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</si>
  <si>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</si>
  <si>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</si>
  <si>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</si>
  <si>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</si>
  <si>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</si>
  <si>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</si>
  <si>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</si>
  <si>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</si>
  <si>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</si>
  <si>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</si>
  <si>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</si>
  <si>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</si>
  <si>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</si>
  <si>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</si>
  <si>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</si>
  <si>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</si>
  <si>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</si>
  <si>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</si>
  <si>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</si>
  <si>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</si>
  <si>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</si>
  <si>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</si>
  <si>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</si>
  <si>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</si>
  <si>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</si>
  <si>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</si>
  <si>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</si>
  <si>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</si>
  <si>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</si>
  <si>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</si>
  <si>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</si>
  <si>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</si>
  <si>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</si>
  <si>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</si>
  <si>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</si>
  <si>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</si>
  <si>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</si>
  <si>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</si>
  <si>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</si>
  <si>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</si>
  <si>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</si>
  <si>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</si>
  <si>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</si>
  <si>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</si>
  <si>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</si>
  <si>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</si>
  <si>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</si>
  <si>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</si>
  <si>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</si>
  <si>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</si>
  <si>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</si>
  <si>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</si>
  <si>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</si>
  <si>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</si>
  <si>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</si>
  <si>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</si>
  <si>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</si>
  <si>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</si>
  <si>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</si>
  <si>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</si>
  <si>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</si>
  <si>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</si>
  <si>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</si>
  <si>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</si>
  <si>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</si>
  <si>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</si>
  <si>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</si>
  <si>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</si>
  <si>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</si>
  <si>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</si>
  <si>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</si>
  <si>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</si>
  <si>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</si>
  <si>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</si>
  <si>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</si>
  <si>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</si>
  <si>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</si>
  <si>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</si>
  <si>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</si>
  <si>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</si>
  <si>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</si>
  <si>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</si>
  <si>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</si>
  <si>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</si>
  <si>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</si>
  <si>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</si>
  <si>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</si>
  <si>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</si>
  <si>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</si>
  <si>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</si>
  <si>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</si>
  <si>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</si>
  <si>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</si>
  <si>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</si>
  <si>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</si>
  <si>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</si>
  <si>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</si>
  <si>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</si>
  <si>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</si>
  <si>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</si>
  <si>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</si>
  <si>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</si>
  <si>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</si>
  <si>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</si>
  <si>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</si>
  <si>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</si>
  <si>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</si>
  <si>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</si>
  <si>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</si>
  <si>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</si>
  <si>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</si>
  <si>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</si>
  <si>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</si>
  <si>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</si>
  <si>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</si>
  <si>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</si>
  <si>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</si>
  <si>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</si>
  <si>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</si>
  <si>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</si>
  <si>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</si>
  <si>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</si>
  <si>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</si>
  <si>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</si>
  <si>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</si>
  <si>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</si>
  <si>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</si>
  <si>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</si>
  <si>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</si>
  <si>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</si>
  <si>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</si>
  <si>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</si>
  <si>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</si>
  <si>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</si>
  <si>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</si>
  <si>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</si>
  <si>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</si>
  <si>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</si>
  <si>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</si>
  <si>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</si>
  <si>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</si>
  <si>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</si>
  <si>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</si>
  <si>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</si>
  <si>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</si>
  <si>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</si>
  <si>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</si>
  <si>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</si>
  <si>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</si>
  <si>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</si>
  <si>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</si>
  <si>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</si>
  <si>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</si>
  <si>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</si>
  <si>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</si>
  <si>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</si>
  <si>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</si>
  <si>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</si>
  <si>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</si>
  <si>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</si>
  <si>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</si>
  <si>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</si>
  <si>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</si>
  <si>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</si>
  <si>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</si>
  <si>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</si>
  <si>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</si>
  <si>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</si>
  <si>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</si>
  <si>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</si>
  <si>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</si>
  <si>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</si>
  <si>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</si>
  <si>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</si>
  <si>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</si>
  <si>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</si>
  <si>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</si>
  <si>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</si>
  <si>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</si>
  <si>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</si>
  <si>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</si>
  <si>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</si>
  <si>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</si>
  <si>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</si>
  <si>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</si>
  <si>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</si>
  <si>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</si>
  <si>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</si>
  <si>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</si>
  <si>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</si>
  <si>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</si>
  <si>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</si>
  <si>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</si>
  <si>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</si>
  <si>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</si>
  <si>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</si>
  <si>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</si>
  <si>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</si>
  <si>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</si>
  <si>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</si>
  <si>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</si>
  <si>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</si>
  <si>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</si>
  <si>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</si>
  <si>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</si>
  <si>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</si>
  <si>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</si>
  <si>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</si>
  <si>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</si>
  <si>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</si>
  <si>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</si>
  <si>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</si>
  <si>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</si>
  <si>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</si>
  <si>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</si>
  <si>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</si>
  <si>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</si>
  <si>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</si>
  <si>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</si>
  <si>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</si>
  <si>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</si>
  <si>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</si>
  <si>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</si>
  <si>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</si>
  <si>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</si>
  <si>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</si>
  <si>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</si>
  <si>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</si>
  <si>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</si>
  <si>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</si>
  <si>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</si>
  <si>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</si>
  <si>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</si>
  <si>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</si>
  <si>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</si>
  <si>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</si>
  <si>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</si>
  <si>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</si>
  <si>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</si>
  <si>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</si>
  <si>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</si>
  <si>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</si>
  <si>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</si>
  <si>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</si>
  <si>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</si>
  <si>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</si>
  <si>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</si>
  <si>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</si>
  <si>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</si>
  <si>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</si>
  <si>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</si>
  <si>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</si>
  <si>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</si>
  <si>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</si>
  <si>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</si>
  <si>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</si>
  <si>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</si>
  <si>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</si>
  <si>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</si>
  <si>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</si>
  <si>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</si>
  <si>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</si>
  <si>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</si>
  <si>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</si>
  <si>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</si>
  <si>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</si>
  <si>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</si>
  <si>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</si>
  <si>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</si>
  <si>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</si>
  <si>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</si>
  <si>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</si>
  <si>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</si>
  <si>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</si>
  <si>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</si>
  <si>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</si>
  <si>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</si>
  <si>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</si>
  <si>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</si>
  <si>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</si>
  <si>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</si>
  <si>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</si>
  <si>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</si>
  <si>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</si>
  <si>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</si>
  <si>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</si>
  <si>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</si>
  <si>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</si>
  <si>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</si>
  <si>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</si>
  <si>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</si>
  <si>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</si>
  <si>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</si>
  <si>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</si>
  <si>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</si>
  <si>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</si>
  <si>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</si>
  <si>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</si>
  <si>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</si>
  <si>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</si>
  <si>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</si>
  <si>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</si>
  <si>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</si>
  <si>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</si>
  <si>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</si>
  <si>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</si>
  <si>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</si>
  <si>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</si>
  <si>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</si>
  <si>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</si>
  <si>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</si>
  <si>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</si>
  <si>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</si>
  <si>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</si>
  <si>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</si>
  <si>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</si>
  <si>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</si>
  <si>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</si>
  <si>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</si>
  <si>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</si>
  <si>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</si>
  <si>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</si>
  <si>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</si>
  <si>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</si>
  <si>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</si>
  <si>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</si>
  <si>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</si>
  <si>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</si>
  <si>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</si>
  <si>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</si>
  <si>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</si>
  <si>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</si>
  <si>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</si>
  <si>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</si>
  <si>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</si>
  <si>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</si>
  <si>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</si>
  <si>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</si>
  <si>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</si>
  <si>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</si>
  <si>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</si>
  <si>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</si>
  <si>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</si>
  <si>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</si>
  <si>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</si>
  <si>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</si>
  <si>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</si>
  <si>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</si>
  <si>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</si>
  <si>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</si>
  <si>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</si>
  <si>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</si>
  <si>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</si>
  <si>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</si>
  <si>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</si>
  <si>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</si>
  <si>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</si>
  <si>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</si>
  <si>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</si>
  <si>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</si>
  <si>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</si>
  <si>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</si>
  <si>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</si>
  <si>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</si>
  <si>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</si>
  <si>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</si>
  <si>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</si>
  <si>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</si>
  <si>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</si>
  <si>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</si>
  <si>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</si>
  <si>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</si>
  <si>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</si>
  <si>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</si>
  <si>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</si>
  <si>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</si>
  <si>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</si>
  <si>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</si>
  <si>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</si>
  <si>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</si>
  <si>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</si>
  <si>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</si>
  <si>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</si>
  <si>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</si>
  <si>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</si>
  <si>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</si>
  <si>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</si>
  <si>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</si>
  <si>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</si>
  <si>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</si>
  <si>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</si>
  <si>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</si>
  <si>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</si>
  <si>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</si>
  <si>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</si>
  <si>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</si>
  <si>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</si>
  <si>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</si>
  <si>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</si>
  <si>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</si>
  <si>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</si>
  <si>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</si>
  <si>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</si>
  <si>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</si>
  <si>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</si>
  <si>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</si>
  <si>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</si>
  <si>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</si>
  <si>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</si>
  <si>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</si>
  <si>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</si>
  <si>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</si>
  <si>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</si>
  <si>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</si>
  <si>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</si>
  <si>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</si>
  <si>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</si>
  <si>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</si>
  <si>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</si>
  <si>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</si>
  <si>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</si>
  <si>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</si>
  <si>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</si>
  <si>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</si>
  <si>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</si>
  <si>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</si>
  <si>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</si>
  <si>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</si>
  <si>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</si>
  <si>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</si>
  <si>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</si>
  <si>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</si>
  <si>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</si>
  <si>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</si>
  <si>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</si>
  <si>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</si>
  <si>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</si>
  <si>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</si>
  <si>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</si>
  <si>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</si>
  <si>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</si>
  <si>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</si>
  <si>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</si>
  <si>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</si>
  <si>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</si>
  <si>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</si>
  <si>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</si>
  <si>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</si>
  <si>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</si>
  <si>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</si>
  <si>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</si>
  <si>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</si>
  <si>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</si>
  <si>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</si>
  <si>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</si>
  <si>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</si>
  <si>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</si>
  <si>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</si>
  <si>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</si>
  <si>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</si>
  <si>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</si>
  <si>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</si>
  <si>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</si>
  <si>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</si>
  <si>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</si>
  <si>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</si>
  <si>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</si>
  <si>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</si>
  <si>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</si>
  <si>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</si>
  <si>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</si>
  <si>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</si>
  <si>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</si>
  <si>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</si>
  <si>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</si>
  <si>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</si>
  <si>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</si>
  <si>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</si>
  <si>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</si>
  <si>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</si>
  <si>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</si>
  <si>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</si>
  <si>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</si>
  <si>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</si>
  <si>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</si>
  <si>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</si>
  <si>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</si>
  <si>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</si>
  <si>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</si>
  <si>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</si>
  <si>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</si>
  <si>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</si>
  <si>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</si>
  <si>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</si>
  <si>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</si>
  <si>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</si>
  <si>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</si>
  <si>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</si>
  <si>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</si>
  <si>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</si>
  <si>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</si>
  <si>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</si>
  <si>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</si>
  <si>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</si>
  <si>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</si>
  <si>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</si>
  <si>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</si>
  <si>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</si>
  <si>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</si>
  <si>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</si>
  <si>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</si>
  <si>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</si>
  <si>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</si>
  <si>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</si>
  <si>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</si>
  <si>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</si>
  <si>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</si>
  <si>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</si>
  <si>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</si>
  <si>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</si>
  <si>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</si>
  <si>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</si>
  <si>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</si>
  <si>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</si>
  <si>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</si>
  <si>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</si>
  <si>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</si>
  <si>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</si>
  <si>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</si>
  <si>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</si>
  <si>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</si>
  <si>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</si>
  <si>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</si>
  <si>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</si>
  <si>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</si>
  <si>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</si>
  <si>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</si>
  <si>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</si>
  <si>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</si>
  <si>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</si>
  <si>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</si>
  <si>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</si>
  <si>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</si>
  <si>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</si>
  <si>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</si>
  <si>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</si>
  <si>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</si>
  <si>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</si>
  <si>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</si>
  <si>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</si>
  <si>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</si>
  <si>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</si>
  <si>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</si>
  <si>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</si>
  <si>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</si>
  <si>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</si>
  <si>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</si>
  <si>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</si>
  <si>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</si>
  <si>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</si>
  <si>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</si>
  <si>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</si>
  <si>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</si>
  <si>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</si>
  <si>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</si>
  <si>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</si>
  <si>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</si>
  <si>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</si>
  <si>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</si>
  <si>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</si>
  <si>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</si>
  <si>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</si>
  <si>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</si>
  <si>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</si>
  <si>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</si>
  <si>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</si>
  <si>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</si>
  <si>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</si>
  <si>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</si>
  <si>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</si>
  <si>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</si>
  <si>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</si>
  <si>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</si>
  <si>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</si>
  <si>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</si>
  <si>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</si>
  <si>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</si>
  <si>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</si>
  <si>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</si>
  <si>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</si>
  <si>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</si>
  <si>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</si>
  <si>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</si>
  <si>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</si>
  <si>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</si>
  <si>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</si>
  <si>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</si>
  <si>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</si>
  <si>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</si>
  <si>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</si>
  <si>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</si>
  <si>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</si>
  <si>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</si>
  <si>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</si>
  <si>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</si>
  <si>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</si>
  <si>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</si>
  <si>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</si>
  <si>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</si>
  <si>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</si>
  <si>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</si>
  <si>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</si>
  <si>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</si>
  <si>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</si>
  <si>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</si>
  <si>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</si>
  <si>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</si>
  <si>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</si>
  <si>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</si>
  <si>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</si>
  <si>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</si>
  <si>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</si>
  <si>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</si>
  <si>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</si>
  <si>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</si>
  <si>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</si>
  <si>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</si>
  <si>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</si>
  <si>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</si>
  <si>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</si>
  <si>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</si>
  <si>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</si>
  <si>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</si>
  <si>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</si>
  <si>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</si>
  <si>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</si>
  <si>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</si>
  <si>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</si>
  <si>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</si>
  <si>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</si>
  <si>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</si>
  <si>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</si>
  <si>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</si>
  <si>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</si>
  <si>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</si>
  <si>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</si>
  <si>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</si>
  <si>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</si>
  <si>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</si>
  <si>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</si>
  <si>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</si>
  <si>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</si>
  <si>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</si>
  <si>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</si>
  <si>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</si>
  <si>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</si>
  <si>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</si>
  <si>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</si>
  <si>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</si>
  <si>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</si>
  <si>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</si>
  <si>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</si>
  <si>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</si>
  <si>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</si>
  <si>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</si>
  <si>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</si>
  <si>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</si>
  <si>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</si>
  <si>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</si>
  <si>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</si>
  <si>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</si>
  <si>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</si>
  <si>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</si>
  <si>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</si>
  <si>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</si>
  <si>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</si>
  <si>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</si>
  <si>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</si>
  <si>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</si>
  <si>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</si>
  <si>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</si>
  <si>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</si>
  <si>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</si>
  <si>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</si>
  <si>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</si>
  <si>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</si>
  <si>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</si>
  <si>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</si>
  <si>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</si>
  <si>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</si>
  <si>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</si>
  <si>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</si>
  <si>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</si>
  <si>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</si>
  <si>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</si>
  <si>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</si>
  <si>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</si>
  <si>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</si>
  <si>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</si>
  <si>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</si>
  <si>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</si>
  <si>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</si>
  <si>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</si>
  <si>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</si>
  <si>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</si>
  <si>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</si>
  <si>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</si>
  <si>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</si>
  <si>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</si>
  <si>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</si>
  <si>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</si>
  <si>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</si>
  <si>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</si>
  <si>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</si>
  <si>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</si>
  <si>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</si>
  <si>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</si>
  <si>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</si>
  <si>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</si>
  <si>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</si>
  <si>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</si>
  <si>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</si>
  <si>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</si>
  <si>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</si>
  <si>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</si>
  <si>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</si>
  <si>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</si>
  <si>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</si>
  <si>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</si>
  <si>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</si>
  <si>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</si>
  <si>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</si>
  <si>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</si>
  <si>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</si>
  <si>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</si>
  <si>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</si>
  <si>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</si>
  <si>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</si>
  <si>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</si>
  <si>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</si>
  <si>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</si>
  <si>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</si>
  <si>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</si>
  <si>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</si>
  <si>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</si>
  <si>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</si>
  <si>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</si>
  <si>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</si>
  <si>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</si>
  <si>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</si>
  <si>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</si>
  <si>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</si>
  <si>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</si>
  <si>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</si>
  <si>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</si>
  <si>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</si>
  <si>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</si>
  <si>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</si>
  <si>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</si>
  <si>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</si>
  <si>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</si>
  <si>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</si>
  <si>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</si>
  <si>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</si>
  <si>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</si>
  <si>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</si>
  <si>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</si>
  <si>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</si>
  <si>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</si>
  <si>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</si>
  <si>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</si>
  <si>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</si>
  <si>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</si>
  <si>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</si>
  <si>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</si>
  <si>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</si>
  <si>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</si>
  <si>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</si>
  <si>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</si>
  <si>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</si>
  <si>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</si>
  <si>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</si>
  <si>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</si>
  <si>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</si>
  <si>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</si>
  <si>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</si>
  <si>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</si>
  <si>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</si>
  <si>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</si>
  <si>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</si>
  <si>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</si>
  <si>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</si>
  <si>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</si>
  <si>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</si>
  <si>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</si>
  <si>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</si>
  <si>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</si>
  <si>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</si>
  <si>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</si>
  <si>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</si>
  <si>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</si>
  <si>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</si>
  <si>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</si>
  <si>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</si>
  <si>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</si>
  <si>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</si>
  <si>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</si>
  <si>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</si>
  <si>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</si>
  <si>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</si>
  <si>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</si>
  <si>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</si>
  <si>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</si>
  <si>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</si>
  <si>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</si>
  <si>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</si>
  <si>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</si>
  <si>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</si>
  <si>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</si>
  <si>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</si>
  <si>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</si>
  <si>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</si>
  <si>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</si>
  <si>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</si>
  <si>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</si>
  <si>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</si>
  <si>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</si>
  <si>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</si>
  <si>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</si>
  <si>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</si>
  <si>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</si>
  <si>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</si>
  <si>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</si>
  <si>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</si>
  <si>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</si>
  <si>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</si>
  <si>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</si>
  <si>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</si>
  <si>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</si>
  <si>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</si>
  <si>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</si>
  <si>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</si>
  <si>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</si>
  <si>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</si>
  <si>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</si>
  <si>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</si>
  <si>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</si>
  <si>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</si>
  <si>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</si>
  <si>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</si>
  <si>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</si>
  <si>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</si>
  <si>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</si>
  <si>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</si>
  <si>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</si>
  <si>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</si>
  <si>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</si>
  <si>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</si>
  <si>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</si>
  <si>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</si>
  <si>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</si>
  <si>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</si>
  <si>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</si>
  <si>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</si>
  <si>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</si>
  <si>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</si>
  <si>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</si>
  <si>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</si>
  <si>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</si>
  <si>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</si>
  <si>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</si>
  <si>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</si>
  <si>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</si>
  <si>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</si>
  <si>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</si>
  <si>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</si>
  <si>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</si>
  <si>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</si>
  <si>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</si>
  <si>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</si>
  <si>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</si>
  <si>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</si>
  <si>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</si>
  <si>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</si>
  <si>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</si>
  <si>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</si>
  <si>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</si>
  <si>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</si>
  <si>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</si>
  <si>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</si>
  <si>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</si>
  <si>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</si>
  <si>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</si>
  <si>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</si>
  <si>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</si>
  <si>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</si>
  <si>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</si>
  <si>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</si>
  <si>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</si>
  <si>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</si>
  <si>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</si>
  <si>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</si>
  <si>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</si>
  <si>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</si>
  <si>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</si>
  <si>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</si>
  <si>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</si>
  <si>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</si>
  <si>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</si>
  <si>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</si>
  <si>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</si>
  <si>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</si>
  <si>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</si>
  <si>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</si>
  <si>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</si>
  <si>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</si>
  <si>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</si>
  <si>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</si>
  <si>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</si>
  <si>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</si>
  <si>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</si>
  <si>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</si>
  <si>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</si>
  <si>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</si>
  <si>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</si>
  <si>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</si>
  <si>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</si>
  <si>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</si>
  <si>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</si>
  <si>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</si>
  <si>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</si>
  <si>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</si>
  <si>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</si>
  <si>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</si>
  <si>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</si>
  <si>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</si>
  <si>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</si>
  <si>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</si>
  <si>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</si>
  <si>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</si>
  <si>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</si>
  <si>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</si>
  <si>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</si>
  <si>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</si>
  <si>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</si>
  <si>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</si>
  <si>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</si>
  <si>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</si>
  <si>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</si>
  <si>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</si>
  <si>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</si>
  <si>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</si>
  <si>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</si>
  <si>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</si>
  <si>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</si>
  <si>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</si>
  <si>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</si>
  <si>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</si>
  <si>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</si>
  <si>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</si>
  <si>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</si>
  <si>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</si>
  <si>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</si>
  <si>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</si>
  <si>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</si>
  <si>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</si>
  <si>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</si>
  <si>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</si>
  <si>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</si>
  <si>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</si>
  <si>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</si>
  <si>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</si>
  <si>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</si>
  <si>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</si>
  <si>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</si>
  <si>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</si>
  <si>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</si>
  <si>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</si>
  <si>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</si>
  <si>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</si>
  <si>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</si>
  <si>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</si>
  <si>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</si>
  <si>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</si>
  <si>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</si>
  <si>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</si>
  <si>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</si>
  <si>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</si>
  <si>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</si>
  <si>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</si>
  <si>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</si>
  <si>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</si>
  <si>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</si>
  <si>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</si>
  <si>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</si>
  <si>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</si>
  <si>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</si>
  <si>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</si>
  <si>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</si>
  <si>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</si>
  <si>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</si>
  <si>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</si>
  <si>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</si>
  <si>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</si>
  <si>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</si>
  <si>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</si>
  <si>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</si>
  <si>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</si>
  <si>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</si>
  <si>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</si>
  <si>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</si>
  <si>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</si>
  <si>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</si>
  <si>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</si>
  <si>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</si>
  <si>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</si>
  <si>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</si>
  <si>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</si>
  <si>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</si>
  <si>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</si>
  <si>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</si>
  <si>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</si>
  <si>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</si>
  <si>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</si>
  <si>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</si>
  <si>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</si>
  <si>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</si>
  <si>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</si>
  <si>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</si>
  <si>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</si>
  <si>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</si>
  <si>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</si>
  <si>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</si>
  <si>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</si>
  <si>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</si>
  <si>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</si>
  <si>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</si>
  <si>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</si>
  <si>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</si>
  <si>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</si>
  <si>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</si>
  <si>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</si>
  <si>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</si>
  <si>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</si>
  <si>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</si>
  <si>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</si>
  <si>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</si>
  <si>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</si>
  <si>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</si>
  <si>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</si>
  <si>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</si>
  <si>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</si>
  <si>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</si>
  <si>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</si>
  <si>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</si>
  <si>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</si>
  <si>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</si>
  <si>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</si>
  <si>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</si>
  <si>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</si>
  <si>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</si>
  <si>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</si>
  <si>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</si>
  <si>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</si>
  <si>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</si>
  <si>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</si>
  <si>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</si>
  <si>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</si>
  <si>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</si>
  <si>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</si>
  <si>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</si>
  <si>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</si>
  <si>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</si>
  <si>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</si>
  <si>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</si>
  <si>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</si>
  <si>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</si>
  <si>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</si>
  <si>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</si>
  <si>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</si>
  <si>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</si>
  <si>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</si>
  <si>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</si>
  <si>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</si>
  <si>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</si>
  <si>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</si>
  <si>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</si>
  <si>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</si>
  <si>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</si>
  <si>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</si>
  <si>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</si>
  <si>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</si>
  <si>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</si>
  <si>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</si>
  <si>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</si>
  <si>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</si>
  <si>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</si>
  <si>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</si>
  <si>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</si>
  <si>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</si>
  <si>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</si>
  <si>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</si>
  <si>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</si>
  <si>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</si>
  <si>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</si>
  <si>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</si>
  <si>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</si>
  <si>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</si>
  <si>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</si>
  <si>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</si>
  <si>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</si>
  <si>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</si>
  <si>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</si>
  <si>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</si>
  <si>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</si>
  <si>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</si>
  <si>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</si>
  <si>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</si>
  <si>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</si>
  <si>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</si>
  <si>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</si>
  <si>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</si>
  <si>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</si>
  <si>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</si>
  <si>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</si>
  <si>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</si>
  <si>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</si>
  <si>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</si>
  <si>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</si>
  <si>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</si>
  <si>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</si>
  <si>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</si>
  <si>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</si>
  <si>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</si>
  <si>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</si>
  <si>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</si>
  <si>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</si>
  <si>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</si>
  <si>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</si>
  <si>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</si>
  <si>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</si>
  <si>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</si>
  <si>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</si>
  <si>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</si>
  <si>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</si>
  <si>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</si>
  <si>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</si>
  <si>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</si>
  <si>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</si>
  <si>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</si>
  <si>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</si>
  <si>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</si>
  <si>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</si>
  <si>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</si>
  <si>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</si>
  <si>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</si>
  <si>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</si>
  <si>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</si>
  <si>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</si>
  <si>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</si>
  <si>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</si>
  <si>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</si>
  <si>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</si>
  <si>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</si>
  <si>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</si>
  <si>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</si>
  <si>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</si>
  <si>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</si>
  <si>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</si>
  <si>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</si>
  <si>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</si>
  <si>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</si>
  <si>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</si>
  <si>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</si>
  <si>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</si>
  <si>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</si>
  <si>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</si>
  <si>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</si>
  <si>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</si>
  <si>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</si>
  <si>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</si>
  <si>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</si>
  <si>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</si>
  <si>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</si>
  <si>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</si>
  <si>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</si>
  <si>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</si>
  <si>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</si>
  <si>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</si>
  <si>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</si>
  <si>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</si>
  <si>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</si>
  <si>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</si>
  <si>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</si>
  <si>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</si>
  <si>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</si>
  <si>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</si>
  <si>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</si>
  <si>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</si>
  <si>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</si>
  <si>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</si>
  <si>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</si>
  <si>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</si>
  <si>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</si>
  <si>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</si>
  <si>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</si>
  <si>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</si>
  <si>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</si>
  <si>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</si>
  <si>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</si>
  <si>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</si>
  <si>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</si>
  <si>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</si>
  <si>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</si>
  <si>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</si>
  <si>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</si>
  <si>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</si>
  <si>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</si>
  <si>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</si>
  <si>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</si>
  <si>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</si>
  <si>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</si>
  <si>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</si>
  <si>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</si>
  <si>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</si>
  <si>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</si>
  <si>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</si>
  <si>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</si>
  <si>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</si>
  <si>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</si>
  <si>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</si>
  <si>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</si>
  <si>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</si>
  <si>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</si>
  <si>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</si>
  <si>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</si>
  <si>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</si>
  <si>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</si>
  <si>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</si>
  <si>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</si>
  <si>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</si>
  <si>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</si>
  <si>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</si>
  <si>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</si>
  <si>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</si>
  <si>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</si>
  <si>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</si>
  <si>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</si>
  <si>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</si>
  <si>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</si>
  <si>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</si>
  <si>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</si>
  <si>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</si>
  <si>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</si>
  <si>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</si>
  <si>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</si>
  <si>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</si>
  <si>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</si>
  <si>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</si>
  <si>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</si>
  <si>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</si>
  <si>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</si>
  <si>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</si>
  <si>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</si>
  <si>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</si>
  <si>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</si>
  <si>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</si>
  <si>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</si>
  <si>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</si>
  <si>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</si>
  <si>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</si>
  <si>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</si>
  <si>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</si>
  <si>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</si>
  <si>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</si>
  <si>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</si>
  <si>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</si>
  <si>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</si>
  <si>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</si>
  <si>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</si>
  <si>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</si>
  <si>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</si>
  <si>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</si>
  <si>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</si>
  <si>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</si>
  <si>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</si>
  <si>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</si>
  <si>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</si>
  <si>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</si>
  <si>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</si>
  <si>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</si>
  <si>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</si>
  <si>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</si>
  <si>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</si>
  <si>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</si>
  <si>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</si>
  <si>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</si>
  <si>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</si>
  <si>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</si>
  <si>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</si>
  <si>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</si>
  <si>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</si>
  <si>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</si>
  <si>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</si>
  <si>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</si>
  <si>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</si>
  <si>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</si>
  <si>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</si>
  <si>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</si>
  <si>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</si>
  <si>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</si>
  <si>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</si>
  <si>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</si>
  <si>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</si>
  <si>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</si>
  <si>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</si>
  <si>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</si>
  <si>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</si>
  <si>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</si>
  <si>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</si>
  <si>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</si>
  <si>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</si>
  <si>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</si>
  <si>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</si>
  <si>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</si>
  <si>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</si>
  <si>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</si>
  <si>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</si>
  <si>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</si>
  <si>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</si>
  <si>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</si>
  <si>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</si>
  <si>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</si>
  <si>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</si>
  <si>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</si>
  <si>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</si>
  <si>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</si>
  <si>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</si>
  <si>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</si>
  <si>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</si>
  <si>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</si>
  <si>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</si>
  <si>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</si>
  <si>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</si>
  <si>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</si>
  <si>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</si>
  <si>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</si>
  <si>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</si>
  <si>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</si>
  <si>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</si>
  <si>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</si>
  <si>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</si>
  <si>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</si>
  <si>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</si>
  <si>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</si>
  <si>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</si>
  <si>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</si>
  <si>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</si>
  <si>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</si>
  <si>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</si>
  <si>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</si>
  <si>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</si>
  <si>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</si>
  <si>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</si>
  <si>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</si>
  <si>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</si>
  <si>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</si>
  <si>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</si>
  <si>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</si>
  <si>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</si>
  <si>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</si>
  <si>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</si>
  <si>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</si>
  <si>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</si>
  <si>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</si>
  <si>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</si>
  <si>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</si>
  <si>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</si>
  <si>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</si>
  <si>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</si>
  <si>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</si>
  <si>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</si>
  <si>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</si>
  <si>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</si>
  <si>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</si>
  <si>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</si>
  <si>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</si>
  <si>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</si>
  <si>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</si>
  <si>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</si>
  <si>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</si>
  <si>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</si>
  <si>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</si>
  <si>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</si>
  <si>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</si>
  <si>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</si>
  <si>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</si>
  <si>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</si>
  <si>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</si>
  <si>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</si>
  <si>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</si>
  <si>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</si>
  <si>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</si>
  <si>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</si>
  <si>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</si>
  <si>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</si>
  <si>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</si>
  <si>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</si>
  <si>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</si>
  <si>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</si>
  <si>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</si>
  <si>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</si>
  <si>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</si>
  <si>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</si>
  <si>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</si>
  <si>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</si>
  <si>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</si>
  <si>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</si>
  <si>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</si>
  <si>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</si>
  <si>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</si>
  <si>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</si>
  <si>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</si>
  <si>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</si>
  <si>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</si>
  <si>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</si>
  <si>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</si>
  <si>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</si>
  <si>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</si>
  <si>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</si>
  <si>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</si>
  <si>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</si>
  <si>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</si>
  <si>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</si>
  <si>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</si>
  <si>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</si>
  <si>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</si>
  <si>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</si>
  <si>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</si>
  <si>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</si>
  <si>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</si>
  <si>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</si>
  <si>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</si>
  <si>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</si>
  <si>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</si>
  <si>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</si>
  <si>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</si>
  <si>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</si>
  <si>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</si>
  <si>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</si>
  <si>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</si>
  <si>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</si>
  <si>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</si>
  <si>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</si>
  <si>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</si>
  <si>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</si>
  <si>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</si>
  <si>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</si>
  <si>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</si>
  <si>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</si>
  <si>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</si>
  <si>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</si>
  <si>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</si>
  <si>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</si>
  <si>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</si>
  <si>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</si>
  <si>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</si>
  <si>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</si>
  <si>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</si>
  <si>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</si>
  <si>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</si>
  <si>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</si>
  <si>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</si>
  <si>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</si>
  <si>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</si>
  <si>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</si>
  <si>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</si>
  <si>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</si>
  <si>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</si>
  <si>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</si>
  <si>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</si>
  <si>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</si>
  <si>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</si>
  <si>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</si>
  <si>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</si>
  <si>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</si>
  <si>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</si>
  <si>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</si>
  <si>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</si>
  <si>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</si>
  <si>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</si>
  <si>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</si>
  <si>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</si>
  <si>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</si>
  <si>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</si>
  <si>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</si>
  <si>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</si>
  <si>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</si>
  <si>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</si>
  <si>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</si>
  <si>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</si>
  <si>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</si>
  <si>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</si>
  <si>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</si>
  <si>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</si>
  <si>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</si>
  <si>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</si>
  <si>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</si>
  <si>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</si>
  <si>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</si>
  <si>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</si>
  <si>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</si>
  <si>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</si>
  <si>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</si>
  <si>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</si>
  <si>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</si>
  <si>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</si>
  <si>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</si>
  <si>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</si>
  <si>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</si>
  <si>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</si>
  <si>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</si>
  <si>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</si>
  <si>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</si>
  <si>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</si>
  <si>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</si>
  <si>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</si>
  <si>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</si>
  <si>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</si>
  <si>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</si>
  <si>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</si>
  <si>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</si>
  <si>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</si>
  <si>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</si>
  <si>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</si>
  <si>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</si>
  <si>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</si>
  <si>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</si>
  <si>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</si>
  <si>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</si>
  <si>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</si>
  <si>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</si>
  <si>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</si>
  <si>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</si>
  <si>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</si>
  <si>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</si>
  <si>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</si>
  <si>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</si>
  <si>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</si>
  <si>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</si>
  <si>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</si>
  <si>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</si>
  <si>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</si>
  <si>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</si>
  <si>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</si>
  <si>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</si>
  <si>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</si>
  <si>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</si>
  <si>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</si>
  <si>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</si>
  <si>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</si>
  <si>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</si>
  <si>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</si>
  <si>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</si>
  <si>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</si>
  <si>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</si>
  <si>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</si>
  <si>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</si>
  <si>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</si>
  <si>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</si>
  <si>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</si>
  <si>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</si>
  <si>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</si>
  <si>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</si>
  <si>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</si>
  <si>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</si>
  <si>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</si>
  <si>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</si>
  <si>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</si>
  <si>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</si>
  <si>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</si>
  <si>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</si>
  <si>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</si>
  <si>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</si>
  <si>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</si>
  <si>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</si>
  <si>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</si>
  <si>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</si>
  <si>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</si>
  <si>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</si>
  <si>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</si>
  <si>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</si>
  <si>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</si>
  <si>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</si>
  <si>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</si>
  <si>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</si>
  <si>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</si>
  <si>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</si>
  <si>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</si>
  <si>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</si>
  <si>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</si>
  <si>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</si>
  <si>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</si>
  <si>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</si>
  <si>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Pike, Calhoun</t>
  </si>
  <si>
    <t>512 S. Madison St.</t>
  </si>
  <si>
    <t>Pittsfield</t>
  </si>
  <si>
    <t>phawley@pikeland.org</t>
  </si>
  <si>
    <t>Paula Hawley</t>
  </si>
  <si>
    <t>217-285-2147</t>
  </si>
  <si>
    <t>217-285-5059</t>
  </si>
  <si>
    <t>Zumbahlen, Eyth, Surratt, Foote &amp; Flynn, Ltd.</t>
  </si>
  <si>
    <t>Adam Withee</t>
  </si>
  <si>
    <t>1395 Lincoln Ave.</t>
  </si>
  <si>
    <t>Jacksonville</t>
  </si>
  <si>
    <t>IL</t>
  </si>
  <si>
    <t>217-245-5121</t>
  </si>
  <si>
    <t>217-243-3356</t>
  </si>
  <si>
    <t>awithee@zescpa.com</t>
  </si>
  <si>
    <t>U.S. Dept. of Education passed through Illinois State Board of Education:</t>
  </si>
  <si>
    <t xml:space="preserve">     Total CFDA 84.010A</t>
  </si>
  <si>
    <t>84.010A</t>
  </si>
  <si>
    <t xml:space="preserve">     Total CFDA 84.367A</t>
  </si>
  <si>
    <t>84.367A</t>
  </si>
  <si>
    <t xml:space="preserve">     Total CFDA 84.358B</t>
  </si>
  <si>
    <t>84.358B</t>
  </si>
  <si>
    <t>Title V - Rural Education Initiative</t>
  </si>
  <si>
    <t>Federal Special Ed IDEA - Room and Board</t>
  </si>
  <si>
    <t xml:space="preserve">     Total CFDA 84.027A</t>
  </si>
  <si>
    <t>84.027A</t>
  </si>
  <si>
    <t>N/A</t>
  </si>
  <si>
    <t>Total U.S. Dept. of Education</t>
  </si>
  <si>
    <t xml:space="preserve">     Total CFDA 84.424A</t>
  </si>
  <si>
    <t>84.424A</t>
  </si>
  <si>
    <t>U.S. Dept. of Agriculture passed through Illinois State Board of Education:</t>
  </si>
  <si>
    <t xml:space="preserve">     Total CFDA 10.555</t>
  </si>
  <si>
    <t xml:space="preserve">     Total CFDA 10.553</t>
  </si>
  <si>
    <t xml:space="preserve">     Total CFDA 10.556</t>
  </si>
  <si>
    <t>Total U.S. Dept. of Agriculture</t>
  </si>
  <si>
    <t>Total Child Nutrition Cluster</t>
  </si>
  <si>
    <t>U.S. Dept. of Health and Human Services passed through Illinois Dept. of Healthcare and Family Services:</t>
  </si>
  <si>
    <t>Medicaid Administrative Outreach</t>
  </si>
  <si>
    <t xml:space="preserve">     Total CFDA 93.778</t>
  </si>
  <si>
    <t>Total U.S. Dept. of Health and Human Services</t>
  </si>
  <si>
    <t>Grand Total Federal Awards</t>
  </si>
  <si>
    <t>2017-4300</t>
  </si>
  <si>
    <t>2018-4300</t>
  </si>
  <si>
    <t>2017-4932</t>
  </si>
  <si>
    <t>2018-4932</t>
  </si>
  <si>
    <t>2017-4107</t>
  </si>
  <si>
    <t>2018-4107</t>
  </si>
  <si>
    <t>2018-4400</t>
  </si>
  <si>
    <t>2017-4625</t>
  </si>
  <si>
    <t>2018-4625</t>
  </si>
  <si>
    <t>2017-4210</t>
  </si>
  <si>
    <t>2018-4210</t>
  </si>
  <si>
    <t>2017-4220</t>
  </si>
  <si>
    <t>2018-4220</t>
  </si>
  <si>
    <t>2017-4215</t>
  </si>
  <si>
    <t>2018-4215</t>
  </si>
  <si>
    <t>2017-4991</t>
  </si>
  <si>
    <t>2018-4991</t>
  </si>
  <si>
    <t>Title V - Rural Education Initiative (Prepayment $825)</t>
  </si>
  <si>
    <t>ED-Support Services Instructional Staff-Purchased Services</t>
  </si>
  <si>
    <t>10-2200-300</t>
  </si>
  <si>
    <t>Quality Network Solutions</t>
  </si>
  <si>
    <t>National School Lunch Program (M)</t>
  </si>
  <si>
    <t>Government Donated Commodities (M)</t>
  </si>
  <si>
    <t>School Breakfast Program (M)</t>
  </si>
  <si>
    <t>Special Milk Program (M)</t>
  </si>
  <si>
    <t>Title IVA - Student Support &amp; Academic Enrich (M)</t>
  </si>
  <si>
    <t>n/a</t>
  </si>
  <si>
    <t>Medicaid Administrative Outreach fees deducted from revenues</t>
  </si>
  <si>
    <t>The accompanying Schedule of Expenditures of Federal Awards includes the federal grant activity of Pikeland Community Unit School District #10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</si>
  <si>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Pikeland Community Unit School District #10 provided federal awards to subrecipients as follows:</t>
  </si>
  <si>
    <t>The following amounts were expended in the form of non-cash assistance by Pikeland Community Unit School District #10 and are included in the Schedule of Expenditures of Federal Awards:</t>
  </si>
  <si>
    <t>Unmodified</t>
  </si>
  <si>
    <t>10.553/10.555/10.556</t>
  </si>
  <si>
    <t>Child Nutrition Cluster</t>
  </si>
  <si>
    <t>Title IVA - Student Support &amp; Academic Enrichment</t>
  </si>
  <si>
    <t>Internal controls should be in place to monitor and limit expenditures within approved budget guidelines.</t>
  </si>
  <si>
    <t>Actual expenditures were allowed to exceed budgeted expenditures.</t>
  </si>
  <si>
    <t>The District exceeded budget in the Transportation Fund due to the recording of a capital lease.</t>
  </si>
  <si>
    <t>The District did not record a capital lease for five buses in the budget of the Transportation Fund.  In addition, the District did not amend the budget to include the recording of the capital lease in order to remain within budget guidelines.</t>
  </si>
  <si>
    <t xml:space="preserve">The District should review a comparison of actual expenditures to budgeted expenditures throughout the year.  If the District will exceed the adopted budget, the Board should amend the budget by the same procedures required of its original adoption. </t>
  </si>
  <si>
    <t>The District will monitor actual expenditures in relation to budget more closely in the future, and if the budget will be exceeded, the Board will amend the budget by the same procedures required of its original adoption.</t>
  </si>
  <si>
    <t>2017-001</t>
  </si>
  <si>
    <t>2017-002</t>
  </si>
  <si>
    <t>2017-003</t>
  </si>
  <si>
    <t>Unresolved - See Finding 2018-002</t>
  </si>
  <si>
    <t>See Finding 2017-001 above</t>
  </si>
  <si>
    <t>The District's accounting functions are controlled by a limited number of individuals resulting in the inadequate segregation of duties.</t>
  </si>
  <si>
    <t>x</t>
  </si>
  <si>
    <t>Western Area School Health Insurance Cooperative</t>
  </si>
  <si>
    <t>Four Rivers Special Education Association</t>
  </si>
  <si>
    <t>Western Area Purchasing Cooperative</t>
  </si>
  <si>
    <t>QNS/Quality Network Solutions</t>
  </si>
  <si>
    <t>Pleasant Hill CUSD #3 Griggsville CUSD #4</t>
  </si>
  <si>
    <t>West Central Regional, QAVTC</t>
  </si>
  <si>
    <t>Griggsville CUSD #4, Pleasant Hill CUSD #3, Western CUSD #12</t>
  </si>
  <si>
    <t>Zumbahlen, Eyth, Surratt, Foote, Flynn, Ltd.</t>
  </si>
  <si>
    <t>2003 QUALIFIED ZONE ACADEMY BONDS</t>
  </si>
  <si>
    <t>2005 FIRE PREVENTION AND SAFETY BONDS</t>
  </si>
  <si>
    <t>2014A ALTERNATE REVENUE SOURCE G.O. BONDS</t>
  </si>
  <si>
    <t>2014B GENERAL OBLIGATION BONDS</t>
  </si>
  <si>
    <t>2015A WORKING CASH BONDS</t>
  </si>
  <si>
    <t>2015B LIFE SAFETY BONDS</t>
  </si>
  <si>
    <t>2015 LEASE PURCHASE AGREEMENT (4 BUSES)</t>
  </si>
  <si>
    <t>2015 LEASE PURCHASE AGREEMENT (1 SMALL BUS)</t>
  </si>
  <si>
    <t>2016 LEASE PURCHASE AGREEMENT (COPIERS)</t>
  </si>
  <si>
    <t>2017 LEASE PURCHASE AGREEMENT (COPIER)</t>
  </si>
  <si>
    <t>2017 LEASE PURCHASE AGREEMENT</t>
  </si>
  <si>
    <t>2018 LEASE PURCHASE AGREEMENT (UCB - 5 BUSES)</t>
  </si>
  <si>
    <t>LEASE/PURCHASE AGREEMENT</t>
  </si>
  <si>
    <t xml:space="preserve">PAGE 5 LINE 12: OTHER CURRENT ASSETS: EDUCATIONAL FUND OVERPAID PCARD BALANCE </t>
  </si>
  <si>
    <t>PAGE 10 LINE 72: SALES TO PUPILS - OTHER: EDUCATIONAL FUND - RECESS MILK</t>
  </si>
  <si>
    <t>PAGE 11 LINE 106: OTHER LOCAL FEES: EDUCATION FUND - STUDENT FEES (LAB, PARKING, LOCKER, ETC.)</t>
  </si>
  <si>
    <t>PAGE 11 LINE 107: OTHER LOCAL REVENUES: EDUCATION FUND - MISCELLANEOUS</t>
  </si>
  <si>
    <t>PAGE 18 LINE 165: DEBT SERVICES - OTHER: DEBT SERVICE FUND - BANK AND MISC. FEES</t>
  </si>
  <si>
    <t>TECHNOLOGY LEASE</t>
  </si>
  <si>
    <t>066-004993</t>
  </si>
  <si>
    <t>OPERATIONS AND MAINTENANCE - MISCELLANEOUS</t>
  </si>
  <si>
    <t>PAGE 12 LINE 171: EDUCATION FUND - STATE LIBRARY GRANT</t>
  </si>
  <si>
    <t>THE DEBT SERVICE FUND</t>
  </si>
  <si>
    <t>LONG TERM DEBT ERROR ON CHECKLIST #8 IS DUE TO CAPITAL LEASES BEING PAID OUT OF TRANSPORTATION FUND, NOT</t>
  </si>
  <si>
    <t>Resolved.  The District has segregated duties where possible.</t>
  </si>
  <si>
    <t>The District had actual expenditures in excess of budget in the Transportation Fund.  Actual expenditures exceeded budget by $221,879.</t>
  </si>
  <si>
    <t>Pikeland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</si>
</sst>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2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52" fillId="0" borderId="22" xfId="3" applyNumberFormat="1" applyFont="1" applyBorder="1" applyAlignment="1" applyProtection="1">
      <alignment horizontal="left" vertical="center" wrapText="1"/>
      <protection locked="0"/>
    </xf>
    <xf numFmtId="169" fontId="52" fillId="0" borderId="22" xfId="3" applyNumberFormat="1" applyFont="1" applyBorder="1" applyAlignment="1" applyProtection="1">
      <alignment horizontal="center"/>
      <protection locked="0"/>
    </xf>
    <xf numFmtId="1" fontId="52" fillId="0" borderId="22" xfId="3" applyNumberFormat="1" applyFont="1" applyBorder="1" applyAlignment="1" applyProtection="1">
      <alignment horizontal="center"/>
      <protection locked="0"/>
    </xf>
    <xf numFmtId="3" fontId="52"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0" fillId="0" borderId="22" xfId="3" applyNumberFormat="1" applyFont="1" applyFill="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 fontId="60" fillId="0" borderId="22" xfId="3" applyNumberFormat="1" applyFont="1" applyFill="1" applyBorder="1" applyAlignment="1" applyProtection="1">
      <alignment horizontal="left" vertical="center" wrapText="1"/>
      <protection locked="0"/>
    </xf>
    <xf numFmtId="0" fontId="52" fillId="0" borderId="0" xfId="3" applyFont="1" applyAlignment="1" applyProtection="1">
      <alignment horizontal="center" vertical="center"/>
    </xf>
    <xf numFmtId="179" fontId="55" fillId="0" borderId="0" xfId="3" applyNumberFormat="1" applyFont="1" applyBorder="1" applyAlignment="1" applyProtection="1">
      <alignment vertical="top"/>
      <protection locked="0"/>
    </xf>
    <xf numFmtId="0" fontId="55" fillId="0" borderId="0" xfId="3" applyFont="1" applyBorder="1" applyAlignment="1" applyProtection="1">
      <alignment horizontal="justify" vertical="top" wrapText="1"/>
      <protection locked="0"/>
    </xf>
    <xf numFmtId="0" fontId="55" fillId="0" borderId="0" xfId="3" applyFont="1" applyBorder="1" applyAlignment="1" applyProtection="1">
      <alignment horizontal="center"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5" fillId="0" borderId="0" xfId="3" applyFont="1" applyAlignment="1" applyProtection="1">
      <alignment horizontal="left" vertical="center"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0</xdr:row>
          <xdr:rowOff>0</xdr:rowOff>
        </xdr:from>
        <xdr:to>
          <xdr:col>1</xdr:col>
          <xdr:colOff>1676400</xdr:colOff>
          <xdr:row>4</xdr:row>
          <xdr:rowOff>57150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1695450</xdr:colOff>
          <xdr:row>0</xdr:row>
          <xdr:rowOff>0</xdr:rowOff>
        </xdr:from>
        <xdr:to>
          <xdr:col>1</xdr:col>
          <xdr:colOff>2609850</xdr:colOff>
          <xdr:row>4</xdr:row>
          <xdr:rowOff>38100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2638425</xdr:colOff>
          <xdr:row>0</xdr:row>
          <xdr:rowOff>28575</xdr:rowOff>
        </xdr:from>
        <xdr:to>
          <xdr:col>1</xdr:col>
          <xdr:colOff>3552825</xdr:colOff>
          <xdr:row>4</xdr:row>
          <xdr:rowOff>66675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5" t="s">
        <v>425</v>
      </c>
      <c r="J1" s="2056"/>
      <c r="K1" s="2056"/>
      <c r="L1" s="2056"/>
      <c r="M1" s="2056"/>
      <c r="N1" s="2056"/>
      <c r="O1" s="2056"/>
      <c r="P1" s="2056"/>
      <c r="Q1" s="2056"/>
      <c r="R1" s="2056"/>
      <c r="S1" s="2056"/>
    </row>
    <row r="2" spans="1:28" ht="12" customHeight="1" x14ac:dyDescent="0.2">
      <c r="A2" s="47" t="s">
        <v>1684</v>
      </c>
      <c r="D2" s="48"/>
      <c r="I2" s="2057" t="s">
        <v>1036</v>
      </c>
      <c r="J2" s="2056"/>
      <c r="K2" s="2056"/>
      <c r="L2" s="2056"/>
      <c r="M2" s="2056"/>
      <c r="N2" s="2056"/>
      <c r="O2" s="2056"/>
      <c r="P2" s="2056"/>
      <c r="Q2" s="2056"/>
      <c r="R2" s="2056"/>
      <c r="S2" s="2056"/>
    </row>
    <row r="3" spans="1:28" ht="12" customHeight="1" x14ac:dyDescent="0.2">
      <c r="A3" s="155" t="s">
        <v>1685</v>
      </c>
      <c r="B3" s="156"/>
      <c r="C3" s="156"/>
      <c r="D3" s="157"/>
      <c r="I3" s="2057" t="s">
        <v>54</v>
      </c>
      <c r="J3" s="2056"/>
      <c r="K3" s="2056"/>
      <c r="L3" s="2056"/>
      <c r="M3" s="2056"/>
      <c r="N3" s="2056"/>
      <c r="O3" s="2056"/>
      <c r="P3" s="2056"/>
      <c r="Q3" s="2056"/>
      <c r="R3" s="2056"/>
      <c r="S3" s="2056"/>
    </row>
    <row r="4" spans="1:28" ht="12" customHeight="1" x14ac:dyDescent="0.2">
      <c r="A4" s="37"/>
      <c r="I4" s="2057" t="s">
        <v>545</v>
      </c>
      <c r="J4" s="2056"/>
      <c r="K4" s="2056"/>
      <c r="L4" s="2056"/>
      <c r="M4" s="2056"/>
      <c r="N4" s="2056"/>
      <c r="O4" s="2056"/>
      <c r="P4" s="2056"/>
      <c r="Q4" s="2056"/>
      <c r="R4" s="2056"/>
      <c r="S4" s="2056"/>
    </row>
    <row r="5" spans="1:28" ht="14.1" customHeight="1" x14ac:dyDescent="0.2">
      <c r="B5" s="104" t="s">
        <v>2073</v>
      </c>
      <c r="C5" s="26" t="s">
        <v>966</v>
      </c>
      <c r="D5" s="84"/>
      <c r="E5" s="84"/>
      <c r="H5" s="38"/>
      <c r="I5" s="2064" t="s">
        <v>701</v>
      </c>
      <c r="J5" s="2008"/>
      <c r="K5" s="2008"/>
      <c r="L5" s="2008"/>
      <c r="M5" s="2008"/>
      <c r="N5" s="2008"/>
      <c r="O5" s="2008"/>
      <c r="P5" s="2008"/>
      <c r="Q5" s="2008"/>
      <c r="R5" s="2008"/>
      <c r="S5" s="2008"/>
    </row>
    <row r="6" spans="1:28" ht="14.1" customHeight="1" x14ac:dyDescent="0.2">
      <c r="B6" s="104"/>
      <c r="C6" s="26" t="s">
        <v>967</v>
      </c>
      <c r="D6" s="84"/>
      <c r="E6" s="84"/>
      <c r="I6" s="2063" t="s">
        <v>938</v>
      </c>
      <c r="J6" s="2008"/>
      <c r="K6" s="2008"/>
      <c r="L6" s="2008"/>
      <c r="M6" s="2008"/>
      <c r="N6" s="2008"/>
      <c r="O6" s="2008"/>
      <c r="P6" s="2008"/>
      <c r="Q6" s="2008"/>
      <c r="R6" s="2008"/>
      <c r="S6" s="2008"/>
    </row>
    <row r="7" spans="1:28" ht="12.2" customHeight="1" x14ac:dyDescent="0.2">
      <c r="I7" s="2058">
        <v>43281</v>
      </c>
      <c r="J7" s="2059"/>
      <c r="K7" s="2059"/>
      <c r="L7" s="2059"/>
      <c r="M7" s="2059"/>
      <c r="N7" s="2059"/>
      <c r="O7" s="2059"/>
      <c r="P7" s="2059"/>
      <c r="Q7" s="2059"/>
      <c r="R7" s="2059"/>
      <c r="S7" s="205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0" t="s">
        <v>695</v>
      </c>
      <c r="J9" s="2061"/>
      <c r="K9" s="2061"/>
      <c r="L9" s="2061"/>
      <c r="M9" s="2061"/>
      <c r="N9" s="2061"/>
      <c r="O9" s="2061"/>
      <c r="P9" s="2061"/>
      <c r="Q9" s="2061"/>
      <c r="R9" s="2061"/>
      <c r="S9" s="2062"/>
      <c r="T9" s="2004" t="s">
        <v>554</v>
      </c>
      <c r="U9" s="2005"/>
      <c r="V9" s="2005"/>
      <c r="W9" s="2005"/>
      <c r="X9" s="2005"/>
      <c r="Y9" s="2005"/>
      <c r="Z9" s="2005"/>
      <c r="AA9" s="2006"/>
    </row>
    <row r="10" spans="1:28" ht="13.5" customHeight="1" x14ac:dyDescent="0.2">
      <c r="A10" s="2013" t="s">
        <v>696</v>
      </c>
      <c r="B10" s="2014"/>
      <c r="C10" s="2014"/>
      <c r="D10" s="2014"/>
      <c r="E10" s="2014"/>
      <c r="F10" s="2014"/>
      <c r="G10" s="2014"/>
      <c r="H10" s="2015"/>
      <c r="I10" s="29"/>
      <c r="J10" s="30"/>
      <c r="K10" s="28"/>
      <c r="R10" s="30"/>
      <c r="S10" s="30"/>
      <c r="T10" s="2007"/>
      <c r="U10" s="2008"/>
      <c r="V10" s="2008"/>
      <c r="W10" s="2008"/>
      <c r="X10" s="2008"/>
      <c r="Y10" s="2008"/>
      <c r="Z10" s="2008"/>
      <c r="AA10" s="2009"/>
    </row>
    <row r="11" spans="1:28" ht="14.25" customHeight="1" x14ac:dyDescent="0.2">
      <c r="A11" s="2016" t="s">
        <v>1012</v>
      </c>
      <c r="B11" s="2017"/>
      <c r="C11" s="2017"/>
      <c r="D11" s="2017"/>
      <c r="E11" s="2017"/>
      <c r="F11" s="2017"/>
      <c r="G11" s="2017"/>
      <c r="H11" s="2018"/>
      <c r="I11" s="27"/>
      <c r="J11" s="74"/>
      <c r="K11" s="27"/>
      <c r="O11" s="148" t="s">
        <v>2073</v>
      </c>
      <c r="P11" s="100" t="s">
        <v>210</v>
      </c>
      <c r="Q11" s="30"/>
      <c r="R11" s="28"/>
      <c r="S11" s="27"/>
      <c r="T11" s="2010"/>
      <c r="U11" s="2011"/>
      <c r="V11" s="2011"/>
      <c r="W11" s="2011"/>
      <c r="X11" s="2011"/>
      <c r="Y11" s="2011"/>
      <c r="Z11" s="2011"/>
      <c r="AA11" s="201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4">
        <v>1075010026</v>
      </c>
      <c r="B13" s="2025"/>
      <c r="C13" s="2025"/>
      <c r="D13" s="2025"/>
      <c r="E13" s="2025"/>
      <c r="F13" s="2025"/>
      <c r="G13" s="2025"/>
      <c r="H13" s="2026"/>
      <c r="I13" s="31"/>
      <c r="J13" s="30"/>
      <c r="K13" s="28"/>
      <c r="L13" s="30"/>
      <c r="M13" s="30"/>
      <c r="N13" s="30"/>
      <c r="O13" s="30"/>
      <c r="P13" s="30"/>
      <c r="Q13" s="30"/>
      <c r="R13" s="30"/>
      <c r="S13" s="30"/>
      <c r="T13" s="2029" t="s">
        <v>2081</v>
      </c>
      <c r="U13" s="2030"/>
      <c r="V13" s="2030"/>
      <c r="W13" s="2030"/>
      <c r="X13" s="2030"/>
      <c r="Y13" s="2031"/>
      <c r="Z13" s="2031"/>
      <c r="AA13" s="203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2" t="s">
        <v>2074</v>
      </c>
      <c r="B15" s="2027"/>
      <c r="C15" s="2027"/>
      <c r="D15" s="2027"/>
      <c r="E15" s="2027"/>
      <c r="F15" s="2027"/>
      <c r="G15" s="2027"/>
      <c r="H15" s="2028"/>
      <c r="T15" s="1990" t="s">
        <v>2082</v>
      </c>
      <c r="U15" s="1991"/>
      <c r="V15" s="1991"/>
      <c r="W15" s="1991"/>
      <c r="X15" s="1991"/>
      <c r="Y15" s="2033"/>
      <c r="Z15" s="2033"/>
      <c r="AA15" s="203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52" t="s">
        <v>2197</v>
      </c>
      <c r="B17" s="2053"/>
      <c r="C17" s="2053"/>
      <c r="D17" s="2053"/>
      <c r="E17" s="2053"/>
      <c r="F17" s="2053"/>
      <c r="G17" s="2053"/>
      <c r="H17" s="2054"/>
      <c r="T17" s="2039" t="s">
        <v>2083</v>
      </c>
      <c r="U17" s="2040"/>
      <c r="V17" s="2040"/>
      <c r="W17" s="2040"/>
      <c r="X17" s="2040"/>
      <c r="Y17" s="2040"/>
      <c r="Z17" s="2040"/>
      <c r="AA17" s="2041"/>
    </row>
    <row r="18" spans="1:27" ht="13.5" customHeight="1" x14ac:dyDescent="0.2">
      <c r="A18" s="85" t="s">
        <v>551</v>
      </c>
      <c r="B18" s="76"/>
      <c r="C18" s="72"/>
      <c r="D18" s="76"/>
      <c r="E18" s="76"/>
      <c r="F18" s="76"/>
      <c r="G18" s="76"/>
      <c r="H18" s="56"/>
      <c r="I18" s="2049" t="s">
        <v>697</v>
      </c>
      <c r="J18" s="2050"/>
      <c r="K18" s="2050"/>
      <c r="L18" s="2050"/>
      <c r="M18" s="2050"/>
      <c r="N18" s="2050"/>
      <c r="O18" s="2050"/>
      <c r="P18" s="2050"/>
      <c r="Q18" s="2050"/>
      <c r="R18" s="2050"/>
      <c r="S18" s="2051"/>
      <c r="T18" s="85" t="s">
        <v>735</v>
      </c>
      <c r="U18" s="51"/>
      <c r="V18" s="72"/>
      <c r="W18" s="50"/>
      <c r="X18" s="85" t="s">
        <v>284</v>
      </c>
      <c r="Y18" s="81"/>
      <c r="Z18" s="159" t="s">
        <v>698</v>
      </c>
      <c r="AA18" s="46"/>
    </row>
    <row r="19" spans="1:27" ht="13.5" customHeight="1" x14ac:dyDescent="0.2">
      <c r="A19" s="2022" t="s">
        <v>2075</v>
      </c>
      <c r="B19" s="2023"/>
      <c r="C19" s="2023"/>
      <c r="D19" s="2023"/>
      <c r="E19" s="2023"/>
      <c r="F19" s="2023"/>
      <c r="G19" s="2023"/>
      <c r="H19" s="2021"/>
      <c r="I19" s="30"/>
      <c r="J19" s="99"/>
      <c r="K19" s="40"/>
      <c r="L19" s="38"/>
      <c r="M19" s="112" t="s">
        <v>333</v>
      </c>
      <c r="P19" s="27"/>
      <c r="Q19" s="27"/>
      <c r="R19" s="27"/>
      <c r="S19" s="31"/>
      <c r="T19" s="2022" t="s">
        <v>2084</v>
      </c>
      <c r="U19" s="2020"/>
      <c r="V19" s="2020"/>
      <c r="W19" s="2021"/>
      <c r="X19" s="2037" t="s">
        <v>2085</v>
      </c>
      <c r="Y19" s="2038"/>
      <c r="Z19" s="2035">
        <v>62650</v>
      </c>
      <c r="AA19" s="203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9" t="s">
        <v>2076</v>
      </c>
      <c r="B21" s="2020"/>
      <c r="C21" s="2020"/>
      <c r="D21" s="2020"/>
      <c r="E21" s="2020"/>
      <c r="F21" s="2020"/>
      <c r="G21" s="2020"/>
      <c r="H21" s="2021"/>
      <c r="I21" s="2045" t="s">
        <v>699</v>
      </c>
      <c r="J21" s="2008"/>
      <c r="K21" s="2008"/>
      <c r="L21" s="2008"/>
      <c r="M21" s="2008"/>
      <c r="N21" s="2008"/>
      <c r="O21" s="2008"/>
      <c r="P21" s="2008"/>
      <c r="Q21" s="2008"/>
      <c r="R21" s="2008"/>
      <c r="S21" s="2009"/>
      <c r="T21" s="1987" t="s">
        <v>2086</v>
      </c>
      <c r="U21" s="1988"/>
      <c r="V21" s="1988"/>
      <c r="W21" s="1988"/>
      <c r="X21" s="2001" t="s">
        <v>2087</v>
      </c>
      <c r="Y21" s="2002"/>
      <c r="Z21" s="2002"/>
      <c r="AA21" s="2003"/>
    </row>
    <row r="22" spans="1:27" ht="13.5" customHeight="1" x14ac:dyDescent="0.2">
      <c r="A22" s="87" t="s">
        <v>552</v>
      </c>
      <c r="B22" s="59"/>
      <c r="C22" s="59"/>
      <c r="D22" s="59"/>
      <c r="E22" s="59"/>
      <c r="F22" s="59"/>
      <c r="G22" s="59"/>
      <c r="H22" s="60"/>
      <c r="I22" s="2046" t="s">
        <v>1504</v>
      </c>
      <c r="J22" s="2047"/>
      <c r="K22" s="2047"/>
      <c r="L22" s="2047"/>
      <c r="M22" s="2047"/>
      <c r="N22" s="2047"/>
      <c r="O22" s="2047"/>
      <c r="P22" s="2047"/>
      <c r="Q22" s="2047"/>
      <c r="R22" s="2047"/>
      <c r="S22" s="2048"/>
      <c r="T22" s="85" t="s">
        <v>1596</v>
      </c>
      <c r="U22" s="51"/>
      <c r="V22" s="72"/>
      <c r="W22" s="51"/>
      <c r="X22" s="160" t="s">
        <v>1385</v>
      </c>
      <c r="Z22" s="45"/>
      <c r="AA22" s="46"/>
    </row>
    <row r="23" spans="1:27" ht="13.5" customHeight="1" x14ac:dyDescent="0.2">
      <c r="A23" s="2042" t="s">
        <v>2077</v>
      </c>
      <c r="B23" s="2043"/>
      <c r="C23" s="2043"/>
      <c r="D23" s="2043"/>
      <c r="E23" s="2043"/>
      <c r="F23" s="2043"/>
      <c r="G23" s="2043"/>
      <c r="H23" s="2044"/>
      <c r="T23" s="1982" t="s">
        <v>2190</v>
      </c>
      <c r="U23" s="1983"/>
      <c r="V23" s="1983"/>
      <c r="W23" s="1983"/>
      <c r="X23" s="1998">
        <v>43422</v>
      </c>
      <c r="Y23" s="1999"/>
      <c r="Z23" s="1999"/>
      <c r="AA23" s="2000"/>
    </row>
    <row r="24" spans="1:27" ht="14.1" customHeight="1" x14ac:dyDescent="0.2">
      <c r="A24" s="88" t="s">
        <v>698</v>
      </c>
      <c r="B24" s="49"/>
      <c r="C24" s="49"/>
      <c r="D24" s="49"/>
      <c r="E24" s="49"/>
      <c r="F24" s="49"/>
      <c r="G24" s="49"/>
      <c r="H24" s="61"/>
      <c r="J24" s="2085">
        <f>IF(B5="x",IF(AUDITCHECK!D29="AFR form Incomplete.","",IF(AUDITCHECK!D29="Deficit reduction plan is required.","School District must complete a deficit reduction plan in the 2018-2019 Budget",)),"")</f>
        <v>0</v>
      </c>
      <c r="K24" s="2085"/>
      <c r="L24" s="2085"/>
      <c r="M24" s="2085"/>
      <c r="N24" s="2085"/>
      <c r="O24" s="2085"/>
      <c r="P24" s="2085"/>
      <c r="Q24" s="2085"/>
      <c r="R24" s="2085"/>
      <c r="S24" s="2086"/>
      <c r="T24" s="105" t="s">
        <v>552</v>
      </c>
      <c r="U24" s="106"/>
      <c r="V24" s="106"/>
      <c r="W24" s="106"/>
      <c r="X24" s="107"/>
      <c r="Y24" s="107"/>
      <c r="Z24" s="107"/>
      <c r="AA24" s="108"/>
    </row>
    <row r="25" spans="1:27" ht="14.1" customHeight="1" x14ac:dyDescent="0.2">
      <c r="A25" s="2019">
        <v>62363</v>
      </c>
      <c r="B25" s="2020"/>
      <c r="C25" s="2020"/>
      <c r="D25" s="2020"/>
      <c r="E25" s="2020"/>
      <c r="F25" s="2020"/>
      <c r="G25" s="2020"/>
      <c r="H25" s="2021"/>
      <c r="I25" s="113"/>
      <c r="J25" s="2087"/>
      <c r="K25" s="2087"/>
      <c r="L25" s="2087"/>
      <c r="M25" s="2087"/>
      <c r="N25" s="2087"/>
      <c r="O25" s="2087"/>
      <c r="P25" s="2087"/>
      <c r="Q25" s="2087"/>
      <c r="R25" s="2087"/>
      <c r="S25" s="2088"/>
      <c r="T25" s="1979" t="s">
        <v>2088</v>
      </c>
      <c r="U25" s="1980"/>
      <c r="V25" s="1980"/>
      <c r="W25" s="1980"/>
      <c r="X25" s="1980"/>
      <c r="Y25" s="1980"/>
      <c r="Z25" s="1980"/>
      <c r="AA25" s="198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8" t="s">
        <v>1591</v>
      </c>
      <c r="J27" s="2050"/>
      <c r="K27" s="2050"/>
      <c r="L27" s="2050"/>
      <c r="M27" s="2050"/>
      <c r="N27" s="2050"/>
      <c r="O27" s="2050"/>
      <c r="P27" s="2050"/>
      <c r="Q27" s="2050"/>
      <c r="R27" s="2050"/>
      <c r="S27" s="205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3"/>
      <c r="Q35" s="2020"/>
      <c r="R35" s="202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52" t="s">
        <v>2078</v>
      </c>
      <c r="B38" s="2053"/>
      <c r="C38" s="2053"/>
      <c r="D38" s="2053"/>
      <c r="E38" s="2053"/>
      <c r="F38" s="2020"/>
      <c r="G38" s="2020"/>
      <c r="H38" s="2021"/>
      <c r="I38" s="2072"/>
      <c r="J38" s="1991"/>
      <c r="K38" s="1991"/>
      <c r="L38" s="1991"/>
      <c r="M38" s="1991"/>
      <c r="N38" s="1991"/>
      <c r="O38" s="1991"/>
      <c r="P38" s="1992"/>
      <c r="Q38" s="1992"/>
      <c r="R38" s="1992"/>
      <c r="S38" s="1993"/>
      <c r="T38" s="1990"/>
      <c r="U38" s="1991"/>
      <c r="V38" s="1991"/>
      <c r="W38" s="1991"/>
      <c r="X38" s="1992"/>
      <c r="Y38" s="1992"/>
      <c r="Z38" s="1992"/>
      <c r="AA38" s="1993"/>
    </row>
    <row r="39" spans="1:27" ht="12" customHeight="1" x14ac:dyDescent="0.2">
      <c r="A39" s="2076" t="s">
        <v>552</v>
      </c>
      <c r="B39" s="2077"/>
      <c r="C39" s="72"/>
      <c r="D39" s="69"/>
      <c r="E39" s="69"/>
      <c r="F39" s="79"/>
      <c r="G39" s="69"/>
      <c r="H39" s="56"/>
      <c r="I39" s="2076" t="s">
        <v>552</v>
      </c>
      <c r="J39" s="2077"/>
      <c r="K39" s="2077"/>
      <c r="L39" s="2077"/>
      <c r="M39" s="2077"/>
      <c r="N39" s="67"/>
      <c r="O39" s="72"/>
      <c r="P39" s="72"/>
      <c r="Q39" s="78"/>
      <c r="R39" s="72"/>
      <c r="S39" s="56"/>
      <c r="T39" s="72" t="s">
        <v>552</v>
      </c>
      <c r="U39" s="51"/>
      <c r="V39" s="72"/>
      <c r="W39" s="50"/>
      <c r="X39" s="78"/>
      <c r="Y39" s="45"/>
      <c r="Z39" s="45"/>
      <c r="AA39" s="46"/>
    </row>
    <row r="40" spans="1:27" ht="13.5" customHeight="1" x14ac:dyDescent="0.2">
      <c r="A40" s="2079" t="s">
        <v>2077</v>
      </c>
      <c r="B40" s="2080"/>
      <c r="C40" s="2081"/>
      <c r="D40" s="2081"/>
      <c r="E40" s="2081"/>
      <c r="F40" s="2082"/>
      <c r="G40" s="2082"/>
      <c r="H40" s="2083"/>
      <c r="I40" s="1994"/>
      <c r="J40" s="1996"/>
      <c r="K40" s="1996"/>
      <c r="L40" s="1996"/>
      <c r="M40" s="1996"/>
      <c r="N40" s="1996"/>
      <c r="O40" s="1996"/>
      <c r="P40" s="1996"/>
      <c r="Q40" s="1996"/>
      <c r="R40" s="1996"/>
      <c r="S40" s="1997"/>
      <c r="T40" s="1994"/>
      <c r="U40" s="1995"/>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9" t="s">
        <v>2079</v>
      </c>
      <c r="B42" s="2070"/>
      <c r="C42" s="2071"/>
      <c r="D42" s="2084" t="s">
        <v>2080</v>
      </c>
      <c r="E42" s="2070"/>
      <c r="F42" s="2070"/>
      <c r="G42" s="2070"/>
      <c r="H42" s="2071"/>
      <c r="I42" s="1989"/>
      <c r="J42" s="1985"/>
      <c r="K42" s="1985"/>
      <c r="L42" s="1985"/>
      <c r="M42" s="1985"/>
      <c r="N42" s="1985"/>
      <c r="O42" s="1986"/>
      <c r="P42" s="1984"/>
      <c r="Q42" s="1985"/>
      <c r="R42" s="1985"/>
      <c r="S42" s="1986"/>
      <c r="T42" s="1989"/>
      <c r="U42" s="1985"/>
      <c r="V42" s="1985"/>
      <c r="W42" s="1986"/>
      <c r="X42" s="1984"/>
      <c r="Y42" s="1985"/>
      <c r="Z42" s="1985"/>
      <c r="AA42" s="198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3"/>
      <c r="B44" s="2074"/>
      <c r="C44" s="2074"/>
      <c r="D44" s="2074"/>
      <c r="E44" s="2074"/>
      <c r="F44" s="2074"/>
      <c r="G44" s="2074"/>
      <c r="H44" s="2075"/>
      <c r="I44" s="2065"/>
      <c r="J44" s="2067"/>
      <c r="K44" s="2067"/>
      <c r="L44" s="2067"/>
      <c r="M44" s="2067"/>
      <c r="N44" s="2067"/>
      <c r="O44" s="2067"/>
      <c r="P44" s="2067"/>
      <c r="Q44" s="2067"/>
      <c r="R44" s="2067"/>
      <c r="S44" s="2068"/>
      <c r="T44" s="2065"/>
      <c r="U44" s="2066"/>
      <c r="V44" s="2066"/>
      <c r="W44" s="2066"/>
      <c r="X44" s="2066"/>
      <c r="Y44" s="2066"/>
      <c r="Z44" s="2067"/>
      <c r="AA44" s="20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7" sqref="A7:D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9" t="s">
        <v>1709</v>
      </c>
    </row>
    <row r="23" spans="1:5" x14ac:dyDescent="0.2">
      <c r="A23" s="168"/>
      <c r="B23" s="162" t="s">
        <v>1964</v>
      </c>
      <c r="D23" s="167" t="s">
        <v>658</v>
      </c>
      <c r="E23" s="1859"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2" t="s">
        <v>1125</v>
      </c>
      <c r="B35" s="2092"/>
      <c r="C35" s="2092"/>
      <c r="D35" s="2092"/>
      <c r="E35" s="209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9" t="s">
        <v>715</v>
      </c>
      <c r="B40" s="2089"/>
      <c r="C40" s="2089"/>
      <c r="D40" s="2089"/>
      <c r="E40" s="2089"/>
    </row>
    <row r="41" spans="1:5" x14ac:dyDescent="0.2">
      <c r="A41" s="2090" t="s">
        <v>1706</v>
      </c>
      <c r="B41" s="2090"/>
      <c r="C41" s="2090"/>
      <c r="D41" s="2090"/>
      <c r="E41" s="2090"/>
    </row>
    <row r="42" spans="1:5" ht="12.75" customHeight="1" x14ac:dyDescent="0.2">
      <c r="A42" s="2091" t="s">
        <v>1080</v>
      </c>
      <c r="B42" s="2091"/>
      <c r="C42" s="2091"/>
      <c r="D42" s="2091"/>
      <c r="E42" s="2091"/>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7" sqref="A7:D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3" t="s">
        <v>1230</v>
      </c>
      <c r="B2" s="2093"/>
      <c r="C2" s="2093"/>
      <c r="D2" s="2093"/>
      <c r="E2" s="2093"/>
      <c r="F2" s="2093"/>
      <c r="G2" s="2093"/>
      <c r="H2" s="2093"/>
      <c r="I2" s="2093"/>
      <c r="J2" s="209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7" t="s">
        <v>1731</v>
      </c>
      <c r="B35" s="2108"/>
      <c r="C35" s="2108"/>
      <c r="D35" s="2108"/>
      <c r="E35" s="2109"/>
      <c r="F35" s="2109"/>
      <c r="G35" s="2109"/>
      <c r="H35" s="2109"/>
      <c r="I35" s="210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7" t="s">
        <v>331</v>
      </c>
      <c r="B47" s="2110"/>
      <c r="C47" s="2110"/>
      <c r="D47" s="2110"/>
      <c r="E47" s="2111"/>
      <c r="F47" s="2111"/>
      <c r="G47" s="2111"/>
      <c r="H47" s="2111"/>
      <c r="I47" s="211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2162</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4"/>
      <c r="C57" s="2115"/>
      <c r="D57" s="2115"/>
      <c r="E57" s="2115"/>
      <c r="F57" s="2115"/>
      <c r="G57" s="2115"/>
      <c r="H57" s="2115"/>
      <c r="I57" s="2115"/>
      <c r="J57" s="2116"/>
    </row>
    <row r="58" spans="1:10" s="181" customFormat="1" x14ac:dyDescent="0.2">
      <c r="A58" s="253"/>
      <c r="B58" s="2117"/>
      <c r="C58" s="2118"/>
      <c r="D58" s="2118"/>
      <c r="E58" s="2118"/>
      <c r="F58" s="2118"/>
      <c r="G58" s="2118"/>
      <c r="H58" s="2118"/>
      <c r="I58" s="2118"/>
      <c r="J58" s="2119"/>
    </row>
    <row r="59" spans="1:10" s="181" customFormat="1" x14ac:dyDescent="0.2">
      <c r="A59" s="253"/>
      <c r="B59" s="2117"/>
      <c r="C59" s="2118"/>
      <c r="D59" s="2118"/>
      <c r="E59" s="2118"/>
      <c r="F59" s="2118"/>
      <c r="G59" s="2118"/>
      <c r="H59" s="2118"/>
      <c r="I59" s="2118"/>
      <c r="J59" s="2119"/>
    </row>
    <row r="60" spans="1:10" s="181" customFormat="1" x14ac:dyDescent="0.2">
      <c r="A60" s="253"/>
      <c r="B60" s="2117"/>
      <c r="C60" s="2118"/>
      <c r="D60" s="2118"/>
      <c r="E60" s="2118"/>
      <c r="F60" s="2118"/>
      <c r="G60" s="2118"/>
      <c r="H60" s="2118"/>
      <c r="I60" s="2118"/>
      <c r="J60" s="2119"/>
    </row>
    <row r="61" spans="1:10" s="181" customFormat="1" x14ac:dyDescent="0.2">
      <c r="A61" s="253"/>
      <c r="B61" s="2117"/>
      <c r="C61" s="2118"/>
      <c r="D61" s="2118"/>
      <c r="E61" s="2118"/>
      <c r="F61" s="2118"/>
      <c r="G61" s="2118"/>
      <c r="H61" s="2118"/>
      <c r="I61" s="2118"/>
      <c r="J61" s="2119"/>
    </row>
    <row r="62" spans="1:10" s="181" customFormat="1" x14ac:dyDescent="0.2">
      <c r="A62" s="253"/>
      <c r="B62" s="2117"/>
      <c r="C62" s="2118"/>
      <c r="D62" s="2118"/>
      <c r="E62" s="2118"/>
      <c r="F62" s="2118"/>
      <c r="G62" s="2118"/>
      <c r="H62" s="2118"/>
      <c r="I62" s="2118"/>
      <c r="J62" s="2119"/>
    </row>
    <row r="63" spans="1:10" s="181" customFormat="1" x14ac:dyDescent="0.2">
      <c r="A63" s="253"/>
      <c r="B63" s="2117"/>
      <c r="C63" s="2118"/>
      <c r="D63" s="2118"/>
      <c r="E63" s="2118"/>
      <c r="F63" s="2118"/>
      <c r="G63" s="2118"/>
      <c r="H63" s="2118"/>
      <c r="I63" s="2118"/>
      <c r="J63" s="2119"/>
    </row>
    <row r="64" spans="1:10" s="181" customFormat="1" x14ac:dyDescent="0.2">
      <c r="A64" s="253"/>
      <c r="B64" s="2117"/>
      <c r="C64" s="2118"/>
      <c r="D64" s="2118"/>
      <c r="E64" s="2118"/>
      <c r="F64" s="2118"/>
      <c r="G64" s="2118"/>
      <c r="H64" s="2118"/>
      <c r="I64" s="2118"/>
      <c r="J64" s="2119"/>
    </row>
    <row r="65" spans="1:10" s="181" customFormat="1" x14ac:dyDescent="0.2">
      <c r="A65" s="253"/>
      <c r="B65" s="2117"/>
      <c r="C65" s="2118"/>
      <c r="D65" s="2118"/>
      <c r="E65" s="2118"/>
      <c r="F65" s="2118"/>
      <c r="G65" s="2118"/>
      <c r="H65" s="2118"/>
      <c r="I65" s="2118"/>
      <c r="J65" s="2119"/>
    </row>
    <row r="66" spans="1:10" s="181" customFormat="1" x14ac:dyDescent="0.2">
      <c r="A66" s="253"/>
      <c r="B66" s="2117"/>
      <c r="C66" s="2118"/>
      <c r="D66" s="2118"/>
      <c r="E66" s="2118"/>
      <c r="F66" s="2118"/>
      <c r="G66" s="2118"/>
      <c r="H66" s="2118"/>
      <c r="I66" s="2118"/>
      <c r="J66" s="2119"/>
    </row>
    <row r="67" spans="1:10" s="181" customFormat="1" ht="9" customHeight="1" x14ac:dyDescent="0.2">
      <c r="A67" s="254"/>
      <c r="B67" s="2120"/>
      <c r="C67" s="2121"/>
      <c r="D67" s="2121"/>
      <c r="E67" s="2121"/>
      <c r="F67" s="2121"/>
      <c r="G67" s="2121"/>
      <c r="H67" s="2121"/>
      <c r="I67" s="2121"/>
      <c r="J67" s="212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7" t="s">
        <v>1390</v>
      </c>
      <c r="B70" s="2110"/>
      <c r="C70" s="2110"/>
      <c r="D70" s="2110"/>
      <c r="E70" s="2111"/>
      <c r="F70" s="2111"/>
      <c r="G70" s="2111"/>
      <c r="H70" s="2111"/>
      <c r="I70" s="211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2" t="s">
        <v>1387</v>
      </c>
      <c r="B83" s="2112"/>
      <c r="C83" s="2112"/>
      <c r="D83" s="211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4"/>
      <c r="C102" s="2095"/>
      <c r="D102" s="2095"/>
      <c r="E102" s="2095"/>
      <c r="F102" s="2095"/>
      <c r="G102" s="2095"/>
      <c r="H102" s="2095"/>
      <c r="I102" s="2096"/>
    </row>
    <row r="103" spans="1:9" s="181" customFormat="1" ht="11.25" customHeight="1" x14ac:dyDescent="0.2">
      <c r="A103" s="316"/>
      <c r="B103" s="2097"/>
      <c r="C103" s="2098"/>
      <c r="D103" s="2098"/>
      <c r="E103" s="2098"/>
      <c r="F103" s="2098"/>
      <c r="G103" s="2098"/>
      <c r="H103" s="2098"/>
      <c r="I103" s="2099"/>
    </row>
    <row r="104" spans="1:9" s="181" customFormat="1" ht="11.25" customHeight="1" x14ac:dyDescent="0.2">
      <c r="A104" s="316"/>
      <c r="B104" s="2097"/>
      <c r="C104" s="2098"/>
      <c r="D104" s="2098"/>
      <c r="E104" s="2098"/>
      <c r="F104" s="2098"/>
      <c r="G104" s="2098"/>
      <c r="H104" s="2098"/>
      <c r="I104" s="2099"/>
    </row>
    <row r="105" spans="1:9" s="181" customFormat="1" x14ac:dyDescent="0.2">
      <c r="A105" s="316"/>
      <c r="B105" s="2097"/>
      <c r="C105" s="2098"/>
      <c r="D105" s="2098"/>
      <c r="E105" s="2098"/>
      <c r="F105" s="2098"/>
      <c r="G105" s="2098"/>
      <c r="H105" s="2098"/>
      <c r="I105" s="2099"/>
    </row>
    <row r="106" spans="1:9" s="181" customFormat="1" ht="11.25" customHeight="1" x14ac:dyDescent="0.2">
      <c r="A106" s="316"/>
      <c r="B106" s="2097"/>
      <c r="C106" s="2098"/>
      <c r="D106" s="2098"/>
      <c r="E106" s="2098"/>
      <c r="F106" s="2098"/>
      <c r="G106" s="2098"/>
      <c r="H106" s="2098"/>
      <c r="I106" s="2099"/>
    </row>
    <row r="107" spans="1:9" s="181" customFormat="1" ht="11.25" customHeight="1" x14ac:dyDescent="0.2">
      <c r="A107" s="316"/>
      <c r="B107" s="2097"/>
      <c r="C107" s="2098"/>
      <c r="D107" s="2098"/>
      <c r="E107" s="2098"/>
      <c r="F107" s="2098"/>
      <c r="G107" s="2098"/>
      <c r="H107" s="2098"/>
      <c r="I107" s="2099"/>
    </row>
    <row r="108" spans="1:9" s="181" customFormat="1" ht="11.25" customHeight="1" x14ac:dyDescent="0.2">
      <c r="A108" s="316"/>
      <c r="B108" s="2097"/>
      <c r="C108" s="2098"/>
      <c r="D108" s="2098"/>
      <c r="E108" s="2098"/>
      <c r="F108" s="2098"/>
      <c r="G108" s="2098"/>
      <c r="H108" s="2098"/>
      <c r="I108" s="2099"/>
    </row>
    <row r="109" spans="1:9" s="181" customFormat="1" ht="11.25" customHeight="1" x14ac:dyDescent="0.2">
      <c r="A109" s="316"/>
      <c r="B109" s="2097"/>
      <c r="C109" s="2098"/>
      <c r="D109" s="2098"/>
      <c r="E109" s="2098"/>
      <c r="F109" s="2098"/>
      <c r="G109" s="2098"/>
      <c r="H109" s="2098"/>
      <c r="I109" s="2099"/>
    </row>
    <row r="110" spans="1:9" s="181" customFormat="1" ht="11.25" customHeight="1" x14ac:dyDescent="0.2">
      <c r="A110" s="316"/>
      <c r="B110" s="2097"/>
      <c r="C110" s="2098"/>
      <c r="D110" s="2098"/>
      <c r="E110" s="2098"/>
      <c r="F110" s="2098"/>
      <c r="G110" s="2098"/>
      <c r="H110" s="2098"/>
      <c r="I110" s="2099"/>
    </row>
    <row r="111" spans="1:9" s="181" customFormat="1" ht="11.25" customHeight="1" x14ac:dyDescent="0.2">
      <c r="A111" s="316"/>
      <c r="B111" s="2097"/>
      <c r="C111" s="2098"/>
      <c r="D111" s="2098"/>
      <c r="E111" s="2098"/>
      <c r="F111" s="2098"/>
      <c r="G111" s="2098"/>
      <c r="H111" s="2098"/>
      <c r="I111" s="2099"/>
    </row>
    <row r="112" spans="1:9" s="181" customFormat="1" ht="11.25" customHeight="1" x14ac:dyDescent="0.2">
      <c r="A112" s="316"/>
      <c r="B112" s="2100"/>
      <c r="C112" s="2101"/>
      <c r="D112" s="2101"/>
      <c r="E112" s="2101"/>
      <c r="F112" s="2101"/>
      <c r="G112" s="2101"/>
      <c r="H112" s="2101"/>
      <c r="I112" s="210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3" t="s">
        <v>2170</v>
      </c>
      <c r="D114" s="210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4" t="s">
        <v>1397</v>
      </c>
      <c r="D117" s="2105"/>
      <c r="E117" s="2106"/>
      <c r="F117" s="2106"/>
      <c r="G117" s="2106"/>
      <c r="H117" s="210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2017</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7" sqref="A7:D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3" t="s">
        <v>404</v>
      </c>
      <c r="B1" s="2123"/>
      <c r="C1" s="2123"/>
      <c r="D1" s="2123"/>
      <c r="E1" s="2123"/>
      <c r="F1" s="2123"/>
      <c r="G1" s="2123"/>
      <c r="H1" s="2123"/>
      <c r="I1" s="2123"/>
      <c r="J1" s="2123"/>
      <c r="K1" s="2123"/>
      <c r="L1" s="2123"/>
      <c r="M1" s="212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127089900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1.8028700000000002E-2</v>
      </c>
      <c r="E10" s="356" t="s">
        <v>1062</v>
      </c>
      <c r="F10" s="355">
        <v>4.8983999999999998E-3</v>
      </c>
      <c r="G10" s="356" t="s">
        <v>1062</v>
      </c>
      <c r="H10" s="355">
        <v>1.9594E-3</v>
      </c>
      <c r="I10" s="356" t="s">
        <v>1063</v>
      </c>
      <c r="J10" s="1754">
        <f>ROUND(D10+F10+H10,5)</f>
        <v>2.4889999999999999E-2</v>
      </c>
      <c r="K10" s="222"/>
      <c r="L10" s="355">
        <v>4.8979999999999998E-4</v>
      </c>
      <c r="M10" s="222"/>
    </row>
    <row r="11" spans="1:14" ht="7.5" customHeight="1" x14ac:dyDescent="0.2">
      <c r="B11" s="222"/>
      <c r="C11" s="222"/>
      <c r="D11" s="2133" t="str">
        <f>IF(SUM(J10)&lt;=0.0999999,"","Enter the Tax Rates by moving the decimal two places to the left.")</f>
        <v/>
      </c>
      <c r="E11" s="2134"/>
      <c r="F11" s="2134"/>
      <c r="G11" s="2134"/>
      <c r="H11" s="2134"/>
      <c r="I11" s="2134"/>
      <c r="J11" s="213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11546423</v>
      </c>
      <c r="E16" s="356"/>
      <c r="F16" s="1755">
        <f>SUM('Acct Summary 7-8'!C17,'Acct Summary 7-8'!D17,'Acct Summary 7-8'!F17)</f>
        <v>10926089</v>
      </c>
      <c r="G16" s="356"/>
      <c r="H16" s="1755">
        <f>SUM(D16-F16)</f>
        <v>620334</v>
      </c>
      <c r="I16" s="222"/>
      <c r="J16" s="1755">
        <f>SUM('Acct Summary 7-8'!C81,'Acct Summary 7-8'!D81,'Acct Summary 7-8'!F81,'Acct Summary 7-8'!I81)</f>
        <v>3197185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17538406.200000003</v>
      </c>
      <c r="I31" s="368"/>
      <c r="J31" s="222"/>
      <c r="K31" s="222"/>
      <c r="L31" s="222"/>
      <c r="M31" s="222"/>
    </row>
    <row r="32" spans="1:13" ht="13.35" customHeight="1" x14ac:dyDescent="0.2">
      <c r="B32" s="369" t="s">
        <v>2162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4424695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4"/>
      <c r="C54" s="2125"/>
      <c r="D54" s="2125"/>
      <c r="E54" s="2125"/>
      <c r="F54" s="2125"/>
      <c r="G54" s="2125"/>
      <c r="H54" s="2125"/>
      <c r="I54" s="2125"/>
      <c r="J54" s="2125"/>
      <c r="K54" s="2125"/>
      <c r="L54" s="2126"/>
      <c r="M54" s="380"/>
    </row>
    <row r="55" spans="1:13" ht="12.75" customHeight="1" x14ac:dyDescent="0.2">
      <c r="B55" s="2127"/>
      <c r="C55" s="2128"/>
      <c r="D55" s="2128"/>
      <c r="E55" s="2128"/>
      <c r="F55" s="2128"/>
      <c r="G55" s="2128"/>
      <c r="H55" s="2128"/>
      <c r="I55" s="2128"/>
      <c r="J55" s="2128"/>
      <c r="K55" s="2128"/>
      <c r="L55" s="2129"/>
      <c r="M55" s="380"/>
    </row>
    <row r="56" spans="1:13" ht="12.75" customHeight="1" x14ac:dyDescent="0.2">
      <c r="B56" s="2127"/>
      <c r="C56" s="2128"/>
      <c r="D56" s="2128"/>
      <c r="E56" s="2128"/>
      <c r="F56" s="2128"/>
      <c r="G56" s="2128"/>
      <c r="H56" s="2128"/>
      <c r="I56" s="2128"/>
      <c r="J56" s="2128"/>
      <c r="K56" s="2128"/>
      <c r="L56" s="2129"/>
      <c r="M56" s="222"/>
    </row>
    <row r="57" spans="1:13" ht="12.75" customHeight="1" x14ac:dyDescent="0.2">
      <c r="B57" s="2127"/>
      <c r="C57" s="2128"/>
      <c r="D57" s="2128"/>
      <c r="E57" s="2128"/>
      <c r="F57" s="2128"/>
      <c r="G57" s="2128"/>
      <c r="H57" s="2128"/>
      <c r="I57" s="2128"/>
      <c r="J57" s="2128"/>
      <c r="K57" s="2128"/>
      <c r="L57" s="2129"/>
      <c r="M57" s="222"/>
    </row>
    <row r="58" spans="1:13" x14ac:dyDescent="0.2">
      <c r="B58" s="2130"/>
      <c r="C58" s="2131"/>
      <c r="D58" s="2131"/>
      <c r="E58" s="2131"/>
      <c r="F58" s="2131"/>
      <c r="G58" s="2131"/>
      <c r="H58" s="2131"/>
      <c r="I58" s="2131"/>
      <c r="J58" s="2131"/>
      <c r="K58" s="2131"/>
      <c r="L58" s="213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5"/>
      <c r="D61" s="213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A7" sqref="A7:D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8"/>
      <c r="B1" s="2139"/>
      <c r="C1" s="2139"/>
      <c r="D1" s="384"/>
      <c r="E1" s="384"/>
      <c r="F1" s="384"/>
      <c r="G1" s="384"/>
      <c r="H1" s="384"/>
      <c r="I1" s="384"/>
      <c r="J1" s="384"/>
      <c r="K1" s="384"/>
      <c r="L1" s="384"/>
      <c r="M1" s="384"/>
      <c r="N1" s="384"/>
      <c r="O1" s="2138"/>
      <c r="P1" s="2139"/>
      <c r="Q1" s="2139"/>
    </row>
    <row r="2" spans="1:18" ht="15" x14ac:dyDescent="0.2">
      <c r="A2" s="2142" t="s">
        <v>577</v>
      </c>
      <c r="B2" s="2142"/>
      <c r="C2" s="2142"/>
      <c r="D2" s="2142"/>
      <c r="E2" s="2142"/>
      <c r="F2" s="2142"/>
      <c r="G2" s="2142"/>
      <c r="H2" s="2142"/>
      <c r="I2" s="2142"/>
      <c r="J2" s="2142"/>
      <c r="K2" s="2142"/>
      <c r="L2" s="2142"/>
      <c r="M2" s="2142"/>
      <c r="N2" s="2142"/>
      <c r="O2" s="2142"/>
      <c r="P2" s="2142"/>
      <c r="Q2" s="2142"/>
      <c r="R2" s="2142"/>
    </row>
    <row r="3" spans="1:18" ht="12.75" x14ac:dyDescent="0.2">
      <c r="A3" s="2143" t="s">
        <v>1480</v>
      </c>
      <c r="B3" s="2143"/>
      <c r="C3" s="2143"/>
      <c r="D3" s="2143"/>
      <c r="E3" s="2143"/>
      <c r="F3" s="2143"/>
      <c r="G3" s="2143"/>
      <c r="H3" s="2143"/>
      <c r="I3" s="2143"/>
      <c r="J3" s="2143"/>
      <c r="K3" s="2143"/>
      <c r="L3" s="2143"/>
      <c r="M3" s="2143"/>
      <c r="N3" s="2143"/>
      <c r="O3" s="2143"/>
      <c r="P3" s="2143"/>
      <c r="Q3" s="2143"/>
      <c r="R3" s="2143"/>
    </row>
    <row r="4" spans="1:18" x14ac:dyDescent="0.2">
      <c r="A4" s="2144" t="s">
        <v>1635</v>
      </c>
      <c r="B4" s="2144"/>
      <c r="C4" s="2144"/>
      <c r="D4" s="2144"/>
      <c r="E4" s="2144"/>
      <c r="F4" s="2144"/>
      <c r="G4" s="2144"/>
      <c r="H4" s="2144"/>
      <c r="I4" s="2144"/>
      <c r="J4" s="2144"/>
      <c r="K4" s="2144"/>
      <c r="L4" s="2144"/>
      <c r="M4" s="2144"/>
      <c r="N4" s="2144"/>
      <c r="O4" s="2144"/>
      <c r="P4" s="2144"/>
      <c r="Q4" s="2144"/>
      <c r="R4" s="214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Pikeland CUSD 10</v>
      </c>
      <c r="E7" s="391"/>
      <c r="G7" s="252"/>
      <c r="H7" s="387"/>
      <c r="I7" s="387"/>
      <c r="J7" s="387"/>
      <c r="K7" s="387"/>
      <c r="L7" s="329"/>
      <c r="M7" s="329"/>
      <c r="N7" s="329"/>
      <c r="O7" s="329"/>
      <c r="P7" s="329"/>
    </row>
    <row r="8" spans="1:18" ht="12.75" x14ac:dyDescent="0.2">
      <c r="A8" s="329"/>
      <c r="B8" s="329"/>
      <c r="C8" s="389" t="s">
        <v>1187</v>
      </c>
      <c r="D8" s="392">
        <f>COVER!A13</f>
        <v>1075010026</v>
      </c>
      <c r="E8" s="393"/>
      <c r="G8" s="329"/>
      <c r="H8" s="329"/>
      <c r="I8" s="329"/>
      <c r="J8" s="329"/>
      <c r="K8" s="329"/>
      <c r="L8" s="329"/>
      <c r="M8" s="329"/>
      <c r="N8" s="329"/>
      <c r="O8" s="329"/>
      <c r="P8" s="329"/>
    </row>
    <row r="9" spans="1:18" ht="12.75" x14ac:dyDescent="0.2">
      <c r="A9" s="329"/>
      <c r="B9" s="329"/>
      <c r="C9" s="389" t="s">
        <v>737</v>
      </c>
      <c r="D9" s="394" t="str">
        <f>COVER!A15</f>
        <v>Pike, Calhoun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3197185</v>
      </c>
      <c r="I12" s="404"/>
      <c r="J12" s="404"/>
      <c r="K12" s="405">
        <f>TRUNC((H12/H13*100000),5)/100000</f>
        <v>0.27828127689999999</v>
      </c>
      <c r="L12" s="406"/>
      <c r="M12" s="360" t="s">
        <v>1206</v>
      </c>
      <c r="N12" s="360"/>
      <c r="O12" s="407">
        <v>0.35</v>
      </c>
      <c r="P12" s="218"/>
      <c r="Q12" s="218"/>
    </row>
    <row r="13" spans="1:18" s="408" customFormat="1" ht="12.75" x14ac:dyDescent="0.2">
      <c r="A13" s="218"/>
      <c r="B13" s="401"/>
      <c r="C13" s="2140" t="s">
        <v>1391</v>
      </c>
      <c r="D13" s="2141"/>
      <c r="E13" s="218"/>
      <c r="F13" s="409" t="s">
        <v>826</v>
      </c>
      <c r="G13" s="402"/>
      <c r="H13" s="403">
        <f>SUM('Acct Summary 7-8'!C8+'Acct Summary 7-8'!D8+'Acct Summary 7-8'!F8+'Acct Summary 7-8'!I8)+H14</f>
        <v>11489041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-57382</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10926089</v>
      </c>
      <c r="I17" s="404"/>
      <c r="J17" s="416"/>
      <c r="K17" s="405">
        <f>TRUNC((H17/H18*100000),5)/100000</f>
        <v>0.95100095819999997</v>
      </c>
      <c r="L17" s="406"/>
      <c r="M17" s="417" t="s">
        <v>1233</v>
      </c>
      <c r="O17" s="418" t="str">
        <f>IF(AND(O16="2", J20 &gt; 2),"1",IF(AND(O16 = "1", J20 &gt; 2),"2",IF(AND(O16="1", J20 &gt;1),"1","0")))</f>
        <v>0</v>
      </c>
      <c r="P17" s="218"/>
    </row>
    <row r="18" spans="1:18" s="408" customFormat="1" ht="11.25" x14ac:dyDescent="0.2">
      <c r="A18" s="218"/>
      <c r="B18" s="401"/>
      <c r="C18" s="2140" t="s">
        <v>1384</v>
      </c>
      <c r="D18" s="2141"/>
      <c r="E18" s="218"/>
      <c r="F18" s="419" t="s">
        <v>827</v>
      </c>
      <c r="G18" s="402"/>
      <c r="H18" s="403">
        <f>SUM('Acct Summary 7-8'!C8+'Acct Summary 7-8'!D8+'Acct Summary 7-8'!F8+'Acct Summary 7-8'!I8)+H19</f>
        <v>11489041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-57382</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37" t="s">
        <v>1479</v>
      </c>
      <c r="D24" s="2137"/>
      <c r="E24" s="218"/>
      <c r="F24" s="218" t="s">
        <v>465</v>
      </c>
      <c r="G24" s="402"/>
      <c r="H24" s="403">
        <f>SUM('Assets-Liab 5-6'!C4+'Assets-Liab 5-6'!D4+'Assets-Liab 5-6'!F4+'Assets-Liab 5-6'!I4+'Assets-Liab 5-6'!C5+'Assets-Liab 5-6'!D5+'Assets-Liab 5-6'!F5+'Assets-Liab 5-6'!I5)</f>
        <v>3195742</v>
      </c>
      <c r="I24" s="422"/>
      <c r="J24" s="422"/>
      <c r="K24" s="423">
        <f>TRUNC(((H24/H25*100000)/100000),2)</f>
        <v>105.29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30350.247220000001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2688777.4693499999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4424695</v>
      </c>
      <c r="I32" s="420"/>
      <c r="J32" s="420"/>
      <c r="K32" s="423">
        <f>TRUNC(100-((((H32/H33*100))*100)/100),2)</f>
        <v>74.77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17538406.200000003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5" activePane="bottomLeft" state="frozen"/>
      <selection activeCell="A7" sqref="A7:D7"/>
      <selection pane="bottomLeft" activeCell="A7" sqref="A7:D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7" t="s">
        <v>1030</v>
      </c>
      <c r="B3" s="2148"/>
      <c r="C3" s="1581"/>
      <c r="D3" s="1582"/>
      <c r="E3" s="1582"/>
      <c r="F3" s="1582"/>
      <c r="G3" s="1582"/>
      <c r="H3" s="1582"/>
      <c r="I3" s="1582"/>
      <c r="J3" s="1582"/>
      <c r="K3" s="1582"/>
      <c r="L3" s="1582"/>
      <c r="M3" s="1583"/>
      <c r="N3" s="1584"/>
    </row>
    <row r="4" spans="1:14" ht="13.5" customHeight="1" x14ac:dyDescent="0.2">
      <c r="A4" s="463" t="s">
        <v>1750</v>
      </c>
      <c r="B4" s="464"/>
      <c r="C4" s="465">
        <v>1478105</v>
      </c>
      <c r="D4" s="466">
        <v>560321</v>
      </c>
      <c r="E4" s="466">
        <v>435732</v>
      </c>
      <c r="F4" s="466">
        <v>311067</v>
      </c>
      <c r="G4" s="466">
        <v>152616</v>
      </c>
      <c r="H4" s="466">
        <v>147437</v>
      </c>
      <c r="I4" s="466">
        <v>138953</v>
      </c>
      <c r="J4" s="467">
        <v>209114</v>
      </c>
      <c r="K4" s="466">
        <v>440685</v>
      </c>
      <c r="L4" s="466">
        <v>384820</v>
      </c>
      <c r="M4" s="468"/>
      <c r="N4" s="469"/>
    </row>
    <row r="5" spans="1:14" x14ac:dyDescent="0.2">
      <c r="A5" s="463" t="s">
        <v>1049</v>
      </c>
      <c r="B5" s="470">
        <v>120</v>
      </c>
      <c r="C5" s="465">
        <v>400000</v>
      </c>
      <c r="D5" s="466">
        <v>106902</v>
      </c>
      <c r="E5" s="466">
        <v>255046</v>
      </c>
      <c r="F5" s="466"/>
      <c r="G5" s="466"/>
      <c r="H5" s="466"/>
      <c r="I5" s="466">
        <v>200394</v>
      </c>
      <c r="J5" s="467"/>
      <c r="K5" s="471"/>
      <c r="L5" s="472">
        <v>121718</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1443</v>
      </c>
      <c r="D12" s="466"/>
      <c r="E12" s="466"/>
      <c r="F12" s="466"/>
      <c r="G12" s="466"/>
      <c r="H12" s="466"/>
      <c r="I12" s="466"/>
      <c r="J12" s="467"/>
      <c r="K12" s="466"/>
      <c r="L12" s="466"/>
      <c r="M12" s="469"/>
      <c r="N12" s="469"/>
    </row>
    <row r="13" spans="1:14" ht="13.5" customHeight="1" thickBot="1" x14ac:dyDescent="0.25">
      <c r="A13" s="1758" t="s">
        <v>665</v>
      </c>
      <c r="B13" s="1731"/>
      <c r="C13" s="1759">
        <f>SUM(C4:C12)</f>
        <v>1879548</v>
      </c>
      <c r="D13" s="1759">
        <f t="shared" ref="D13:L13" si="0">SUM(D4:D12)</f>
        <v>667223</v>
      </c>
      <c r="E13" s="1759">
        <f t="shared" si="0"/>
        <v>690778</v>
      </c>
      <c r="F13" s="1759">
        <f t="shared" si="0"/>
        <v>311067</v>
      </c>
      <c r="G13" s="1759">
        <f t="shared" si="0"/>
        <v>152616</v>
      </c>
      <c r="H13" s="1759">
        <f t="shared" si="0"/>
        <v>147437</v>
      </c>
      <c r="I13" s="1759">
        <f t="shared" si="0"/>
        <v>339347</v>
      </c>
      <c r="J13" s="1759">
        <f t="shared" si="0"/>
        <v>209114</v>
      </c>
      <c r="K13" s="1759">
        <f t="shared" si="0"/>
        <v>440685</v>
      </c>
      <c r="L13" s="1759">
        <f t="shared" si="0"/>
        <v>506538</v>
      </c>
      <c r="M13" s="468"/>
      <c r="N13" s="469"/>
    </row>
    <row r="14" spans="1:14" ht="18" customHeight="1" thickTop="1" x14ac:dyDescent="0.2">
      <c r="A14" s="2149" t="s">
        <v>149</v>
      </c>
      <c r="B14" s="215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250735</v>
      </c>
      <c r="N16" s="484"/>
    </row>
    <row r="17" spans="1:14" s="485" customFormat="1" ht="12.75" customHeight="1" x14ac:dyDescent="0.2">
      <c r="A17" s="482" t="s">
        <v>1470</v>
      </c>
      <c r="B17" s="483">
        <v>230</v>
      </c>
      <c r="C17" s="477"/>
      <c r="D17" s="477"/>
      <c r="E17" s="477"/>
      <c r="F17" s="477"/>
      <c r="G17" s="477"/>
      <c r="H17" s="477"/>
      <c r="I17" s="477"/>
      <c r="J17" s="477"/>
      <c r="K17" s="477"/>
      <c r="L17" s="477"/>
      <c r="M17" s="467">
        <v>24127100</v>
      </c>
      <c r="N17" s="484"/>
    </row>
    <row r="18" spans="1:14" s="485" customFormat="1" ht="12.75" customHeight="1" x14ac:dyDescent="0.2">
      <c r="A18" s="482" t="s">
        <v>1471</v>
      </c>
      <c r="B18" s="483">
        <v>240</v>
      </c>
      <c r="C18" s="477"/>
      <c r="D18" s="477"/>
      <c r="E18" s="477"/>
      <c r="F18" s="477"/>
      <c r="G18" s="477"/>
      <c r="H18" s="477"/>
      <c r="I18" s="477"/>
      <c r="J18" s="477"/>
      <c r="K18" s="477"/>
      <c r="L18" s="477"/>
      <c r="M18" s="467">
        <v>929850</v>
      </c>
      <c r="N18" s="484"/>
    </row>
    <row r="19" spans="1:14" s="485" customFormat="1" ht="12.75" customHeight="1" x14ac:dyDescent="0.2">
      <c r="A19" s="482" t="s">
        <v>1472</v>
      </c>
      <c r="B19" s="483">
        <v>250</v>
      </c>
      <c r="C19" s="477"/>
      <c r="D19" s="477"/>
      <c r="E19" s="477"/>
      <c r="F19" s="477"/>
      <c r="G19" s="477"/>
      <c r="H19" s="477"/>
      <c r="I19" s="477"/>
      <c r="J19" s="477"/>
      <c r="K19" s="477"/>
      <c r="L19" s="477"/>
      <c r="M19" s="467">
        <v>2971624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690778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3733917</v>
      </c>
    </row>
    <row r="23" spans="1:14" ht="13.5" customHeight="1" thickBot="1" x14ac:dyDescent="0.25">
      <c r="A23" s="1758" t="s">
        <v>664</v>
      </c>
      <c r="B23" s="1763"/>
      <c r="C23" s="468"/>
      <c r="D23" s="468"/>
      <c r="E23" s="468"/>
      <c r="F23" s="468"/>
      <c r="G23" s="468"/>
      <c r="H23" s="468"/>
      <c r="I23" s="468"/>
      <c r="J23" s="468"/>
      <c r="K23" s="468"/>
      <c r="L23" s="468"/>
      <c r="M23" s="1710">
        <f>SUM(M15:M22)</f>
        <v>28279309</v>
      </c>
      <c r="N23" s="1710">
        <f>SUM(N21:N22)</f>
        <v>4424695</v>
      </c>
    </row>
    <row r="24" spans="1:14" ht="18" customHeight="1" thickTop="1" x14ac:dyDescent="0.2">
      <c r="A24" s="2151" t="s">
        <v>619</v>
      </c>
      <c r="B24" s="215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506538</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506538</v>
      </c>
      <c r="M34" s="468"/>
      <c r="N34" s="480"/>
    </row>
    <row r="35" spans="1:14" ht="18" customHeight="1" thickTop="1" x14ac:dyDescent="0.2">
      <c r="A35" s="2153" t="s">
        <v>550</v>
      </c>
      <c r="B35" s="215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4424695</v>
      </c>
    </row>
    <row r="37" spans="1:14" ht="13.5" thickBot="1" x14ac:dyDescent="0.25">
      <c r="A37" s="1758" t="s">
        <v>674</v>
      </c>
      <c r="B37" s="1763"/>
      <c r="C37" s="477"/>
      <c r="D37" s="477"/>
      <c r="E37" s="477"/>
      <c r="F37" s="477"/>
      <c r="G37" s="477"/>
      <c r="H37" s="477"/>
      <c r="I37" s="477"/>
      <c r="J37" s="477"/>
      <c r="K37" s="477"/>
      <c r="L37" s="480"/>
      <c r="M37" s="468"/>
      <c r="N37" s="1710">
        <f>SUM(N36:N36)</f>
        <v>4424695</v>
      </c>
    </row>
    <row r="38" spans="1:14" s="329" customFormat="1" ht="13.5" customHeight="1" thickTop="1" x14ac:dyDescent="0.2">
      <c r="A38" s="496" t="s">
        <v>440</v>
      </c>
      <c r="B38" s="483">
        <v>714</v>
      </c>
      <c r="C38" s="466">
        <v>72493</v>
      </c>
      <c r="D38" s="466">
        <v>76289</v>
      </c>
      <c r="E38" s="466"/>
      <c r="F38" s="466"/>
      <c r="G38" s="466">
        <v>13346</v>
      </c>
      <c r="H38" s="466">
        <v>16466</v>
      </c>
      <c r="I38" s="466"/>
      <c r="J38" s="467"/>
      <c r="K38" s="466"/>
      <c r="L38" s="481"/>
      <c r="M38" s="497"/>
      <c r="N38" s="497"/>
    </row>
    <row r="39" spans="1:14" s="329" customFormat="1" ht="13.5" customHeight="1" x14ac:dyDescent="0.2">
      <c r="A39" s="496" t="s">
        <v>360</v>
      </c>
      <c r="B39" s="483">
        <v>730</v>
      </c>
      <c r="C39" s="466">
        <v>1807055</v>
      </c>
      <c r="D39" s="466">
        <v>590934</v>
      </c>
      <c r="E39" s="466">
        <v>690778</v>
      </c>
      <c r="F39" s="466">
        <v>311067</v>
      </c>
      <c r="G39" s="466">
        <v>139270</v>
      </c>
      <c r="H39" s="466">
        <v>130971</v>
      </c>
      <c r="I39" s="466">
        <v>339347</v>
      </c>
      <c r="J39" s="467">
        <v>209114</v>
      </c>
      <c r="K39" s="466">
        <v>440685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28279309</v>
      </c>
      <c r="N40" s="497"/>
    </row>
    <row r="41" spans="1:14" ht="13.5" customHeight="1" thickBot="1" x14ac:dyDescent="0.25">
      <c r="A41" s="1758" t="s">
        <v>676</v>
      </c>
      <c r="B41" s="1728"/>
      <c r="C41" s="1710">
        <f>(SUM(C34,C37,C38,C39))</f>
        <v>1879548</v>
      </c>
      <c r="D41" s="1710">
        <f t="shared" ref="D41:L41" si="2">SUM(D34,D37,D38:D39)</f>
        <v>667223</v>
      </c>
      <c r="E41" s="1710">
        <f t="shared" si="2"/>
        <v>690778</v>
      </c>
      <c r="F41" s="1710">
        <f t="shared" si="2"/>
        <v>311067</v>
      </c>
      <c r="G41" s="1710">
        <f t="shared" si="2"/>
        <v>152616</v>
      </c>
      <c r="H41" s="1710">
        <f t="shared" si="2"/>
        <v>147437</v>
      </c>
      <c r="I41" s="1710">
        <f t="shared" si="2"/>
        <v>339347</v>
      </c>
      <c r="J41" s="1710">
        <f t="shared" si="2"/>
        <v>209114</v>
      </c>
      <c r="K41" s="1710">
        <f t="shared" si="2"/>
        <v>440685</v>
      </c>
      <c r="L41" s="1710">
        <f t="shared" si="2"/>
        <v>506538</v>
      </c>
      <c r="M41" s="1710">
        <f>SUM(M40)</f>
        <v>28279309</v>
      </c>
      <c r="N41" s="1710">
        <f>SUM(N37)</f>
        <v>4424695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3" activePane="bottomLeft" state="frozenSplit"/>
      <selection activeCell="A7" sqref="A7:D7"/>
      <selection pane="bottomLeft" activeCell="A7" sqref="A7:D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5" t="s">
        <v>1237</v>
      </c>
      <c r="B3" s="2176"/>
      <c r="C3" s="1595"/>
      <c r="D3" s="1596"/>
      <c r="E3" s="1596"/>
      <c r="F3" s="1596"/>
      <c r="G3" s="1596"/>
      <c r="H3" s="1596"/>
      <c r="I3" s="1596"/>
      <c r="J3" s="1596"/>
      <c r="K3" s="1597"/>
      <c r="L3" s="506"/>
    </row>
    <row r="4" spans="1:13" ht="15.75" customHeight="1" x14ac:dyDescent="0.2">
      <c r="A4" s="1954" t="s">
        <v>1579</v>
      </c>
      <c r="B4" s="1955">
        <v>1000</v>
      </c>
      <c r="C4" s="1764">
        <f>'Revenues 9-14'!C109</f>
        <v>3039020</v>
      </c>
      <c r="D4" s="1764">
        <f>'Revenues 9-14'!D109</f>
        <v>604375</v>
      </c>
      <c r="E4" s="1764">
        <f>'Revenues 9-14'!E109</f>
        <v>1258681</v>
      </c>
      <c r="F4" s="1764">
        <f>'Revenues 9-14'!F109</f>
        <v>238622</v>
      </c>
      <c r="G4" s="1764">
        <f>'Revenues 9-14'!G109</f>
        <v>375300</v>
      </c>
      <c r="H4" s="1764">
        <f>'Revenues 9-14'!H109</f>
        <v>49292</v>
      </c>
      <c r="I4" s="1764">
        <f>'Revenues 9-14'!I109</f>
        <v>61020</v>
      </c>
      <c r="J4" s="1764">
        <f>'Revenues 9-14'!J109</f>
        <v>427943</v>
      </c>
      <c r="K4" s="1764">
        <f>'Revenues 9-14'!K109</f>
        <v>63133</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5777408</v>
      </c>
      <c r="D6" s="1765">
        <f>'Revenues 9-14'!D173</f>
        <v>10025</v>
      </c>
      <c r="E6" s="1765">
        <f>'Revenues 9-14'!E173</f>
        <v>0</v>
      </c>
      <c r="F6" s="1765">
        <f>'Revenues 9-14'!F173</f>
        <v>726943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1089010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9905438</v>
      </c>
      <c r="D8" s="1710">
        <f t="shared" ref="D8:K8" si="0">SUM(D4:D7)</f>
        <v>614400</v>
      </c>
      <c r="E8" s="1710">
        <f t="shared" si="0"/>
        <v>1258681</v>
      </c>
      <c r="F8" s="1710">
        <f t="shared" si="0"/>
        <v>965565</v>
      </c>
      <c r="G8" s="1710">
        <f t="shared" si="0"/>
        <v>375300</v>
      </c>
      <c r="H8" s="1710">
        <f t="shared" si="0"/>
        <v>49292</v>
      </c>
      <c r="I8" s="1710">
        <f t="shared" si="0"/>
        <v>61020</v>
      </c>
      <c r="J8" s="1710">
        <f t="shared" si="0"/>
        <v>427943</v>
      </c>
      <c r="K8" s="1710">
        <f t="shared" si="0"/>
        <v>63133</v>
      </c>
      <c r="L8" s="347"/>
    </row>
    <row r="9" spans="1:13" ht="15.75" thickTop="1" x14ac:dyDescent="0.2">
      <c r="A9" s="514" t="s">
        <v>1752</v>
      </c>
      <c r="B9" s="515">
        <v>3998</v>
      </c>
      <c r="C9" s="481">
        <v>3754074</v>
      </c>
      <c r="D9" s="516"/>
      <c r="E9" s="481"/>
      <c r="F9" s="481"/>
      <c r="G9" s="517"/>
      <c r="H9" s="481"/>
      <c r="I9" s="509" t="s">
        <v>1231</v>
      </c>
      <c r="J9" s="478"/>
      <c r="K9" s="481"/>
      <c r="L9" s="347"/>
    </row>
    <row r="10" spans="1:13" s="519" customFormat="1" ht="13.5" thickBot="1" x14ac:dyDescent="0.25">
      <c r="A10" s="1758" t="s">
        <v>1235</v>
      </c>
      <c r="B10" s="1731"/>
      <c r="C10" s="1710">
        <f>SUM(C8:C9)</f>
        <v>13659512</v>
      </c>
      <c r="D10" s="1710">
        <f t="shared" ref="D10:K10" si="1">SUM(D8:D9)</f>
        <v>614400</v>
      </c>
      <c r="E10" s="1710">
        <f t="shared" si="1"/>
        <v>1258681</v>
      </c>
      <c r="F10" s="1710">
        <f t="shared" si="1"/>
        <v>965565</v>
      </c>
      <c r="G10" s="1710">
        <f t="shared" si="1"/>
        <v>375300</v>
      </c>
      <c r="H10" s="1710">
        <f t="shared" si="1"/>
        <v>49292</v>
      </c>
      <c r="I10" s="1710">
        <f t="shared" si="1"/>
        <v>61020</v>
      </c>
      <c r="J10" s="1710">
        <f t="shared" si="1"/>
        <v>427943</v>
      </c>
      <c r="K10" s="1710">
        <f t="shared" si="1"/>
        <v>63133</v>
      </c>
      <c r="L10" s="518"/>
    </row>
    <row r="11" spans="1:13" s="519" customFormat="1" ht="16.7" customHeight="1" thickTop="1" x14ac:dyDescent="0.2">
      <c r="A11" s="2149" t="s">
        <v>1238</v>
      </c>
      <c r="B11" s="2150"/>
      <c r="C11" s="1592"/>
      <c r="D11" s="1593"/>
      <c r="E11" s="1593"/>
      <c r="F11" s="1593"/>
      <c r="G11" s="1593"/>
      <c r="H11" s="1593"/>
      <c r="I11" s="1593"/>
      <c r="J11" s="1593"/>
      <c r="K11" s="1594"/>
      <c r="L11" s="518"/>
    </row>
    <row r="12" spans="1:13" ht="15.75" customHeight="1" x14ac:dyDescent="0.2">
      <c r="A12" s="1598" t="s">
        <v>476</v>
      </c>
      <c r="B12" s="1600">
        <v>1000</v>
      </c>
      <c r="C12" s="1764">
        <f>'Expenditures 15-22'!K33</f>
        <v>6139033</v>
      </c>
      <c r="D12" s="520" t="s">
        <v>1231</v>
      </c>
      <c r="E12" s="468" t="s">
        <v>1231</v>
      </c>
      <c r="F12" s="468" t="s">
        <v>1231</v>
      </c>
      <c r="G12" s="1764">
        <f>'Expenditures 15-22'!K229</f>
        <v>138533</v>
      </c>
      <c r="H12" s="521"/>
      <c r="I12" s="468" t="s">
        <v>1231</v>
      </c>
      <c r="J12" s="468" t="s">
        <v>1231</v>
      </c>
      <c r="K12" s="521" t="s">
        <v>1231</v>
      </c>
      <c r="L12" s="347"/>
    </row>
    <row r="13" spans="1:13" ht="15.75" customHeight="1" x14ac:dyDescent="0.2">
      <c r="A13" s="1598" t="s">
        <v>477</v>
      </c>
      <c r="B13" s="1600">
        <v>2000</v>
      </c>
      <c r="C13" s="1765">
        <f>'Expenditures 15-22'!K74</f>
        <v>2352118</v>
      </c>
      <c r="D13" s="1765">
        <f>'Expenditures 15-22'!K129</f>
        <v>718047</v>
      </c>
      <c r="E13" s="469" t="s">
        <v>1231</v>
      </c>
      <c r="F13" s="1765">
        <f>'Expenditures 15-22'!K184</f>
        <v>1127600</v>
      </c>
      <c r="G13" s="1765">
        <f>'Expenditures 15-22'!K279</f>
        <v>301600</v>
      </c>
      <c r="H13" s="1765">
        <f>'Expenditures 15-22'!K303</f>
        <v>31381</v>
      </c>
      <c r="I13" s="468" t="s">
        <v>1231</v>
      </c>
      <c r="J13" s="1765">
        <f>'Expenditures 15-22'!K330</f>
        <v>399586</v>
      </c>
      <c r="K13" s="1769">
        <f>'Expenditures 15-22'!K352</f>
        <v>76374</v>
      </c>
      <c r="L13" s="347"/>
    </row>
    <row r="14" spans="1:13" ht="15.75" customHeight="1" x14ac:dyDescent="0.2">
      <c r="A14" s="1598" t="s">
        <v>469</v>
      </c>
      <c r="B14" s="1600">
        <v>3000</v>
      </c>
      <c r="C14" s="1765">
        <f>'Expenditures 15-22'!K75</f>
        <v>39344</v>
      </c>
      <c r="D14" s="1765">
        <f>'Expenditures 15-22'!K130</f>
        <v>0</v>
      </c>
      <c r="E14" s="520" t="s">
        <v>1231</v>
      </c>
      <c r="F14" s="1765">
        <f>'Expenditures 15-22'!K185</f>
        <v>0</v>
      </c>
      <c r="G14" s="1765">
        <f>'Expenditures 15-22'!K280</f>
        <v>5126</v>
      </c>
      <c r="H14" s="512"/>
      <c r="I14" s="468" t="s">
        <v>1231</v>
      </c>
      <c r="J14" s="468" t="s">
        <v>1231</v>
      </c>
      <c r="K14" s="512" t="s">
        <v>1231</v>
      </c>
      <c r="L14" s="347"/>
    </row>
    <row r="15" spans="1:13" ht="15.75" customHeight="1" x14ac:dyDescent="0.2">
      <c r="A15" s="1598" t="s">
        <v>109</v>
      </c>
      <c r="B15" s="1600">
        <v>4000</v>
      </c>
      <c r="C15" s="1765">
        <f>'Expenditures 15-22'!K102</f>
        <v>470168</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1310419</v>
      </c>
      <c r="F16" s="1765">
        <f>'Expenditures 15-22'!K208</f>
        <v>79779</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9000663</v>
      </c>
      <c r="D17" s="1710">
        <f t="shared" si="2"/>
        <v>718047</v>
      </c>
      <c r="E17" s="1710">
        <f t="shared" si="2"/>
        <v>1310419</v>
      </c>
      <c r="F17" s="1710">
        <f t="shared" si="2"/>
        <v>1207379</v>
      </c>
      <c r="G17" s="1710">
        <f t="shared" si="2"/>
        <v>445259</v>
      </c>
      <c r="H17" s="1710">
        <f t="shared" si="2"/>
        <v>31381</v>
      </c>
      <c r="I17" s="468"/>
      <c r="J17" s="1710">
        <f>SUM(J12:J16)</f>
        <v>399586</v>
      </c>
      <c r="K17" s="1710">
        <f>SUM(K12:K16)</f>
        <v>76374</v>
      </c>
      <c r="L17" s="347"/>
    </row>
    <row r="18" spans="1:12" ht="15" customHeight="1" thickTop="1" x14ac:dyDescent="0.2">
      <c r="A18" s="1766" t="s">
        <v>1753</v>
      </c>
      <c r="B18" s="1767">
        <v>4180</v>
      </c>
      <c r="C18" s="1764">
        <f t="shared" ref="C18:H18" si="3">C9</f>
        <v>3754074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12754737</v>
      </c>
      <c r="D19" s="1710">
        <f t="shared" si="4"/>
        <v>718047</v>
      </c>
      <c r="E19" s="1710">
        <f t="shared" si="4"/>
        <v>1310419</v>
      </c>
      <c r="F19" s="1710">
        <f t="shared" si="4"/>
        <v>1207379</v>
      </c>
      <c r="G19" s="1710">
        <f t="shared" si="4"/>
        <v>445259</v>
      </c>
      <c r="H19" s="1710">
        <f t="shared" si="4"/>
        <v>31381</v>
      </c>
      <c r="I19" s="468"/>
      <c r="J19" s="1710">
        <f>SUM(J17:J18)</f>
        <v>399586</v>
      </c>
      <c r="K19" s="1710">
        <f>SUM(K17:K18)</f>
        <v>76374</v>
      </c>
      <c r="L19" s="347"/>
    </row>
    <row r="20" spans="1:12" ht="16.5" thickTop="1" thickBot="1" x14ac:dyDescent="0.25">
      <c r="A20" s="2165" t="s">
        <v>1754</v>
      </c>
      <c r="B20" s="2166"/>
      <c r="C20" s="1768">
        <f>C8-C17</f>
        <v>904775</v>
      </c>
      <c r="D20" s="1768">
        <f t="shared" ref="D20:K20" si="5">D8-D17</f>
        <v>-103647</v>
      </c>
      <c r="E20" s="1768">
        <f t="shared" si="5"/>
        <v>-51738</v>
      </c>
      <c r="F20" s="1768">
        <f t="shared" si="5"/>
        <v>-241814</v>
      </c>
      <c r="G20" s="1768">
        <f t="shared" si="5"/>
        <v>-69959</v>
      </c>
      <c r="H20" s="1768">
        <f t="shared" si="5"/>
        <v>17911</v>
      </c>
      <c r="I20" s="1768">
        <f t="shared" si="5"/>
        <v>61020</v>
      </c>
      <c r="J20" s="1768">
        <f t="shared" si="5"/>
        <v>28357</v>
      </c>
      <c r="K20" s="1768">
        <f t="shared" si="5"/>
        <v>-13241</v>
      </c>
      <c r="L20" s="347"/>
    </row>
    <row r="21" spans="1:12" ht="16.7" customHeight="1" thickTop="1" x14ac:dyDescent="0.2">
      <c r="A21" s="2177" t="s">
        <v>616</v>
      </c>
      <c r="B21" s="2178"/>
      <c r="C21" s="1592"/>
      <c r="D21" s="1593"/>
      <c r="E21" s="1593"/>
      <c r="F21" s="1593"/>
      <c r="G21" s="1593"/>
      <c r="H21" s="1593"/>
      <c r="I21" s="1593"/>
      <c r="J21" s="1593"/>
      <c r="K21" s="1594"/>
      <c r="L21" s="524"/>
    </row>
    <row r="22" spans="1:12" ht="15.75" customHeight="1" collapsed="1" x14ac:dyDescent="0.2">
      <c r="A22" s="2173" t="s">
        <v>617</v>
      </c>
      <c r="B22" s="2174"/>
      <c r="C22" s="477"/>
      <c r="D22" s="477"/>
      <c r="E22" s="477"/>
      <c r="F22" s="477"/>
      <c r="G22" s="477"/>
      <c r="H22" s="477"/>
      <c r="I22" s="477"/>
      <c r="J22" s="477"/>
      <c r="K22" s="477"/>
      <c r="L22" s="347"/>
    </row>
    <row r="23" spans="1:12" s="485" customFormat="1" ht="15.75" customHeight="1" x14ac:dyDescent="0.2">
      <c r="A23" s="2169" t="s">
        <v>311</v>
      </c>
      <c r="B23" s="217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v>100000</v>
      </c>
      <c r="G25" s="467"/>
      <c r="H25" s="467"/>
      <c r="I25" s="477"/>
      <c r="J25" s="467"/>
      <c r="K25" s="467"/>
      <c r="L25" s="524"/>
    </row>
    <row r="26" spans="1:12" s="485" customFormat="1" ht="13.5" customHeight="1" x14ac:dyDescent="0.2">
      <c r="A26" s="1511" t="s">
        <v>193</v>
      </c>
      <c r="B26" s="483">
        <v>7120</v>
      </c>
      <c r="C26" s="467"/>
      <c r="D26" s="467"/>
      <c r="E26" s="467"/>
      <c r="F26" s="467">
        <v>3366</v>
      </c>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71" t="s">
        <v>1038</v>
      </c>
      <c r="B32" s="2172"/>
      <c r="C32" s="477"/>
      <c r="D32" s="477"/>
      <c r="E32" s="475"/>
      <c r="F32" s="477"/>
      <c r="G32" s="477"/>
      <c r="H32" s="477"/>
      <c r="I32" s="477"/>
      <c r="J32" s="477"/>
      <c r="K32" s="477"/>
      <c r="L32" s="524"/>
    </row>
    <row r="33" spans="1:12" s="485" customFormat="1" x14ac:dyDescent="0.2">
      <c r="A33" s="1511" t="s">
        <v>432</v>
      </c>
      <c r="B33" s="525">
        <v>7210</v>
      </c>
      <c r="C33" s="467">
        <v>38311</v>
      </c>
      <c r="D33" s="467"/>
      <c r="E33" s="467"/>
      <c r="F33" s="467">
        <v>242842</v>
      </c>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57382</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79" t="s">
        <v>392</v>
      </c>
      <c r="B44" s="2180"/>
      <c r="C44" s="1725">
        <f>SUM(C24:C43)</f>
        <v>38311</v>
      </c>
      <c r="D44" s="1725">
        <f t="shared" ref="D44:K44" si="6">SUM(D24:D43)</f>
        <v>0</v>
      </c>
      <c r="E44" s="1725">
        <f t="shared" si="6"/>
        <v>57382</v>
      </c>
      <c r="F44" s="1725">
        <f t="shared" si="6"/>
        <v>346208</v>
      </c>
      <c r="G44" s="1725">
        <f t="shared" si="6"/>
        <v>0</v>
      </c>
      <c r="H44" s="1725">
        <f t="shared" si="6"/>
        <v>0</v>
      </c>
      <c r="I44" s="1725">
        <f t="shared" si="6"/>
        <v>0</v>
      </c>
      <c r="J44" s="1725">
        <f t="shared" si="6"/>
        <v>0</v>
      </c>
      <c r="K44" s="1725">
        <f t="shared" si="6"/>
        <v>0</v>
      </c>
      <c r="L44" s="524"/>
    </row>
    <row r="45" spans="1:12" ht="15.75" customHeight="1" thickTop="1" x14ac:dyDescent="0.2">
      <c r="A45" s="2173" t="s">
        <v>110</v>
      </c>
      <c r="B45" s="2174"/>
      <c r="C45" s="528"/>
      <c r="D45" s="528"/>
      <c r="E45" s="528"/>
      <c r="F45" s="528"/>
      <c r="G45" s="528"/>
      <c r="H45" s="528"/>
      <c r="I45" s="528"/>
      <c r="J45" s="528"/>
      <c r="K45" s="528"/>
      <c r="L45" s="347"/>
    </row>
    <row r="46" spans="1:12" s="485" customFormat="1" ht="15.75" customHeight="1" x14ac:dyDescent="0.2">
      <c r="A46" s="2181" t="s">
        <v>111</v>
      </c>
      <c r="B46" s="218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100000</v>
      </c>
      <c r="J47" s="477"/>
      <c r="K47" s="477"/>
      <c r="L47" s="529"/>
    </row>
    <row r="48" spans="1:12" s="485" customFormat="1" ht="15" x14ac:dyDescent="0.2">
      <c r="A48" s="1512" t="s">
        <v>1759</v>
      </c>
      <c r="B48" s="483">
        <v>8120</v>
      </c>
      <c r="C48" s="480"/>
      <c r="D48" s="480"/>
      <c r="E48" s="477"/>
      <c r="F48" s="480"/>
      <c r="G48" s="477"/>
      <c r="H48" s="477"/>
      <c r="I48" s="1765">
        <f>SUM(C26:H26,J26,K26)</f>
        <v>3366</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57382</v>
      </c>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5" t="s">
        <v>460</v>
      </c>
      <c r="B76" s="2156"/>
      <c r="C76" s="1725">
        <f t="shared" ref="C76:K76" si="7">SUM(C47:C75)</f>
        <v>57382</v>
      </c>
      <c r="D76" s="1725">
        <f t="shared" si="7"/>
        <v>0</v>
      </c>
      <c r="E76" s="1725">
        <f t="shared" si="7"/>
        <v>0</v>
      </c>
      <c r="F76" s="1725">
        <f t="shared" si="7"/>
        <v>0</v>
      </c>
      <c r="G76" s="1725">
        <f t="shared" si="7"/>
        <v>0</v>
      </c>
      <c r="H76" s="1725">
        <f t="shared" si="7"/>
        <v>0</v>
      </c>
      <c r="I76" s="1725">
        <f t="shared" si="7"/>
        <v>103366</v>
      </c>
      <c r="J76" s="1725">
        <f t="shared" si="7"/>
        <v>0</v>
      </c>
      <c r="K76" s="1725">
        <f t="shared" si="7"/>
        <v>0</v>
      </c>
      <c r="L76" s="524"/>
    </row>
    <row r="77" spans="1:12" ht="14.25" thickTop="1" thickBot="1" x14ac:dyDescent="0.25">
      <c r="A77" s="2157" t="s">
        <v>1239</v>
      </c>
      <c r="B77" s="2158"/>
      <c r="C77" s="1725">
        <f t="shared" ref="C77:K77" si="8">C44-C76</f>
        <v>-19071</v>
      </c>
      <c r="D77" s="1725">
        <f t="shared" si="8"/>
        <v>0</v>
      </c>
      <c r="E77" s="1725">
        <f t="shared" si="8"/>
        <v>57382</v>
      </c>
      <c r="F77" s="1725">
        <f t="shared" si="8"/>
        <v>346208</v>
      </c>
      <c r="G77" s="1725">
        <f t="shared" si="8"/>
        <v>0</v>
      </c>
      <c r="H77" s="1725">
        <f t="shared" si="8"/>
        <v>0</v>
      </c>
      <c r="I77" s="1725">
        <f t="shared" si="8"/>
        <v>-103366</v>
      </c>
      <c r="J77" s="1725">
        <f t="shared" si="8"/>
        <v>0</v>
      </c>
      <c r="K77" s="1725">
        <f t="shared" si="8"/>
        <v>0</v>
      </c>
      <c r="L77" s="347"/>
    </row>
    <row r="78" spans="1:12" ht="21.75" customHeight="1" thickTop="1" thickBot="1" x14ac:dyDescent="0.25">
      <c r="A78" s="2161" t="s">
        <v>618</v>
      </c>
      <c r="B78" s="2162"/>
      <c r="C78" s="1724">
        <f t="shared" ref="C78:K78" si="9">C20+C77</f>
        <v>885704</v>
      </c>
      <c r="D78" s="1724">
        <f t="shared" si="9"/>
        <v>-103647</v>
      </c>
      <c r="E78" s="1724">
        <f t="shared" si="9"/>
        <v>5644</v>
      </c>
      <c r="F78" s="1724">
        <f t="shared" si="9"/>
        <v>104394</v>
      </c>
      <c r="G78" s="1724">
        <f t="shared" si="9"/>
        <v>-69959</v>
      </c>
      <c r="H78" s="1724">
        <f t="shared" si="9"/>
        <v>17911</v>
      </c>
      <c r="I78" s="1724">
        <f t="shared" si="9"/>
        <v>-42346</v>
      </c>
      <c r="J78" s="1724">
        <f t="shared" si="9"/>
        <v>28357</v>
      </c>
      <c r="K78" s="1724">
        <f t="shared" si="9"/>
        <v>-13241</v>
      </c>
      <c r="L78" s="533"/>
    </row>
    <row r="79" spans="1:12" ht="13.5" thickTop="1" x14ac:dyDescent="0.2">
      <c r="A79" s="1516" t="s">
        <v>2067</v>
      </c>
      <c r="B79" s="534"/>
      <c r="C79" s="478">
        <v>993844</v>
      </c>
      <c r="D79" s="535">
        <v>770870</v>
      </c>
      <c r="E79" s="535">
        <v>685134</v>
      </c>
      <c r="F79" s="535">
        <v>206673</v>
      </c>
      <c r="G79" s="535">
        <v>222575</v>
      </c>
      <c r="H79" s="535">
        <v>129526</v>
      </c>
      <c r="I79" s="535">
        <v>381693</v>
      </c>
      <c r="J79" s="535">
        <v>180757</v>
      </c>
      <c r="K79" s="535">
        <v>453926</v>
      </c>
      <c r="L79" s="347"/>
    </row>
    <row r="80" spans="1:12" x14ac:dyDescent="0.2">
      <c r="A80" s="2167" t="s">
        <v>1894</v>
      </c>
      <c r="B80" s="2168"/>
      <c r="C80" s="467"/>
      <c r="D80" s="467"/>
      <c r="E80" s="467"/>
      <c r="F80" s="467"/>
      <c r="G80" s="467"/>
      <c r="H80" s="467"/>
      <c r="I80" s="467"/>
      <c r="J80" s="467"/>
      <c r="K80" s="467"/>
      <c r="L80" s="347"/>
    </row>
    <row r="81" spans="1:12" ht="13.5" thickBot="1" x14ac:dyDescent="0.25">
      <c r="A81" s="2159" t="s">
        <v>2068</v>
      </c>
      <c r="B81" s="2160"/>
      <c r="C81" s="1710">
        <f>(SUM(C78:C80))</f>
        <v>1879548</v>
      </c>
      <c r="D81" s="1710">
        <f>SUM(D78:D80)</f>
        <v>667223</v>
      </c>
      <c r="E81" s="1710">
        <f t="shared" ref="E81:K81" si="10">SUM(E78:E80)</f>
        <v>690778</v>
      </c>
      <c r="F81" s="1710">
        <f t="shared" si="10"/>
        <v>311067</v>
      </c>
      <c r="G81" s="1710">
        <f t="shared" si="10"/>
        <v>152616</v>
      </c>
      <c r="H81" s="1710">
        <f t="shared" si="10"/>
        <v>147437</v>
      </c>
      <c r="I81" s="1710">
        <f t="shared" si="10"/>
        <v>339347</v>
      </c>
      <c r="J81" s="1710">
        <f t="shared" si="10"/>
        <v>209114</v>
      </c>
      <c r="K81" s="1710">
        <f t="shared" si="10"/>
        <v>440685</v>
      </c>
      <c r="L81" s="347"/>
    </row>
    <row r="82" spans="1:12" ht="0.75" customHeight="1" thickTop="1" thickBot="1" x14ac:dyDescent="0.25">
      <c r="A82" s="536" t="s">
        <v>361</v>
      </c>
      <c r="B82" s="537"/>
      <c r="C82" s="538">
        <f>(C81-C79)</f>
        <v>885704</v>
      </c>
      <c r="D82" s="538">
        <f t="shared" ref="D82:K82" si="11">(D81-D79)</f>
        <v>-103647</v>
      </c>
      <c r="E82" s="538">
        <f t="shared" si="11"/>
        <v>5644</v>
      </c>
      <c r="F82" s="538">
        <f t="shared" si="11"/>
        <v>104394</v>
      </c>
      <c r="G82" s="538">
        <f t="shared" si="11"/>
        <v>-69959</v>
      </c>
      <c r="H82" s="538">
        <f t="shared" si="11"/>
        <v>17911</v>
      </c>
      <c r="I82" s="538">
        <f t="shared" si="11"/>
        <v>-42346</v>
      </c>
      <c r="J82" s="538">
        <f t="shared" si="11"/>
        <v>28357</v>
      </c>
      <c r="K82" s="538">
        <f t="shared" si="11"/>
        <v>-13241</v>
      </c>
    </row>
    <row r="83" spans="1:12" ht="14.25" hidden="1" thickTop="1" thickBot="1" x14ac:dyDescent="0.25">
      <c r="A83" s="539" t="s">
        <v>362</v>
      </c>
      <c r="B83" s="464"/>
      <c r="C83" s="540">
        <f>C82/C81</f>
        <v>0.47123244524747437</v>
      </c>
      <c r="D83" s="540">
        <f t="shared" ref="D83:K83" si="12">D82/D81</f>
        <v>-0.15534086804561592</v>
      </c>
      <c r="E83" s="540">
        <f t="shared" si="12"/>
        <v>8.1704976128365407E-3</v>
      </c>
      <c r="F83" s="540">
        <f t="shared" si="12"/>
        <v>0.33559972610402261</v>
      </c>
      <c r="G83" s="540">
        <f t="shared" si="12"/>
        <v>-0.45839885726267232</v>
      </c>
      <c r="H83" s="540">
        <f t="shared" si="12"/>
        <v>0.12148239587077871</v>
      </c>
      <c r="I83" s="540">
        <f t="shared" si="12"/>
        <v>-0.12478672273513543</v>
      </c>
      <c r="J83" s="540">
        <f t="shared" si="12"/>
        <v>0.13560545922319883</v>
      </c>
      <c r="K83" s="540">
        <f t="shared" si="12"/>
        <v>-3.004640502853512E-2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7" sqref="A7:D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3" t="s">
        <v>1901</v>
      </c>
      <c r="B1" s="452"/>
      <c r="C1" s="453" t="s">
        <v>445</v>
      </c>
      <c r="D1" s="453" t="s">
        <v>446</v>
      </c>
      <c r="E1" s="453" t="s">
        <v>447</v>
      </c>
      <c r="F1" s="453" t="s">
        <v>448</v>
      </c>
      <c r="G1" s="453" t="s">
        <v>449</v>
      </c>
      <c r="H1" s="453" t="s">
        <v>450</v>
      </c>
      <c r="I1" s="453" t="s">
        <v>451</v>
      </c>
      <c r="J1" s="453" t="s">
        <v>452</v>
      </c>
      <c r="K1" s="453" t="s">
        <v>780</v>
      </c>
    </row>
    <row r="2" spans="1:12" ht="36" x14ac:dyDescent="0.2">
      <c r="A2" s="216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2121735</v>
      </c>
      <c r="D5" s="481">
        <v>576557</v>
      </c>
      <c r="E5" s="466">
        <v>831430</v>
      </c>
      <c r="F5" s="548">
        <v>230624</v>
      </c>
      <c r="G5" s="466">
        <v>209901</v>
      </c>
      <c r="H5" s="466"/>
      <c r="I5" s="466">
        <v>57655</v>
      </c>
      <c r="J5" s="467">
        <v>424797</v>
      </c>
      <c r="K5" s="466">
        <v>57655</v>
      </c>
    </row>
    <row r="6" spans="1:12" ht="15" x14ac:dyDescent="0.2">
      <c r="A6" s="463" t="s">
        <v>1761</v>
      </c>
      <c r="B6" s="470">
        <v>1130</v>
      </c>
      <c r="C6" s="466">
        <v>57655</v>
      </c>
      <c r="D6" s="466"/>
      <c r="E6" s="475"/>
      <c r="F6" s="475"/>
      <c r="G6" s="468"/>
      <c r="H6" s="468"/>
      <c r="I6" s="468"/>
      <c r="J6" s="468"/>
      <c r="K6" s="468"/>
    </row>
    <row r="7" spans="1:12" x14ac:dyDescent="0.2">
      <c r="A7" s="463" t="s">
        <v>112</v>
      </c>
      <c r="B7" s="549">
        <v>1140</v>
      </c>
      <c r="C7" s="466">
        <v>46127</v>
      </c>
      <c r="D7" s="466"/>
      <c r="E7" s="468"/>
      <c r="F7" s="467"/>
      <c r="G7" s="467"/>
      <c r="H7" s="467"/>
      <c r="I7" s="468"/>
      <c r="J7" s="468"/>
      <c r="K7" s="468"/>
    </row>
    <row r="8" spans="1:12" x14ac:dyDescent="0.2">
      <c r="A8" s="463" t="s">
        <v>433</v>
      </c>
      <c r="B8" s="470">
        <v>1150</v>
      </c>
      <c r="C8" s="475"/>
      <c r="D8" s="475"/>
      <c r="E8" s="477"/>
      <c r="F8" s="477"/>
      <c r="G8" s="481">
        <v>129936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2225517</v>
      </c>
      <c r="D12" s="1729">
        <f t="shared" si="0"/>
        <v>576557</v>
      </c>
      <c r="E12" s="1729">
        <f t="shared" si="0"/>
        <v>831430</v>
      </c>
      <c r="F12" s="1729">
        <f t="shared" si="0"/>
        <v>230624</v>
      </c>
      <c r="G12" s="1729">
        <f t="shared" si="0"/>
        <v>339837</v>
      </c>
      <c r="H12" s="1729">
        <f t="shared" si="0"/>
        <v>0</v>
      </c>
      <c r="I12" s="1729">
        <f t="shared" si="0"/>
        <v>57655</v>
      </c>
      <c r="J12" s="1729">
        <f t="shared" si="0"/>
        <v>424797</v>
      </c>
      <c r="K12" s="1710">
        <f t="shared" si="0"/>
        <v>57655</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147785</v>
      </c>
      <c r="D16" s="466"/>
      <c r="E16" s="466"/>
      <c r="F16" s="466"/>
      <c r="G16" s="466">
        <v>32098</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147785</v>
      </c>
      <c r="D18" s="1732">
        <f t="shared" ref="D18:K18" si="1">SUM(D14:D17)</f>
        <v>0</v>
      </c>
      <c r="E18" s="1732">
        <f t="shared" si="1"/>
        <v>0</v>
      </c>
      <c r="F18" s="1732">
        <f t="shared" si="1"/>
        <v>0</v>
      </c>
      <c r="G18" s="1732">
        <f t="shared" si="1"/>
        <v>32098</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44924</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44924</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2982</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1486</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4468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22600</v>
      </c>
      <c r="D65" s="466">
        <v>10501</v>
      </c>
      <c r="E65" s="466">
        <v>8089</v>
      </c>
      <c r="F65" s="467">
        <v>3530</v>
      </c>
      <c r="G65" s="466">
        <v>3365</v>
      </c>
      <c r="H65" s="466">
        <v>1445</v>
      </c>
      <c r="I65" s="466">
        <v>3365</v>
      </c>
      <c r="J65" s="467">
        <v>3146</v>
      </c>
      <c r="K65" s="466">
        <v>5478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22600</v>
      </c>
      <c r="D67" s="1710">
        <f t="shared" ref="D67:K67" si="2">SUM(D65:D66)</f>
        <v>10501</v>
      </c>
      <c r="E67" s="1710">
        <f t="shared" si="2"/>
        <v>8089</v>
      </c>
      <c r="F67" s="1710">
        <f t="shared" si="2"/>
        <v>3530</v>
      </c>
      <c r="G67" s="1710">
        <f t="shared" si="2"/>
        <v>3365</v>
      </c>
      <c r="H67" s="1710">
        <f t="shared" si="2"/>
        <v>1445</v>
      </c>
      <c r="I67" s="1710">
        <f t="shared" si="2"/>
        <v>3365</v>
      </c>
      <c r="J67" s="1710">
        <f t="shared" si="2"/>
        <v>3146</v>
      </c>
      <c r="K67" s="1710">
        <f t="shared" si="2"/>
        <v>5478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165250</v>
      </c>
      <c r="D69" s="468"/>
      <c r="E69" s="468"/>
      <c r="F69" s="468"/>
      <c r="G69" s="468"/>
      <c r="H69" s="468"/>
      <c r="I69" s="468"/>
      <c r="J69" s="468"/>
      <c r="K69" s="468"/>
    </row>
    <row r="70" spans="1:11" ht="12.75" customHeight="1" x14ac:dyDescent="0.2">
      <c r="A70" s="463" t="s">
        <v>1054</v>
      </c>
      <c r="B70" s="470">
        <v>1612</v>
      </c>
      <c r="C70" s="551">
        <v>2915</v>
      </c>
      <c r="D70" s="468"/>
      <c r="E70" s="468"/>
      <c r="F70" s="468"/>
      <c r="G70" s="468"/>
      <c r="H70" s="468"/>
      <c r="I70" s="468"/>
      <c r="J70" s="468"/>
      <c r="K70" s="468"/>
    </row>
    <row r="71" spans="1:11" ht="12.75" customHeight="1" x14ac:dyDescent="0.2">
      <c r="A71" s="463" t="s">
        <v>291</v>
      </c>
      <c r="B71" s="470">
        <v>1613</v>
      </c>
      <c r="C71" s="551">
        <v>23467</v>
      </c>
      <c r="D71" s="468"/>
      <c r="E71" s="468"/>
      <c r="F71" s="468"/>
      <c r="G71" s="468"/>
      <c r="H71" s="468"/>
      <c r="I71" s="468"/>
      <c r="J71" s="468"/>
      <c r="K71" s="468"/>
    </row>
    <row r="72" spans="1:11" ht="12.75" customHeight="1" x14ac:dyDescent="0.2">
      <c r="A72" s="463" t="s">
        <v>24</v>
      </c>
      <c r="B72" s="470">
        <v>1614</v>
      </c>
      <c r="C72" s="551">
        <v>3183</v>
      </c>
      <c r="D72" s="468"/>
      <c r="E72" s="468"/>
      <c r="F72" s="468"/>
      <c r="G72" s="468"/>
      <c r="H72" s="468"/>
      <c r="I72" s="468"/>
      <c r="J72" s="468"/>
      <c r="K72" s="468"/>
    </row>
    <row r="73" spans="1:11" ht="12.75" customHeight="1" x14ac:dyDescent="0.2">
      <c r="A73" s="463" t="s">
        <v>1055</v>
      </c>
      <c r="B73" s="470">
        <v>1620</v>
      </c>
      <c r="C73" s="551">
        <v>10071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204886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46557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46557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35670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35670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3731</v>
      </c>
      <c r="E95" s="521"/>
      <c r="F95" s="521"/>
      <c r="G95" s="521"/>
      <c r="H95" s="521"/>
      <c r="I95" s="521"/>
      <c r="J95" s="521"/>
      <c r="K95" s="521"/>
    </row>
    <row r="96" spans="1:11" ht="12.75" customHeight="1" x14ac:dyDescent="0.2">
      <c r="A96" s="463" t="s">
        <v>409</v>
      </c>
      <c r="B96" s="470">
        <v>1920</v>
      </c>
      <c r="C96" s="551">
        <v>229384</v>
      </c>
      <c r="D96" s="551">
        <v>13090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12270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419162</v>
      </c>
      <c r="F103" s="468"/>
      <c r="G103" s="468"/>
      <c r="H103" s="489">
        <v>47847</v>
      </c>
      <c r="I103" s="468"/>
      <c r="J103" s="510"/>
      <c r="K103" s="510"/>
    </row>
    <row r="104" spans="1:12" ht="12.75" customHeight="1" x14ac:dyDescent="0.2">
      <c r="A104" s="463" t="s">
        <v>885</v>
      </c>
      <c r="B104" s="470">
        <v>1991</v>
      </c>
      <c r="C104" s="489">
        <v>47830</v>
      </c>
      <c r="D104" s="466"/>
      <c r="E104" s="481"/>
      <c r="F104" s="467"/>
      <c r="G104" s="467"/>
      <c r="H104" s="466"/>
      <c r="I104" s="468"/>
      <c r="J104" s="468"/>
      <c r="K104" s="468"/>
    </row>
    <row r="105" spans="1:12" ht="12.75" customHeight="1" x14ac:dyDescent="0.2">
      <c r="A105" s="463" t="s">
        <v>876</v>
      </c>
      <c r="B105" s="470">
        <v>1992</v>
      </c>
      <c r="C105" s="466">
        <v>5265</v>
      </c>
      <c r="D105" s="561"/>
      <c r="E105" s="468"/>
      <c r="F105" s="468"/>
      <c r="G105" s="468"/>
      <c r="H105" s="510"/>
      <c r="I105" s="468"/>
      <c r="J105" s="468"/>
      <c r="K105" s="468"/>
    </row>
    <row r="106" spans="1:12" ht="12.75" customHeight="1" x14ac:dyDescent="0.2">
      <c r="A106" s="463" t="s">
        <v>1505</v>
      </c>
      <c r="B106" s="470">
        <v>1993</v>
      </c>
      <c r="C106" s="466">
        <v>8089</v>
      </c>
      <c r="D106" s="489"/>
      <c r="E106" s="467"/>
      <c r="F106" s="467"/>
      <c r="G106" s="467"/>
      <c r="H106" s="467"/>
      <c r="I106" s="521"/>
      <c r="J106" s="467"/>
      <c r="K106" s="467"/>
    </row>
    <row r="107" spans="1:12" ht="12.75" customHeight="1" x14ac:dyDescent="0.2">
      <c r="A107" s="463" t="s">
        <v>80</v>
      </c>
      <c r="B107" s="470">
        <v>1999</v>
      </c>
      <c r="C107" s="551">
        <v>8243</v>
      </c>
      <c r="D107" s="466">
        <v>496</v>
      </c>
      <c r="E107" s="466"/>
      <c r="F107" s="466"/>
      <c r="G107" s="466"/>
      <c r="H107" s="466"/>
      <c r="I107" s="466"/>
      <c r="J107" s="467"/>
      <c r="K107" s="466"/>
    </row>
    <row r="108" spans="1:12" ht="12.75" customHeight="1" thickBot="1" x14ac:dyDescent="0.25">
      <c r="A108" s="1730" t="s">
        <v>508</v>
      </c>
      <c r="B108" s="1734"/>
      <c r="C108" s="1729">
        <f>SUM(C95:C107)</f>
        <v>311081</v>
      </c>
      <c r="D108" s="1729">
        <f t="shared" ref="D108:K108" si="3">SUM(D95:D107)</f>
        <v>17317</v>
      </c>
      <c r="E108" s="1729">
        <f t="shared" si="3"/>
        <v>419162</v>
      </c>
      <c r="F108" s="1729">
        <f t="shared" si="3"/>
        <v>0</v>
      </c>
      <c r="G108" s="1729">
        <f t="shared" si="3"/>
        <v>0</v>
      </c>
      <c r="H108" s="1729">
        <f t="shared" si="3"/>
        <v>47847</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3039020</v>
      </c>
      <c r="D109" s="1737">
        <f t="shared" si="4"/>
        <v>604375</v>
      </c>
      <c r="E109" s="1737">
        <f t="shared" si="4"/>
        <v>1258681</v>
      </c>
      <c r="F109" s="1737">
        <f t="shared" si="4"/>
        <v>238622</v>
      </c>
      <c r="G109" s="1737">
        <f t="shared" si="4"/>
        <v>375300</v>
      </c>
      <c r="H109" s="1737">
        <f t="shared" si="4"/>
        <v>49292</v>
      </c>
      <c r="I109" s="1737">
        <f t="shared" si="4"/>
        <v>61020</v>
      </c>
      <c r="J109" s="1737">
        <f t="shared" si="4"/>
        <v>427943</v>
      </c>
      <c r="K109" s="1724">
        <f t="shared" si="4"/>
        <v>63133</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5077389</v>
      </c>
      <c r="D117" s="481"/>
      <c r="E117" s="466"/>
      <c r="F117" s="481">
        <v>80000</v>
      </c>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5077389</v>
      </c>
      <c r="D121" s="1729">
        <f t="shared" si="5"/>
        <v>0</v>
      </c>
      <c r="E121" s="1729">
        <f t="shared" si="5"/>
        <v>0</v>
      </c>
      <c r="F121" s="1729">
        <f t="shared" si="5"/>
        <v>80000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12610</v>
      </c>
      <c r="D124" s="561"/>
      <c r="E124" s="468"/>
      <c r="F124" s="548"/>
      <c r="G124" s="468"/>
      <c r="H124" s="468"/>
      <c r="I124" s="468"/>
      <c r="J124" s="468"/>
      <c r="K124" s="468"/>
    </row>
    <row r="125" spans="1:11" ht="12.75" customHeight="1" x14ac:dyDescent="0.2">
      <c r="A125" s="463" t="s">
        <v>1521</v>
      </c>
      <c r="B125" s="562">
        <v>3105</v>
      </c>
      <c r="C125" s="466">
        <v>85180</v>
      </c>
      <c r="D125" s="561"/>
      <c r="E125" s="468"/>
      <c r="F125" s="466"/>
      <c r="G125" s="468"/>
      <c r="H125" s="468"/>
      <c r="I125" s="468"/>
      <c r="J125" s="468"/>
      <c r="K125" s="468"/>
    </row>
    <row r="126" spans="1:11" ht="12.75" customHeight="1" x14ac:dyDescent="0.2">
      <c r="A126" s="463" t="s">
        <v>922</v>
      </c>
      <c r="B126" s="562">
        <v>3110</v>
      </c>
      <c r="C126" s="551">
        <v>143558</v>
      </c>
      <c r="D126" s="466"/>
      <c r="E126" s="468"/>
      <c r="F126" s="466"/>
      <c r="G126" s="468"/>
      <c r="H126" s="468"/>
      <c r="I126" s="468"/>
      <c r="J126" s="468"/>
      <c r="K126" s="468"/>
    </row>
    <row r="127" spans="1:11" ht="12.75" customHeight="1" x14ac:dyDescent="0.2">
      <c r="A127" s="463" t="s">
        <v>107</v>
      </c>
      <c r="B127" s="562">
        <v>3120</v>
      </c>
      <c r="C127" s="466">
        <v>50375</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160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291883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43976</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11063</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v>886</v>
      </c>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55925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6331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19061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393520</v>
      </c>
      <c r="G151" s="467"/>
      <c r="H151" s="468"/>
      <c r="I151" s="468"/>
      <c r="J151" s="468"/>
      <c r="K151" s="468"/>
    </row>
    <row r="152" spans="1:11" ht="12.75" customHeight="1" x14ac:dyDescent="0.2">
      <c r="A152" s="463" t="s">
        <v>1117</v>
      </c>
      <c r="B152" s="562">
        <v>3510</v>
      </c>
      <c r="C152" s="551"/>
      <c r="D152" s="466"/>
      <c r="E152" s="561"/>
      <c r="F152" s="466">
        <v>182028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575548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52355</v>
      </c>
      <c r="D157" s="468"/>
      <c r="E157" s="561"/>
      <c r="F157" s="576"/>
      <c r="G157" s="576"/>
      <c r="H157" s="468"/>
      <c r="I157" s="468"/>
      <c r="J157" s="468"/>
      <c r="K157" s="468"/>
    </row>
    <row r="158" spans="1:11" ht="12.75" customHeight="1" thickTop="1" thickBot="1" x14ac:dyDescent="0.25">
      <c r="A158" s="1522" t="s">
        <v>1111</v>
      </c>
      <c r="B158" s="574">
        <v>3705</v>
      </c>
      <c r="C158" s="576">
        <v>272783</v>
      </c>
      <c r="D158" s="578">
        <v>10025</v>
      </c>
      <c r="E158" s="561"/>
      <c r="F158" s="576">
        <v>71395</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1681</v>
      </c>
      <c r="D171" s="580"/>
      <c r="E171" s="580"/>
      <c r="F171" s="580"/>
      <c r="G171" s="581"/>
      <c r="H171" s="582"/>
      <c r="I171" s="581"/>
      <c r="J171" s="581"/>
      <c r="K171" s="582"/>
    </row>
    <row r="172" spans="1:11" ht="12.75" customHeight="1" thickTop="1" thickBot="1" x14ac:dyDescent="0.25">
      <c r="A172" s="2183" t="s">
        <v>418</v>
      </c>
      <c r="B172" s="2184"/>
      <c r="C172" s="1744">
        <f t="shared" ref="C172:K172" si="6">SUM(C131,C140,C144,C145:C149,C154,C155:C170,C171)</f>
        <v>700019</v>
      </c>
      <c r="D172" s="1744">
        <f t="shared" si="6"/>
        <v>10025</v>
      </c>
      <c r="E172" s="1744">
        <f t="shared" si="6"/>
        <v>0</v>
      </c>
      <c r="F172" s="1744">
        <f t="shared" si="6"/>
        <v>646943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5777408</v>
      </c>
      <c r="D173" s="1737">
        <f>SUM(D121,D172)</f>
        <v>10025</v>
      </c>
      <c r="E173" s="1737">
        <f>SUM(E121,E172)</f>
        <v>0</v>
      </c>
      <c r="F173" s="1737">
        <f t="shared" ref="F173:K173" si="7">SUM(F121,F172)</f>
        <v>726943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5" t="s">
        <v>1572</v>
      </c>
      <c r="B175" s="218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9" t="s">
        <v>1764</v>
      </c>
      <c r="B178" s="219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93" t="s">
        <v>1763</v>
      </c>
      <c r="B179" s="219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1" t="s">
        <v>818</v>
      </c>
      <c r="B184" s="219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87" t="s">
        <v>1902</v>
      </c>
      <c r="B185" s="218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23057</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23057</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262399</v>
      </c>
      <c r="D194" s="468"/>
      <c r="E194" s="561"/>
      <c r="F194" s="468"/>
      <c r="G194" s="585"/>
      <c r="H194" s="468"/>
      <c r="I194" s="468"/>
      <c r="J194" s="468"/>
      <c r="K194" s="468"/>
    </row>
    <row r="195" spans="1:11" ht="12.75" customHeight="1" x14ac:dyDescent="0.2">
      <c r="A195" s="463" t="s">
        <v>1107</v>
      </c>
      <c r="B195" s="470">
        <v>4215</v>
      </c>
      <c r="C195" s="551">
        <v>1266</v>
      </c>
      <c r="D195" s="468"/>
      <c r="E195" s="561"/>
      <c r="F195" s="468"/>
      <c r="G195" s="585"/>
      <c r="H195" s="468"/>
      <c r="I195" s="468"/>
      <c r="J195" s="468"/>
      <c r="K195" s="468"/>
    </row>
    <row r="196" spans="1:11" ht="12.75" customHeight="1" x14ac:dyDescent="0.2">
      <c r="A196" s="463" t="s">
        <v>1119</v>
      </c>
      <c r="B196" s="470">
        <v>4220</v>
      </c>
      <c r="C196" s="551">
        <v>124322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387987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398653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398653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11784</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11784</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120811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120811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68226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26798</v>
      </c>
      <c r="D270" s="576"/>
      <c r="E270" s="468"/>
      <c r="F270" s="576"/>
      <c r="G270" s="576"/>
      <c r="H270" s="468"/>
      <c r="I270" s="468"/>
      <c r="J270" s="468"/>
      <c r="K270" s="468"/>
    </row>
    <row r="271" spans="1:11" ht="12.75" customHeight="1" thickTop="1" thickBot="1" x14ac:dyDescent="0.25">
      <c r="A271" s="463" t="s">
        <v>395</v>
      </c>
      <c r="B271" s="470">
        <v>4992</v>
      </c>
      <c r="C271" s="575">
        <v>51694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1089010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1089010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9905438</v>
      </c>
      <c r="D275" s="1737">
        <f t="shared" si="12"/>
        <v>614400</v>
      </c>
      <c r="E275" s="1737">
        <f t="shared" si="12"/>
        <v>1258681</v>
      </c>
      <c r="F275" s="1737">
        <f t="shared" si="12"/>
        <v>965565</v>
      </c>
      <c r="G275" s="1737">
        <f t="shared" si="12"/>
        <v>375300</v>
      </c>
      <c r="H275" s="1737">
        <f t="shared" si="12"/>
        <v>49292</v>
      </c>
      <c r="I275" s="1737">
        <f t="shared" si="12"/>
        <v>61020</v>
      </c>
      <c r="J275" s="1737">
        <f t="shared" si="12"/>
        <v>427943</v>
      </c>
      <c r="K275" s="1724">
        <f t="shared" si="12"/>
        <v>63133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3" activePane="bottomLeft" state="frozen"/>
      <selection activeCell="A7" sqref="A7:D7"/>
      <selection pane="bottomLeft" activeCell="A7" sqref="A7:D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3"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1" t="s">
        <v>315</v>
      </c>
      <c r="B3" s="220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2434614</v>
      </c>
      <c r="D5" s="466">
        <v>776150</v>
      </c>
      <c r="E5" s="466">
        <v>18492</v>
      </c>
      <c r="F5" s="466">
        <v>141258</v>
      </c>
      <c r="G5" s="466">
        <v>12311</v>
      </c>
      <c r="H5" s="466">
        <v>165</v>
      </c>
      <c r="I5" s="467"/>
      <c r="J5" s="467"/>
      <c r="K5" s="1693">
        <f>SUM(C5:J5)</f>
        <v>3382990</v>
      </c>
      <c r="L5" s="466">
        <v>3713500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120827</v>
      </c>
      <c r="D7" s="467">
        <v>32886</v>
      </c>
      <c r="E7" s="467"/>
      <c r="F7" s="467">
        <v>17684</v>
      </c>
      <c r="G7" s="467"/>
      <c r="H7" s="467"/>
      <c r="I7" s="467"/>
      <c r="J7" s="467"/>
      <c r="K7" s="1693">
        <f t="shared" ref="K7:K32" si="0">SUM(C7:J7)</f>
        <v>171397</v>
      </c>
      <c r="L7" s="466">
        <v>171900</v>
      </c>
    </row>
    <row r="8" spans="1:14" x14ac:dyDescent="0.2">
      <c r="A8" s="1526" t="s">
        <v>166</v>
      </c>
      <c r="B8" s="615">
        <v>1200</v>
      </c>
      <c r="C8" s="466">
        <v>1054675</v>
      </c>
      <c r="D8" s="466">
        <v>292025</v>
      </c>
      <c r="E8" s="466">
        <v>10221</v>
      </c>
      <c r="F8" s="466">
        <v>5067</v>
      </c>
      <c r="G8" s="466"/>
      <c r="H8" s="466">
        <v>4669</v>
      </c>
      <c r="I8" s="467"/>
      <c r="J8" s="467"/>
      <c r="K8" s="1693">
        <f t="shared" si="0"/>
        <v>1366657</v>
      </c>
      <c r="L8" s="466">
        <v>1390820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279066</v>
      </c>
      <c r="D10" s="466">
        <v>103945</v>
      </c>
      <c r="E10" s="466">
        <v>8922</v>
      </c>
      <c r="F10" s="466">
        <v>2793</v>
      </c>
      <c r="G10" s="466"/>
      <c r="H10" s="466"/>
      <c r="I10" s="467"/>
      <c r="J10" s="467"/>
      <c r="K10" s="1693">
        <f t="shared" si="0"/>
        <v>394726</v>
      </c>
      <c r="L10" s="466">
        <v>427700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275972</v>
      </c>
      <c r="D13" s="466">
        <v>72829</v>
      </c>
      <c r="E13" s="466">
        <v>1423</v>
      </c>
      <c r="F13" s="466">
        <v>29530</v>
      </c>
      <c r="G13" s="466">
        <v>9388</v>
      </c>
      <c r="H13" s="466"/>
      <c r="I13" s="467"/>
      <c r="J13" s="467"/>
      <c r="K13" s="1693">
        <f t="shared" si="0"/>
        <v>389142</v>
      </c>
      <c r="L13" s="466">
        <v>367852</v>
      </c>
    </row>
    <row r="14" spans="1:14" x14ac:dyDescent="0.2">
      <c r="A14" s="1526" t="s">
        <v>1020</v>
      </c>
      <c r="B14" s="615">
        <v>1500</v>
      </c>
      <c r="C14" s="466">
        <v>150891</v>
      </c>
      <c r="D14" s="466">
        <v>12010</v>
      </c>
      <c r="E14" s="466">
        <v>40963</v>
      </c>
      <c r="F14" s="466">
        <v>38648</v>
      </c>
      <c r="G14" s="466">
        <v>6486</v>
      </c>
      <c r="H14" s="466">
        <v>11115</v>
      </c>
      <c r="I14" s="467"/>
      <c r="J14" s="467"/>
      <c r="K14" s="1693">
        <f t="shared" si="0"/>
        <v>260113</v>
      </c>
      <c r="L14" s="466">
        <v>271455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49134</v>
      </c>
      <c r="D17" s="467">
        <v>12328</v>
      </c>
      <c r="E17" s="467">
        <v>3933</v>
      </c>
      <c r="F17" s="467">
        <v>55</v>
      </c>
      <c r="G17" s="467"/>
      <c r="H17" s="467"/>
      <c r="I17" s="467"/>
      <c r="J17" s="467"/>
      <c r="K17" s="1693">
        <f t="shared" si="0"/>
        <v>65450</v>
      </c>
      <c r="L17" s="466">
        <v>72266</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v>81789</v>
      </c>
      <c r="D19" s="466">
        <v>26769</v>
      </c>
      <c r="E19" s="466"/>
      <c r="F19" s="466"/>
      <c r="G19" s="466"/>
      <c r="H19" s="466"/>
      <c r="I19" s="467"/>
      <c r="J19" s="467"/>
      <c r="K19" s="1693">
        <f t="shared" si="0"/>
        <v>108558</v>
      </c>
      <c r="L19" s="466">
        <v>103235</v>
      </c>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4446968</v>
      </c>
      <c r="D33" s="1692">
        <f t="shared" ref="D33:L33" si="1">SUM(D5:D32)</f>
        <v>1328942</v>
      </c>
      <c r="E33" s="1692">
        <f t="shared" si="1"/>
        <v>83954</v>
      </c>
      <c r="F33" s="1692">
        <f t="shared" si="1"/>
        <v>235035</v>
      </c>
      <c r="G33" s="1692">
        <f t="shared" si="1"/>
        <v>28185</v>
      </c>
      <c r="H33" s="1692">
        <f t="shared" si="1"/>
        <v>15949</v>
      </c>
      <c r="I33" s="1692">
        <f t="shared" si="1"/>
        <v>0</v>
      </c>
      <c r="J33" s="1692">
        <f t="shared" si="1"/>
        <v>0</v>
      </c>
      <c r="K33" s="1692">
        <f t="shared" si="1"/>
        <v>6139033</v>
      </c>
      <c r="L33" s="1692">
        <f t="shared" si="1"/>
        <v>6518728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104710</v>
      </c>
      <c r="D36" s="481">
        <v>25913</v>
      </c>
      <c r="E36" s="481">
        <v>40</v>
      </c>
      <c r="F36" s="481"/>
      <c r="G36" s="481"/>
      <c r="H36" s="481">
        <v>61</v>
      </c>
      <c r="I36" s="467"/>
      <c r="J36" s="467"/>
      <c r="K36" s="1693">
        <f t="shared" ref="K36:K41" si="2">SUM(C36:J36)</f>
        <v>130724</v>
      </c>
      <c r="L36" s="466">
        <v>131630</v>
      </c>
    </row>
    <row r="37" spans="1:14" x14ac:dyDescent="0.2">
      <c r="A37" s="1526" t="s">
        <v>1151</v>
      </c>
      <c r="B37" s="615">
        <v>2120</v>
      </c>
      <c r="C37" s="466">
        <v>128479</v>
      </c>
      <c r="D37" s="466">
        <v>20909</v>
      </c>
      <c r="E37" s="466">
        <v>907</v>
      </c>
      <c r="F37" s="466">
        <v>4349</v>
      </c>
      <c r="G37" s="466"/>
      <c r="H37" s="466"/>
      <c r="I37" s="467"/>
      <c r="J37" s="467"/>
      <c r="K37" s="1693">
        <f t="shared" si="2"/>
        <v>154644</v>
      </c>
      <c r="L37" s="466">
        <v>98411</v>
      </c>
    </row>
    <row r="38" spans="1:14" x14ac:dyDescent="0.2">
      <c r="A38" s="1526" t="s">
        <v>207</v>
      </c>
      <c r="B38" s="615">
        <v>2130</v>
      </c>
      <c r="C38" s="466">
        <v>4235</v>
      </c>
      <c r="D38" s="466"/>
      <c r="E38" s="466"/>
      <c r="F38" s="466"/>
      <c r="G38" s="466"/>
      <c r="H38" s="466"/>
      <c r="I38" s="467"/>
      <c r="J38" s="467"/>
      <c r="K38" s="1693">
        <f t="shared" si="2"/>
        <v>4235</v>
      </c>
      <c r="L38" s="466">
        <v>70816</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v>2000</v>
      </c>
    </row>
    <row r="42" spans="1:14" ht="12.75" customHeight="1" thickBot="1" x14ac:dyDescent="0.25">
      <c r="A42" s="1690" t="s">
        <v>581</v>
      </c>
      <c r="B42" s="1691" t="s">
        <v>740</v>
      </c>
      <c r="C42" s="1692">
        <f>SUM(C36:C41)</f>
        <v>237424</v>
      </c>
      <c r="D42" s="1692">
        <f t="shared" ref="D42:L42" si="3">SUM(D36:D41)</f>
        <v>46822</v>
      </c>
      <c r="E42" s="1692">
        <f t="shared" si="3"/>
        <v>947</v>
      </c>
      <c r="F42" s="1692">
        <f t="shared" si="3"/>
        <v>4349</v>
      </c>
      <c r="G42" s="1692">
        <f t="shared" si="3"/>
        <v>0</v>
      </c>
      <c r="H42" s="1692">
        <f t="shared" si="3"/>
        <v>61</v>
      </c>
      <c r="I42" s="1692">
        <f t="shared" si="3"/>
        <v>0</v>
      </c>
      <c r="J42" s="1692">
        <f t="shared" si="3"/>
        <v>0</v>
      </c>
      <c r="K42" s="1692">
        <f t="shared" si="3"/>
        <v>289603</v>
      </c>
      <c r="L42" s="1692">
        <f t="shared" si="3"/>
        <v>302857</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34954</v>
      </c>
      <c r="D44" s="481">
        <v>7858</v>
      </c>
      <c r="E44" s="481">
        <v>124508</v>
      </c>
      <c r="F44" s="481">
        <v>7849</v>
      </c>
      <c r="G44" s="481">
        <v>38312</v>
      </c>
      <c r="H44" s="481"/>
      <c r="I44" s="467"/>
      <c r="J44" s="467"/>
      <c r="K44" s="1694">
        <f>SUM(C44:J44)</f>
        <v>213481</v>
      </c>
      <c r="L44" s="481">
        <v>215328</v>
      </c>
    </row>
    <row r="45" spans="1:14" x14ac:dyDescent="0.2">
      <c r="A45" s="1526" t="s">
        <v>869</v>
      </c>
      <c r="B45" s="615">
        <v>2220</v>
      </c>
      <c r="C45" s="466">
        <v>108266</v>
      </c>
      <c r="D45" s="466">
        <v>29110</v>
      </c>
      <c r="E45" s="466">
        <v>108</v>
      </c>
      <c r="F45" s="466">
        <v>7297</v>
      </c>
      <c r="G45" s="466"/>
      <c r="H45" s="466"/>
      <c r="I45" s="467"/>
      <c r="J45" s="467"/>
      <c r="K45" s="1694">
        <f>SUM(C45:J45)</f>
        <v>144781</v>
      </c>
      <c r="L45" s="466">
        <v>153750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143220</v>
      </c>
      <c r="D47" s="1692">
        <f t="shared" ref="D47:K47" si="4">SUM(D44:D46)</f>
        <v>36968</v>
      </c>
      <c r="E47" s="1692">
        <f t="shared" si="4"/>
        <v>124616</v>
      </c>
      <c r="F47" s="1692">
        <f t="shared" si="4"/>
        <v>15146</v>
      </c>
      <c r="G47" s="1692">
        <f t="shared" si="4"/>
        <v>38312</v>
      </c>
      <c r="H47" s="1692">
        <f t="shared" si="4"/>
        <v>0</v>
      </c>
      <c r="I47" s="1692">
        <f t="shared" si="4"/>
        <v>0</v>
      </c>
      <c r="J47" s="1692">
        <f t="shared" si="4"/>
        <v>0</v>
      </c>
      <c r="K47" s="1692">
        <f t="shared" si="4"/>
        <v>358262</v>
      </c>
      <c r="L47" s="1692">
        <f>SUM(L44:L46)</f>
        <v>369078</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18882</v>
      </c>
      <c r="F49" s="481">
        <v>8470</v>
      </c>
      <c r="G49" s="481"/>
      <c r="H49" s="481">
        <v>4550</v>
      </c>
      <c r="I49" s="467"/>
      <c r="J49" s="467"/>
      <c r="K49" s="1694">
        <f>SUM(C49:J49)</f>
        <v>31902</v>
      </c>
      <c r="L49" s="481">
        <v>44000</v>
      </c>
    </row>
    <row r="50" spans="1:14" x14ac:dyDescent="0.2">
      <c r="A50" s="1526" t="s">
        <v>872</v>
      </c>
      <c r="B50" s="615">
        <v>2320</v>
      </c>
      <c r="C50" s="466">
        <v>186116</v>
      </c>
      <c r="D50" s="466">
        <v>58174</v>
      </c>
      <c r="E50" s="466">
        <v>11930</v>
      </c>
      <c r="F50" s="466">
        <v>4703</v>
      </c>
      <c r="G50" s="466"/>
      <c r="H50" s="466">
        <v>5111</v>
      </c>
      <c r="I50" s="467"/>
      <c r="J50" s="467"/>
      <c r="K50" s="1694">
        <f>SUM(C50:J50)</f>
        <v>266034</v>
      </c>
      <c r="L50" s="466">
        <v>264800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186116</v>
      </c>
      <c r="D53" s="1692">
        <f t="shared" ref="D53:L53" si="5">SUM(D49:D52)</f>
        <v>58174</v>
      </c>
      <c r="E53" s="1692">
        <f t="shared" si="5"/>
        <v>30812</v>
      </c>
      <c r="F53" s="1692">
        <f t="shared" si="5"/>
        <v>13173</v>
      </c>
      <c r="G53" s="1692">
        <f t="shared" si="5"/>
        <v>0</v>
      </c>
      <c r="H53" s="1692">
        <f t="shared" si="5"/>
        <v>9661</v>
      </c>
      <c r="I53" s="1692">
        <f t="shared" si="5"/>
        <v>0</v>
      </c>
      <c r="J53" s="1692">
        <f t="shared" si="5"/>
        <v>0</v>
      </c>
      <c r="K53" s="1692">
        <f t="shared" si="5"/>
        <v>297936</v>
      </c>
      <c r="L53" s="1692">
        <f t="shared" si="5"/>
        <v>308800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431266</v>
      </c>
      <c r="D55" s="481">
        <v>125646</v>
      </c>
      <c r="E55" s="481">
        <v>23483</v>
      </c>
      <c r="F55" s="481">
        <v>12772</v>
      </c>
      <c r="G55" s="481"/>
      <c r="H55" s="481">
        <v>5208</v>
      </c>
      <c r="I55" s="467"/>
      <c r="J55" s="467"/>
      <c r="K55" s="1694">
        <f>SUM(C55:J55)</f>
        <v>598375</v>
      </c>
      <c r="L55" s="481">
        <v>609650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431266</v>
      </c>
      <c r="D57" s="1696">
        <f t="shared" ref="D57:K57" si="6">SUM(D55:D56)</f>
        <v>125646</v>
      </c>
      <c r="E57" s="1696">
        <f t="shared" si="6"/>
        <v>23483</v>
      </c>
      <c r="F57" s="1696">
        <f t="shared" si="6"/>
        <v>12772</v>
      </c>
      <c r="G57" s="1696">
        <f t="shared" si="6"/>
        <v>0</v>
      </c>
      <c r="H57" s="1696">
        <f t="shared" si="6"/>
        <v>5208</v>
      </c>
      <c r="I57" s="1696">
        <f t="shared" si="6"/>
        <v>0</v>
      </c>
      <c r="J57" s="1696">
        <f t="shared" si="6"/>
        <v>0</v>
      </c>
      <c r="K57" s="1696">
        <f t="shared" si="6"/>
        <v>598375</v>
      </c>
      <c r="L57" s="1692">
        <f>SUM(L55:L56)</f>
        <v>609650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114434</v>
      </c>
      <c r="D60" s="466">
        <v>20548</v>
      </c>
      <c r="E60" s="466">
        <v>9609</v>
      </c>
      <c r="F60" s="466">
        <v>1570</v>
      </c>
      <c r="G60" s="466">
        <v>1429</v>
      </c>
      <c r="H60" s="466"/>
      <c r="I60" s="467"/>
      <c r="J60" s="467"/>
      <c r="K60" s="1694">
        <f t="shared" si="7"/>
        <v>147590</v>
      </c>
      <c r="L60" s="466">
        <v>147700</v>
      </c>
      <c r="M60" s="610"/>
      <c r="N60" s="610"/>
    </row>
    <row r="61" spans="1:14" s="343" customFormat="1" x14ac:dyDescent="0.2">
      <c r="A61" s="1526" t="s">
        <v>206</v>
      </c>
      <c r="B61" s="615">
        <v>2540</v>
      </c>
      <c r="C61" s="466">
        <v>112678</v>
      </c>
      <c r="D61" s="466">
        <v>31432</v>
      </c>
      <c r="E61" s="466"/>
      <c r="F61" s="466"/>
      <c r="G61" s="466"/>
      <c r="H61" s="466"/>
      <c r="I61" s="467"/>
      <c r="J61" s="467"/>
      <c r="K61" s="1694">
        <f t="shared" si="7"/>
        <v>144110</v>
      </c>
      <c r="L61" s="466">
        <v>163000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187784</v>
      </c>
      <c r="D63" s="466">
        <v>32154</v>
      </c>
      <c r="E63" s="466">
        <v>16570</v>
      </c>
      <c r="F63" s="466">
        <v>278474</v>
      </c>
      <c r="G63" s="466">
        <v>800</v>
      </c>
      <c r="H63" s="466"/>
      <c r="I63" s="467"/>
      <c r="J63" s="467"/>
      <c r="K63" s="1694">
        <f t="shared" si="7"/>
        <v>515782</v>
      </c>
      <c r="L63" s="466">
        <v>547600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414896</v>
      </c>
      <c r="D65" s="1692">
        <f t="shared" ref="D65:L65" si="8">SUM(D59:D64)</f>
        <v>84134</v>
      </c>
      <c r="E65" s="1692">
        <f t="shared" si="8"/>
        <v>26179</v>
      </c>
      <c r="F65" s="1692">
        <f t="shared" si="8"/>
        <v>280044</v>
      </c>
      <c r="G65" s="1692">
        <f t="shared" si="8"/>
        <v>2229</v>
      </c>
      <c r="H65" s="1692">
        <f t="shared" si="8"/>
        <v>0</v>
      </c>
      <c r="I65" s="1692">
        <f t="shared" si="8"/>
        <v>0</v>
      </c>
      <c r="J65" s="1692">
        <f t="shared" si="8"/>
        <v>0</v>
      </c>
      <c r="K65" s="1692">
        <f t="shared" si="8"/>
        <v>807482</v>
      </c>
      <c r="L65" s="1692">
        <f t="shared" si="8"/>
        <v>858300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460</v>
      </c>
      <c r="F71" s="466"/>
      <c r="G71" s="466"/>
      <c r="H71" s="466"/>
      <c r="I71" s="467"/>
      <c r="J71" s="467"/>
      <c r="K71" s="1694">
        <f>SUM(C71:J71)</f>
        <v>460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460</v>
      </c>
      <c r="F72" s="1692">
        <f t="shared" si="9"/>
        <v>0</v>
      </c>
      <c r="G72" s="1692">
        <f t="shared" si="9"/>
        <v>0</v>
      </c>
      <c r="H72" s="1692">
        <f t="shared" si="9"/>
        <v>0</v>
      </c>
      <c r="I72" s="1692">
        <f t="shared" si="9"/>
        <v>0</v>
      </c>
      <c r="J72" s="1692">
        <f t="shared" si="9"/>
        <v>0</v>
      </c>
      <c r="K72" s="1692">
        <f t="shared" si="9"/>
        <v>460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1412922</v>
      </c>
      <c r="D74" s="1699">
        <f t="shared" ref="D74:K74" si="10">SUM(D42,D47,D53,D57,D65,D72,D73)</f>
        <v>351744</v>
      </c>
      <c r="E74" s="1699">
        <f t="shared" si="10"/>
        <v>206497</v>
      </c>
      <c r="F74" s="1699">
        <f t="shared" si="10"/>
        <v>325484</v>
      </c>
      <c r="G74" s="1699">
        <f t="shared" si="10"/>
        <v>40541</v>
      </c>
      <c r="H74" s="1699">
        <f t="shared" si="10"/>
        <v>14930</v>
      </c>
      <c r="I74" s="1699">
        <f t="shared" si="10"/>
        <v>0</v>
      </c>
      <c r="J74" s="1699">
        <f t="shared" si="10"/>
        <v>0</v>
      </c>
      <c r="K74" s="1699">
        <f t="shared" si="10"/>
        <v>2352118</v>
      </c>
      <c r="L74" s="1699">
        <f>SUM(L42,L47,L53,L57,L65,L72,L73)</f>
        <v>2448685</v>
      </c>
    </row>
    <row r="75" spans="1:14" s="259" customFormat="1" ht="15.75" customHeight="1" thickTop="1" thickBot="1" x14ac:dyDescent="0.25">
      <c r="A75" s="1632" t="s">
        <v>49</v>
      </c>
      <c r="B75" s="1633" t="s">
        <v>596</v>
      </c>
      <c r="C75" s="573">
        <v>29025</v>
      </c>
      <c r="D75" s="573">
        <v>5137</v>
      </c>
      <c r="E75" s="573">
        <v>1531</v>
      </c>
      <c r="F75" s="573">
        <v>3651</v>
      </c>
      <c r="G75" s="573"/>
      <c r="H75" s="573"/>
      <c r="I75" s="531"/>
      <c r="J75" s="531"/>
      <c r="K75" s="1692">
        <f>SUM(C75:J75)</f>
        <v>39344</v>
      </c>
      <c r="L75" s="576">
        <v>35650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470168</v>
      </c>
      <c r="I86" s="477"/>
      <c r="J86" s="477"/>
      <c r="K86" s="1699">
        <f t="shared" ref="K86:K98" si="12">H86</f>
        <v>470168</v>
      </c>
      <c r="L86" s="530">
        <v>425000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470168</v>
      </c>
      <c r="I92" s="477"/>
      <c r="J92" s="477"/>
      <c r="K92" s="1699">
        <f t="shared" si="12"/>
        <v>470168</v>
      </c>
      <c r="L92" s="1692">
        <f>SUM(L85:L91)</f>
        <v>425000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470168</v>
      </c>
      <c r="I102" s="477"/>
      <c r="J102" s="477"/>
      <c r="K102" s="1699">
        <f>SUM(K84,K92,K100,K101)</f>
        <v>470168</v>
      </c>
      <c r="L102" s="1699">
        <f>SUM(L84,L92,L100,L101)</f>
        <v>425000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5888915</v>
      </c>
      <c r="D114" s="1692">
        <f t="shared" ref="D114:K114" si="13">SUM(D33,D74,D75,D102,D112,D113)</f>
        <v>1685823</v>
      </c>
      <c r="E114" s="1692">
        <f t="shared" si="13"/>
        <v>291982</v>
      </c>
      <c r="F114" s="1692">
        <f t="shared" si="13"/>
        <v>564170</v>
      </c>
      <c r="G114" s="1692">
        <f t="shared" si="13"/>
        <v>68726</v>
      </c>
      <c r="H114" s="1692">
        <f>SUM(H33,H74,H75,H102,H112,H113)</f>
        <v>501047</v>
      </c>
      <c r="I114" s="1692">
        <f t="shared" si="13"/>
        <v>0</v>
      </c>
      <c r="J114" s="1692">
        <f t="shared" si="13"/>
        <v>0</v>
      </c>
      <c r="K114" s="1692">
        <f t="shared" si="13"/>
        <v>9000663</v>
      </c>
      <c r="L114" s="1692">
        <f>SUM(L33,L74,L75,L102,L112,L113)</f>
        <v>9428063</v>
      </c>
    </row>
    <row r="115" spans="1:14" ht="13.5" thickTop="1" x14ac:dyDescent="0.2">
      <c r="A115" s="2220" t="s">
        <v>1053</v>
      </c>
      <c r="B115" s="2221"/>
      <c r="C115" s="619"/>
      <c r="D115" s="619"/>
      <c r="E115" s="619"/>
      <c r="F115" s="619"/>
      <c r="G115" s="619"/>
      <c r="H115" s="619"/>
      <c r="I115" s="619"/>
      <c r="J115" s="619"/>
      <c r="K115" s="1706">
        <f>'Revenues 9-14'!C275-'Expenditures 15-22'!K114</f>
        <v>904775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8" t="s">
        <v>314</v>
      </c>
      <c r="B117" s="219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7500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209940</v>
      </c>
      <c r="D124" s="466">
        <v>33727</v>
      </c>
      <c r="E124" s="466">
        <v>138066</v>
      </c>
      <c r="F124" s="466">
        <v>270454</v>
      </c>
      <c r="G124" s="466">
        <v>65842</v>
      </c>
      <c r="H124" s="466">
        <v>18</v>
      </c>
      <c r="I124" s="467"/>
      <c r="J124" s="467"/>
      <c r="K124" s="1692">
        <f>SUM(C124:J124)</f>
        <v>718047</v>
      </c>
      <c r="L124" s="466">
        <v>707100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v>5000</v>
      </c>
    </row>
    <row r="127" spans="1:14" ht="12.75" customHeight="1" thickTop="1" thickBot="1" x14ac:dyDescent="0.25">
      <c r="A127" s="1690" t="s">
        <v>743</v>
      </c>
      <c r="B127" s="1691" t="s">
        <v>35</v>
      </c>
      <c r="C127" s="1692">
        <f>SUM(C122:C126)</f>
        <v>209940</v>
      </c>
      <c r="D127" s="1692">
        <f t="shared" ref="D127:L127" si="14">SUM(D122:D126)</f>
        <v>33727</v>
      </c>
      <c r="E127" s="1692">
        <f t="shared" si="14"/>
        <v>138066</v>
      </c>
      <c r="F127" s="1692">
        <f t="shared" si="14"/>
        <v>270454</v>
      </c>
      <c r="G127" s="1692">
        <f t="shared" si="14"/>
        <v>65842</v>
      </c>
      <c r="H127" s="1692">
        <f t="shared" si="14"/>
        <v>18</v>
      </c>
      <c r="I127" s="1692">
        <f t="shared" si="14"/>
        <v>0</v>
      </c>
      <c r="J127" s="1692">
        <f t="shared" si="14"/>
        <v>0</v>
      </c>
      <c r="K127" s="1692">
        <f t="shared" si="14"/>
        <v>718047</v>
      </c>
      <c r="L127" s="1692">
        <f t="shared" si="14"/>
        <v>712100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209940</v>
      </c>
      <c r="D129" s="1699">
        <f t="shared" ref="D129:L129" si="15">SUM(D120,D127,D128)</f>
        <v>33727</v>
      </c>
      <c r="E129" s="1699">
        <f t="shared" si="15"/>
        <v>138066</v>
      </c>
      <c r="F129" s="1699">
        <f t="shared" si="15"/>
        <v>270454</v>
      </c>
      <c r="G129" s="1699">
        <f t="shared" si="15"/>
        <v>65842</v>
      </c>
      <c r="H129" s="1699">
        <f t="shared" si="15"/>
        <v>18</v>
      </c>
      <c r="I129" s="1699">
        <f t="shared" si="15"/>
        <v>0</v>
      </c>
      <c r="J129" s="1699">
        <f t="shared" si="15"/>
        <v>0</v>
      </c>
      <c r="K129" s="1699">
        <f t="shared" si="15"/>
        <v>718047</v>
      </c>
      <c r="L129" s="1699">
        <f t="shared" si="15"/>
        <v>719600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1952</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210" t="s">
        <v>641</v>
      </c>
      <c r="B151" s="2192"/>
      <c r="C151" s="1692">
        <f>SUM(C129,C130,C139,C149,C150)</f>
        <v>209940</v>
      </c>
      <c r="D151" s="1692">
        <f t="shared" ref="D151:K151" si="16">SUM(D129,D130,D139,D149,D150)</f>
        <v>33727</v>
      </c>
      <c r="E151" s="1692">
        <f t="shared" si="16"/>
        <v>138066</v>
      </c>
      <c r="F151" s="1692">
        <f t="shared" si="16"/>
        <v>270454</v>
      </c>
      <c r="G151" s="1692">
        <f t="shared" si="16"/>
        <v>65842</v>
      </c>
      <c r="H151" s="1692">
        <f t="shared" si="16"/>
        <v>18</v>
      </c>
      <c r="I151" s="1692">
        <f t="shared" si="16"/>
        <v>0</v>
      </c>
      <c r="J151" s="1692">
        <f t="shared" si="16"/>
        <v>0</v>
      </c>
      <c r="K151" s="1692">
        <f t="shared" si="16"/>
        <v>718047</v>
      </c>
      <c r="L151" s="1692">
        <f>SUM(L129,L130,L139,L149,L150)</f>
        <v>719600</v>
      </c>
    </row>
    <row r="152" spans="1:14" ht="12.75" customHeight="1" thickTop="1" x14ac:dyDescent="0.2">
      <c r="A152" s="2213" t="s">
        <v>1240</v>
      </c>
      <c r="B152" s="2214"/>
      <c r="C152" s="619"/>
      <c r="D152" s="619"/>
      <c r="E152" s="619"/>
      <c r="F152" s="619"/>
      <c r="G152" s="619"/>
      <c r="H152" s="619"/>
      <c r="I152" s="619"/>
      <c r="J152" s="617"/>
      <c r="K152" s="1706">
        <f>'Revenues 9-14'!D275-'Expenditures 15-22'!K151</f>
        <v>-103647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8" t="s">
        <v>642</v>
      </c>
      <c r="B154" s="220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1953</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1952</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1954</v>
      </c>
      <c r="C158" s="617"/>
      <c r="D158" s="617"/>
      <c r="E158" s="617"/>
      <c r="F158" s="617"/>
      <c r="G158" s="617"/>
      <c r="H158" s="467"/>
      <c r="I158" s="617"/>
      <c r="J158" s="617"/>
      <c r="K158" s="1693">
        <f>H158</f>
        <v>0</v>
      </c>
      <c r="L158" s="467"/>
      <c r="M158" s="620"/>
      <c r="N158" s="620"/>
    </row>
    <row r="159" spans="1:14" s="621" customFormat="1" ht="12" x14ac:dyDescent="0.2">
      <c r="A159" s="1849" t="s">
        <v>1955</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1956</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677522</v>
      </c>
      <c r="I169" s="617"/>
      <c r="J169" s="617"/>
      <c r="K169" s="1693">
        <f>SUM(C169:H169)</f>
        <v>677522</v>
      </c>
      <c r="L169" s="657">
        <v>674553</v>
      </c>
    </row>
    <row r="170" spans="1:14" ht="33.75" customHeight="1" x14ac:dyDescent="0.2">
      <c r="A170" s="670" t="s">
        <v>1769</v>
      </c>
      <c r="B170" s="672" t="s">
        <v>31</v>
      </c>
      <c r="C170" s="617"/>
      <c r="D170" s="617"/>
      <c r="E170" s="617"/>
      <c r="F170" s="617"/>
      <c r="G170" s="617"/>
      <c r="H170" s="569">
        <v>631693</v>
      </c>
      <c r="I170" s="617"/>
      <c r="J170" s="617"/>
      <c r="K170" s="1693">
        <f>SUM(C170:J170)</f>
        <v>631693</v>
      </c>
      <c r="L170" s="569">
        <v>636300</v>
      </c>
    </row>
    <row r="171" spans="1:14" ht="15.75" customHeight="1" x14ac:dyDescent="0.2">
      <c r="A171" s="622" t="s">
        <v>790</v>
      </c>
      <c r="B171" s="673" t="s">
        <v>86</v>
      </c>
      <c r="C171" s="617"/>
      <c r="D171" s="617"/>
      <c r="E171" s="466"/>
      <c r="F171" s="617"/>
      <c r="G171" s="617"/>
      <c r="H171" s="569">
        <v>1204</v>
      </c>
      <c r="I171" s="477"/>
      <c r="J171" s="617"/>
      <c r="K171" s="1693">
        <f>SUM(C171:J171)</f>
        <v>1204</v>
      </c>
      <c r="L171" s="569"/>
    </row>
    <row r="172" spans="1:14" ht="12.75" customHeight="1" thickBot="1" x14ac:dyDescent="0.25">
      <c r="A172" s="1690" t="s">
        <v>659</v>
      </c>
      <c r="B172" s="1691" t="s">
        <v>513</v>
      </c>
      <c r="C172" s="617"/>
      <c r="D172" s="617"/>
      <c r="E172" s="1699">
        <f>SUM(E168,E169,E170,E171)</f>
        <v>0</v>
      </c>
      <c r="F172" s="617"/>
      <c r="G172" s="617"/>
      <c r="H172" s="1699">
        <f>SUM(H168,H169,H170,H171)</f>
        <v>1310419</v>
      </c>
      <c r="I172" s="639"/>
      <c r="J172" s="617"/>
      <c r="K172" s="1699">
        <f>SUM(K168,K169,K170,K171)</f>
        <v>1310419</v>
      </c>
      <c r="L172" s="1699">
        <f>SUM(L168,L169,L170,L171)</f>
        <v>1310853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1310419</v>
      </c>
      <c r="I174" s="639"/>
      <c r="J174" s="617"/>
      <c r="K174" s="1699">
        <f>SUM(K160,K172,K173)</f>
        <v>1310419</v>
      </c>
      <c r="L174" s="1699">
        <f>SUM(L160,L172,L173)</f>
        <v>1310853</v>
      </c>
    </row>
    <row r="175" spans="1:14" ht="13.5" thickTop="1" x14ac:dyDescent="0.2">
      <c r="A175" s="2220" t="s">
        <v>1053</v>
      </c>
      <c r="B175" s="2221"/>
      <c r="C175" s="617"/>
      <c r="D175" s="617"/>
      <c r="E175" s="617"/>
      <c r="F175" s="617"/>
      <c r="G175" s="617"/>
      <c r="H175" s="619"/>
      <c r="I175" s="617"/>
      <c r="J175" s="617"/>
      <c r="K175" s="1706">
        <f>'Revenues 9-14'!E275-'Expenditures 15-22'!K174</f>
        <v>-51738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19900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595912</v>
      </c>
      <c r="D182" s="466">
        <v>39514</v>
      </c>
      <c r="E182" s="466">
        <v>49575</v>
      </c>
      <c r="F182" s="466">
        <v>135118</v>
      </c>
      <c r="G182" s="466">
        <v>304472</v>
      </c>
      <c r="H182" s="466">
        <v>3009</v>
      </c>
      <c r="I182" s="467"/>
      <c r="J182" s="467"/>
      <c r="K182" s="1693">
        <f>SUM(C182:J182)</f>
        <v>1127600</v>
      </c>
      <c r="L182" s="466">
        <v>965600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595912</v>
      </c>
      <c r="D184" s="1699">
        <f t="shared" ref="D184:J184" si="17">SUM(D180,D182,D183)</f>
        <v>39514</v>
      </c>
      <c r="E184" s="1699">
        <f t="shared" si="17"/>
        <v>49575</v>
      </c>
      <c r="F184" s="1699">
        <f t="shared" si="17"/>
        <v>135118</v>
      </c>
      <c r="G184" s="1699">
        <f t="shared" si="17"/>
        <v>304472</v>
      </c>
      <c r="H184" s="1699">
        <f t="shared" si="17"/>
        <v>3009</v>
      </c>
      <c r="I184" s="1699">
        <f t="shared" si="17"/>
        <v>0</v>
      </c>
      <c r="J184" s="1699">
        <f t="shared" si="17"/>
        <v>0</v>
      </c>
      <c r="K184" s="1699">
        <f>SUM(K180,K182,K183)</f>
        <v>1127600</v>
      </c>
      <c r="L184" s="1699">
        <f>SUM(L180, L182:L183)</f>
        <v>985500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6280</v>
      </c>
      <c r="I205" s="617"/>
      <c r="J205" s="617"/>
      <c r="K205" s="1707">
        <f>SUM(H205)</f>
        <v>6280</v>
      </c>
      <c r="L205" s="535"/>
    </row>
    <row r="206" spans="1:14" ht="30" customHeight="1" x14ac:dyDescent="0.2">
      <c r="A206" s="682" t="s">
        <v>1770</v>
      </c>
      <c r="B206" s="673" t="s">
        <v>31</v>
      </c>
      <c r="C206" s="617"/>
      <c r="D206" s="617"/>
      <c r="E206" s="617"/>
      <c r="F206" s="617"/>
      <c r="G206" s="617"/>
      <c r="H206" s="466">
        <v>73499</v>
      </c>
      <c r="I206" s="617"/>
      <c r="J206" s="617"/>
      <c r="K206" s="1693">
        <f>SUM(H206)</f>
        <v>73499</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79779</v>
      </c>
      <c r="I208" s="617"/>
      <c r="J208" s="617"/>
      <c r="K208" s="1699">
        <f>SUM(K204,K205,K206,K207)</f>
        <v>79779</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595912</v>
      </c>
      <c r="D210" s="1692">
        <f>SUM(D184,D185)</f>
        <v>39514</v>
      </c>
      <c r="E210" s="1692">
        <f>SUM(E184,E185,E196)</f>
        <v>49575</v>
      </c>
      <c r="F210" s="1692">
        <f>SUM(F184,F185)</f>
        <v>135118</v>
      </c>
      <c r="G210" s="1692">
        <f>SUM(G184,G185)</f>
        <v>304472</v>
      </c>
      <c r="H210" s="1692">
        <f>SUM(H184,H185,H196,H208,H209)</f>
        <v>82788</v>
      </c>
      <c r="I210" s="1692">
        <f>SUM(I184,I185)</f>
        <v>0</v>
      </c>
      <c r="J210" s="1692">
        <f>SUM(J184,J185)</f>
        <v>0</v>
      </c>
      <c r="K210" s="1693">
        <f>SUM(K184,K185,K196,K208,K209)</f>
        <v>1207379</v>
      </c>
      <c r="L210" s="1692">
        <f>SUM(L184,L185,L196,L208,L209)</f>
        <v>985500</v>
      </c>
    </row>
    <row r="211" spans="1:14" ht="13.5" thickTop="1" x14ac:dyDescent="0.2">
      <c r="A211" s="2220" t="s">
        <v>1053</v>
      </c>
      <c r="B211" s="2221"/>
      <c r="C211" s="619"/>
      <c r="D211" s="619"/>
      <c r="E211" s="619"/>
      <c r="F211" s="619"/>
      <c r="G211" s="619"/>
      <c r="H211" s="619"/>
      <c r="I211" s="617"/>
      <c r="J211" s="617"/>
      <c r="K211" s="1706">
        <f>'Revenues 9-14'!F275-'Expenditures 15-22'!K210</f>
        <v>-241814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5" t="s">
        <v>1022</v>
      </c>
      <c r="B213" s="221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35029</v>
      </c>
      <c r="E215" s="617"/>
      <c r="F215" s="617"/>
      <c r="G215" s="617"/>
      <c r="H215" s="617"/>
      <c r="I215" s="617"/>
      <c r="J215" s="617"/>
      <c r="K215" s="1693">
        <f>D215</f>
        <v>35029</v>
      </c>
      <c r="L215" s="466">
        <v>35820</v>
      </c>
    </row>
    <row r="216" spans="1:14" x14ac:dyDescent="0.2">
      <c r="A216" s="1526" t="s">
        <v>165</v>
      </c>
      <c r="B216" s="615" t="s">
        <v>1024</v>
      </c>
      <c r="C216" s="617"/>
      <c r="D216" s="467">
        <v>10206</v>
      </c>
      <c r="E216" s="617"/>
      <c r="F216" s="617"/>
      <c r="G216" s="617"/>
      <c r="H216" s="617"/>
      <c r="I216" s="617"/>
      <c r="J216" s="617"/>
      <c r="K216" s="1693">
        <f t="shared" ref="K216:K228" si="19">D216</f>
        <v>10206</v>
      </c>
      <c r="L216" s="466">
        <v>9500</v>
      </c>
    </row>
    <row r="217" spans="1:14" x14ac:dyDescent="0.2">
      <c r="A217" s="1526" t="s">
        <v>166</v>
      </c>
      <c r="B217" s="615">
        <v>1200</v>
      </c>
      <c r="C217" s="617"/>
      <c r="D217" s="466">
        <v>76476</v>
      </c>
      <c r="E217" s="617"/>
      <c r="F217" s="617"/>
      <c r="G217" s="617"/>
      <c r="H217" s="617"/>
      <c r="I217" s="617"/>
      <c r="J217" s="617"/>
      <c r="K217" s="1693">
        <f t="shared" si="19"/>
        <v>76476</v>
      </c>
      <c r="L217" s="466">
        <v>81300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3057</v>
      </c>
      <c r="E219" s="617"/>
      <c r="F219" s="617"/>
      <c r="G219" s="617"/>
      <c r="H219" s="617"/>
      <c r="I219" s="617"/>
      <c r="J219" s="617"/>
      <c r="K219" s="1693">
        <f t="shared" si="19"/>
        <v>3057</v>
      </c>
      <c r="L219" s="466">
        <v>2885</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3785</v>
      </c>
      <c r="E222" s="617"/>
      <c r="F222" s="617"/>
      <c r="G222" s="617"/>
      <c r="H222" s="617"/>
      <c r="I222" s="617"/>
      <c r="J222" s="617"/>
      <c r="K222" s="1693">
        <f t="shared" si="19"/>
        <v>3785</v>
      </c>
      <c r="L222" s="466">
        <v>3750</v>
      </c>
    </row>
    <row r="223" spans="1:14" x14ac:dyDescent="0.2">
      <c r="A223" s="1526" t="s">
        <v>1020</v>
      </c>
      <c r="B223" s="615">
        <v>1500</v>
      </c>
      <c r="C223" s="617"/>
      <c r="D223" s="466">
        <v>5294</v>
      </c>
      <c r="E223" s="617"/>
      <c r="F223" s="617"/>
      <c r="G223" s="617"/>
      <c r="H223" s="617"/>
      <c r="I223" s="617"/>
      <c r="J223" s="617"/>
      <c r="K223" s="1693">
        <f t="shared" si="19"/>
        <v>5294</v>
      </c>
      <c r="L223" s="466">
        <v>5150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707</v>
      </c>
      <c r="E226" s="617"/>
      <c r="F226" s="617"/>
      <c r="G226" s="617"/>
      <c r="H226" s="617"/>
      <c r="I226" s="617"/>
      <c r="J226" s="617"/>
      <c r="K226" s="1693">
        <f t="shared" si="19"/>
        <v>707</v>
      </c>
      <c r="L226" s="466">
        <v>1000</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v>3979</v>
      </c>
      <c r="E228" s="617"/>
      <c r="F228" s="617"/>
      <c r="G228" s="617"/>
      <c r="H228" s="617"/>
      <c r="I228" s="617"/>
      <c r="J228" s="617"/>
      <c r="K228" s="1693">
        <f t="shared" si="19"/>
        <v>3979</v>
      </c>
      <c r="L228" s="466">
        <v>4200</v>
      </c>
    </row>
    <row r="229" spans="1:12" ht="12.75" customHeight="1" thickBot="1" x14ac:dyDescent="0.25">
      <c r="A229" s="1690" t="s">
        <v>739</v>
      </c>
      <c r="B229" s="1697" t="s">
        <v>591</v>
      </c>
      <c r="C229" s="617"/>
      <c r="D229" s="1692">
        <f>SUM(D215:D228)</f>
        <v>138533</v>
      </c>
      <c r="E229" s="617"/>
      <c r="F229" s="617"/>
      <c r="G229" s="617"/>
      <c r="H229" s="617"/>
      <c r="I229" s="617"/>
      <c r="J229" s="617"/>
      <c r="K229" s="1692">
        <f>SUM(K215:K228)</f>
        <v>138533</v>
      </c>
      <c r="L229" s="1692">
        <f>SUM(L215:L228)</f>
        <v>143605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1239</v>
      </c>
      <c r="E232" s="617"/>
      <c r="F232" s="617"/>
      <c r="G232" s="617"/>
      <c r="H232" s="617"/>
      <c r="I232" s="617"/>
      <c r="J232" s="617"/>
      <c r="K232" s="1693">
        <f t="shared" ref="K232:K237" si="20">D232</f>
        <v>1239</v>
      </c>
      <c r="L232" s="466">
        <v>1200</v>
      </c>
    </row>
    <row r="233" spans="1:12" x14ac:dyDescent="0.2">
      <c r="A233" s="1526" t="s">
        <v>1151</v>
      </c>
      <c r="B233" s="615">
        <v>2120</v>
      </c>
      <c r="C233" s="617"/>
      <c r="D233" s="466">
        <v>5155</v>
      </c>
      <c r="E233" s="617"/>
      <c r="F233" s="617"/>
      <c r="G233" s="617"/>
      <c r="H233" s="617"/>
      <c r="I233" s="617"/>
      <c r="J233" s="617"/>
      <c r="K233" s="1693">
        <f t="shared" si="20"/>
        <v>5155</v>
      </c>
      <c r="L233" s="466">
        <v>5250</v>
      </c>
    </row>
    <row r="234" spans="1:12" x14ac:dyDescent="0.2">
      <c r="A234" s="1526" t="s">
        <v>207</v>
      </c>
      <c r="B234" s="615">
        <v>2130</v>
      </c>
      <c r="C234" s="617"/>
      <c r="D234" s="466">
        <v>8239</v>
      </c>
      <c r="E234" s="617"/>
      <c r="F234" s="617"/>
      <c r="G234" s="617"/>
      <c r="H234" s="617"/>
      <c r="I234" s="617"/>
      <c r="J234" s="617"/>
      <c r="K234" s="1693">
        <f t="shared" si="20"/>
        <v>8239</v>
      </c>
      <c r="L234" s="466">
        <v>9000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14633</v>
      </c>
      <c r="E238" s="617"/>
      <c r="F238" s="617"/>
      <c r="G238" s="617"/>
      <c r="H238" s="617"/>
      <c r="I238" s="617"/>
      <c r="J238" s="617"/>
      <c r="K238" s="1692">
        <f>SUM(K232:K237)</f>
        <v>14633</v>
      </c>
      <c r="L238" s="1692">
        <f>SUM(L232:L237)</f>
        <v>15450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521</v>
      </c>
      <c r="E240" s="617"/>
      <c r="F240" s="617"/>
      <c r="G240" s="617"/>
      <c r="H240" s="617"/>
      <c r="I240" s="617"/>
      <c r="J240" s="617"/>
      <c r="K240" s="1694">
        <f>D240</f>
        <v>521</v>
      </c>
      <c r="L240" s="481">
        <v>615</v>
      </c>
    </row>
    <row r="241" spans="1:12" x14ac:dyDescent="0.2">
      <c r="A241" s="1526" t="s">
        <v>869</v>
      </c>
      <c r="B241" s="615">
        <v>2220</v>
      </c>
      <c r="C241" s="617"/>
      <c r="D241" s="466">
        <v>21331</v>
      </c>
      <c r="E241" s="617"/>
      <c r="F241" s="617"/>
      <c r="G241" s="617"/>
      <c r="H241" s="617"/>
      <c r="I241" s="617"/>
      <c r="J241" s="617"/>
      <c r="K241" s="1694">
        <f>D241</f>
        <v>21331</v>
      </c>
      <c r="L241" s="466">
        <v>22000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21852</v>
      </c>
      <c r="E243" s="617"/>
      <c r="F243" s="617"/>
      <c r="G243" s="617"/>
      <c r="H243" s="617"/>
      <c r="I243" s="617"/>
      <c r="J243" s="617"/>
      <c r="K243" s="1692">
        <f>SUM(K240:K242)</f>
        <v>21852</v>
      </c>
      <c r="L243" s="1692">
        <f>SUM(L240:L242)</f>
        <v>22615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7588</v>
      </c>
      <c r="E246" s="617"/>
      <c r="F246" s="617"/>
      <c r="G246" s="617"/>
      <c r="H246" s="617"/>
      <c r="I246" s="617"/>
      <c r="J246" s="617"/>
      <c r="K246" s="1694">
        <f t="shared" ref="K246:K256" si="21">D246</f>
        <v>7588</v>
      </c>
      <c r="L246" s="466">
        <v>7455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1904</v>
      </c>
      <c r="B249" s="684" t="s">
        <v>300</v>
      </c>
      <c r="C249" s="617"/>
      <c r="D249" s="474"/>
      <c r="E249" s="617"/>
      <c r="F249" s="617"/>
      <c r="G249" s="617"/>
      <c r="H249" s="617"/>
      <c r="I249" s="617"/>
      <c r="J249" s="617"/>
      <c r="K249" s="1694">
        <f t="shared" si="21"/>
        <v>0</v>
      </c>
      <c r="L249" s="466"/>
    </row>
    <row r="250" spans="1:12" x14ac:dyDescent="0.2">
      <c r="A250" s="1527" t="s">
        <v>1905</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15449</v>
      </c>
      <c r="E254" s="617"/>
      <c r="F254" s="617"/>
      <c r="G254" s="617"/>
      <c r="H254" s="617"/>
      <c r="I254" s="617"/>
      <c r="J254" s="617"/>
      <c r="K254" s="1694">
        <f t="shared" si="21"/>
        <v>15449</v>
      </c>
      <c r="L254" s="466">
        <v>18450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23037</v>
      </c>
      <c r="E257" s="617"/>
      <c r="F257" s="617"/>
      <c r="G257" s="617"/>
      <c r="H257" s="617"/>
      <c r="I257" s="617"/>
      <c r="J257" s="617"/>
      <c r="K257" s="1692">
        <f>SUM(K245:K256)</f>
        <v>23037</v>
      </c>
      <c r="L257" s="1692">
        <f>SUM(L245:L256)</f>
        <v>25905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27827</v>
      </c>
      <c r="E259" s="617"/>
      <c r="F259" s="617"/>
      <c r="G259" s="617"/>
      <c r="H259" s="617"/>
      <c r="I259" s="617"/>
      <c r="J259" s="617"/>
      <c r="K259" s="1694">
        <f>D259</f>
        <v>27827</v>
      </c>
      <c r="L259" s="481">
        <v>30500</v>
      </c>
    </row>
    <row r="260" spans="1:14" s="598" customFormat="1" x14ac:dyDescent="0.2">
      <c r="A260" s="1544" t="s">
        <v>1903</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27827</v>
      </c>
      <c r="E261" s="617"/>
      <c r="F261" s="617"/>
      <c r="G261" s="617"/>
      <c r="H261" s="617"/>
      <c r="I261" s="617"/>
      <c r="J261" s="617"/>
      <c r="K261" s="1692">
        <f>SUM(K259:K260)</f>
        <v>27827</v>
      </c>
      <c r="L261" s="1692">
        <f>SUM(L259:L260)</f>
        <v>30500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21903</v>
      </c>
      <c r="E264" s="617"/>
      <c r="F264" s="617"/>
      <c r="G264" s="617"/>
      <c r="H264" s="617"/>
      <c r="I264" s="617"/>
      <c r="J264" s="617"/>
      <c r="K264" s="1694">
        <f t="shared" ref="K264:K269" si="22">D264</f>
        <v>21903</v>
      </c>
      <c r="L264" s="466">
        <v>22500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58603</v>
      </c>
      <c r="E266" s="617"/>
      <c r="F266" s="617"/>
      <c r="G266" s="617"/>
      <c r="H266" s="617"/>
      <c r="I266" s="617"/>
      <c r="J266" s="617"/>
      <c r="K266" s="1694">
        <f t="shared" si="22"/>
        <v>58603</v>
      </c>
      <c r="L266" s="466">
        <v>61305</v>
      </c>
    </row>
    <row r="267" spans="1:14" x14ac:dyDescent="0.2">
      <c r="A267" s="1526" t="s">
        <v>1010</v>
      </c>
      <c r="B267" s="615">
        <v>2550</v>
      </c>
      <c r="C267" s="617"/>
      <c r="D267" s="466">
        <v>99963</v>
      </c>
      <c r="E267" s="617"/>
      <c r="F267" s="617"/>
      <c r="G267" s="617"/>
      <c r="H267" s="617"/>
      <c r="I267" s="617"/>
      <c r="J267" s="617"/>
      <c r="K267" s="1694">
        <f t="shared" si="22"/>
        <v>99963</v>
      </c>
      <c r="L267" s="466">
        <v>101110</v>
      </c>
    </row>
    <row r="268" spans="1:14" x14ac:dyDescent="0.2">
      <c r="A268" s="1526" t="s">
        <v>102</v>
      </c>
      <c r="B268" s="615">
        <v>2560</v>
      </c>
      <c r="C268" s="617"/>
      <c r="D268" s="466">
        <v>33782</v>
      </c>
      <c r="E268" s="617"/>
      <c r="F268" s="617"/>
      <c r="G268" s="617"/>
      <c r="H268" s="617"/>
      <c r="I268" s="617"/>
      <c r="J268" s="617"/>
      <c r="K268" s="1694">
        <f t="shared" si="22"/>
        <v>33782</v>
      </c>
      <c r="L268" s="466">
        <v>37000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214251</v>
      </c>
      <c r="E270" s="617"/>
      <c r="F270" s="617"/>
      <c r="G270" s="617"/>
      <c r="H270" s="617"/>
      <c r="I270" s="617"/>
      <c r="J270" s="617"/>
      <c r="K270" s="1692">
        <f>SUM(K263:K269)</f>
        <v>214251</v>
      </c>
      <c r="L270" s="1692">
        <f>SUM(L263:L269)</f>
        <v>221915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301600</v>
      </c>
      <c r="E279" s="617"/>
      <c r="F279" s="617"/>
      <c r="G279" s="617"/>
      <c r="H279" s="617"/>
      <c r="I279" s="617"/>
      <c r="J279" s="617"/>
      <c r="K279" s="1699">
        <f>SUM(K238,K243,K257,K261,K270,K277,K278)</f>
        <v>301600</v>
      </c>
      <c r="L279" s="1699">
        <f>SUM(L238,L243,L257,L261,L270,L277,L278)</f>
        <v>316385</v>
      </c>
    </row>
    <row r="280" spans="1:12" ht="15.75" customHeight="1" thickTop="1" thickBot="1" x14ac:dyDescent="0.25">
      <c r="A280" s="1646" t="s">
        <v>930</v>
      </c>
      <c r="B280" s="1635">
        <v>3000</v>
      </c>
      <c r="C280" s="617"/>
      <c r="D280" s="576">
        <v>5126</v>
      </c>
      <c r="E280" s="617"/>
      <c r="F280" s="617"/>
      <c r="G280" s="617"/>
      <c r="H280" s="617"/>
      <c r="I280" s="617"/>
      <c r="J280" s="617"/>
      <c r="K280" s="1701">
        <f>D280</f>
        <v>5126</v>
      </c>
      <c r="L280" s="576">
        <v>5200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1952</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11" t="s">
        <v>526</v>
      </c>
      <c r="B295" s="2212"/>
      <c r="C295" s="617"/>
      <c r="D295" s="1692">
        <f>SUM(D229,D279,D280,D285)</f>
        <v>445259</v>
      </c>
      <c r="E295" s="617"/>
      <c r="F295" s="617"/>
      <c r="G295" s="617"/>
      <c r="H295" s="1692">
        <f>H293</f>
        <v>0</v>
      </c>
      <c r="I295" s="617"/>
      <c r="J295" s="617"/>
      <c r="K295" s="1692">
        <f>SUM(K229,K279,K280,K285,K293,K294)</f>
        <v>445259</v>
      </c>
      <c r="L295" s="1692">
        <f>SUM(L229,L279,L280,L285,L293,L294)</f>
        <v>465190</v>
      </c>
    </row>
    <row r="296" spans="1:14" ht="13.5" thickTop="1" x14ac:dyDescent="0.2">
      <c r="A296" s="2220" t="s">
        <v>1053</v>
      </c>
      <c r="B296" s="2221"/>
      <c r="C296" s="617"/>
      <c r="D296" s="619"/>
      <c r="E296" s="617"/>
      <c r="F296" s="617"/>
      <c r="G296" s="617"/>
      <c r="H296" s="688"/>
      <c r="I296" s="617"/>
      <c r="J296" s="617"/>
      <c r="K296" s="1706">
        <f>'Revenues 9-14'!G275-'Expenditures 15-22'!K295</f>
        <v>-69959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3" t="s">
        <v>145</v>
      </c>
      <c r="B298" s="219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31381</v>
      </c>
      <c r="H301" s="466"/>
      <c r="I301" s="467"/>
      <c r="J301" s="467"/>
      <c r="K301" s="1693">
        <f>SUM(C301:J301)</f>
        <v>31381</v>
      </c>
      <c r="L301" s="467">
        <v>75000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31381</v>
      </c>
      <c r="H303" s="1699">
        <f t="shared" si="23"/>
        <v>0</v>
      </c>
      <c r="I303" s="1699">
        <f t="shared" si="23"/>
        <v>0</v>
      </c>
      <c r="J303" s="1699">
        <f t="shared" si="23"/>
        <v>0</v>
      </c>
      <c r="K303" s="1699">
        <f t="shared" si="23"/>
        <v>31381</v>
      </c>
      <c r="L303" s="1699">
        <f t="shared" si="23"/>
        <v>75000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1957</v>
      </c>
      <c r="B306" s="691" t="s">
        <v>1952</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208" t="s">
        <v>295</v>
      </c>
      <c r="B312" s="2209"/>
      <c r="C312" s="1692">
        <f>SUM(C303)</f>
        <v>0</v>
      </c>
      <c r="D312" s="1692">
        <f>SUM(D303)</f>
        <v>0</v>
      </c>
      <c r="E312" s="1692">
        <f>SUM(E303,E310)</f>
        <v>0</v>
      </c>
      <c r="F312" s="1692">
        <f>SUM(F303)</f>
        <v>0</v>
      </c>
      <c r="G312" s="1692">
        <f>SUM(G303)</f>
        <v>31381</v>
      </c>
      <c r="H312" s="1692">
        <f>SUM(H303,H310)</f>
        <v>0</v>
      </c>
      <c r="I312" s="1692">
        <f>SUM(I303)</f>
        <v>0</v>
      </c>
      <c r="J312" s="1692">
        <f>SUM(J303)</f>
        <v>0</v>
      </c>
      <c r="K312" s="1692">
        <f>SUM(K303,K310,K311)</f>
        <v>31381</v>
      </c>
      <c r="L312" s="1692">
        <f>SUM(L303,L310,L311)</f>
        <v>75000</v>
      </c>
      <c r="M312" s="666"/>
      <c r="N312" s="666"/>
    </row>
    <row r="313" spans="1:14" ht="13.5" thickTop="1" x14ac:dyDescent="0.2">
      <c r="A313" s="2204" t="s">
        <v>1053</v>
      </c>
      <c r="B313" s="2205"/>
      <c r="C313" s="627"/>
      <c r="D313" s="627"/>
      <c r="E313" s="627"/>
      <c r="F313" s="627"/>
      <c r="G313" s="627"/>
      <c r="H313" s="627"/>
      <c r="I313" s="627"/>
      <c r="J313" s="627"/>
      <c r="K313" s="1707">
        <f>'Revenues 9-14'!H275-'Expenditures 15-22'!K312</f>
        <v>17911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7" t="s">
        <v>151</v>
      </c>
      <c r="B315" s="221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9" t="s">
        <v>954</v>
      </c>
      <c r="B317" s="221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1904</v>
      </c>
      <c r="B320" s="699" t="s">
        <v>300</v>
      </c>
      <c r="C320" s="467"/>
      <c r="D320" s="467"/>
      <c r="E320" s="467">
        <v>58184</v>
      </c>
      <c r="F320" s="467"/>
      <c r="G320" s="467"/>
      <c r="H320" s="467"/>
      <c r="I320" s="467"/>
      <c r="J320" s="467"/>
      <c r="K320" s="1693">
        <f t="shared" ref="K320:K327" si="24">SUM(C320:J320)</f>
        <v>58184</v>
      </c>
      <c r="L320" s="467">
        <v>60000</v>
      </c>
      <c r="M320" s="666"/>
      <c r="N320" s="666"/>
    </row>
    <row r="321" spans="1:14" s="675" customFormat="1" x14ac:dyDescent="0.2">
      <c r="A321" s="1541" t="s">
        <v>318</v>
      </c>
      <c r="B321" s="698" t="s">
        <v>301</v>
      </c>
      <c r="C321" s="467"/>
      <c r="D321" s="467"/>
      <c r="E321" s="467">
        <v>12371</v>
      </c>
      <c r="F321" s="467"/>
      <c r="G321" s="467"/>
      <c r="H321" s="467"/>
      <c r="I321" s="467"/>
      <c r="J321" s="467"/>
      <c r="K321" s="1693">
        <f t="shared" si="24"/>
        <v>12371</v>
      </c>
      <c r="L321" s="467">
        <v>17000</v>
      </c>
      <c r="M321" s="666"/>
      <c r="N321" s="666"/>
    </row>
    <row r="322" spans="1:14" s="675" customFormat="1" x14ac:dyDescent="0.2">
      <c r="A322" s="1541" t="s">
        <v>256</v>
      </c>
      <c r="B322" s="698" t="s">
        <v>302</v>
      </c>
      <c r="C322" s="467"/>
      <c r="D322" s="467"/>
      <c r="E322" s="467">
        <v>96337</v>
      </c>
      <c r="F322" s="467"/>
      <c r="G322" s="467"/>
      <c r="H322" s="467"/>
      <c r="I322" s="467"/>
      <c r="J322" s="467"/>
      <c r="K322" s="1693">
        <f t="shared" si="24"/>
        <v>96337</v>
      </c>
      <c r="L322" s="467">
        <v>92000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156289</v>
      </c>
      <c r="D325" s="467">
        <v>16856</v>
      </c>
      <c r="E325" s="467">
        <v>49399</v>
      </c>
      <c r="F325" s="467">
        <v>7857</v>
      </c>
      <c r="G325" s="467"/>
      <c r="H325" s="467">
        <v>2293</v>
      </c>
      <c r="I325" s="467"/>
      <c r="J325" s="467"/>
      <c r="K325" s="1693">
        <f t="shared" si="24"/>
        <v>232694</v>
      </c>
      <c r="L325" s="467">
        <v>256850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156289</v>
      </c>
      <c r="D330" s="1692">
        <f t="shared" ref="D330:J330" si="25">SUM(D319:D329)</f>
        <v>16856</v>
      </c>
      <c r="E330" s="1692">
        <f t="shared" si="25"/>
        <v>216291</v>
      </c>
      <c r="F330" s="1692">
        <f t="shared" si="25"/>
        <v>7857</v>
      </c>
      <c r="G330" s="1692">
        <f t="shared" si="25"/>
        <v>0</v>
      </c>
      <c r="H330" s="1692">
        <f t="shared" si="25"/>
        <v>2293</v>
      </c>
      <c r="I330" s="1692">
        <f t="shared" si="25"/>
        <v>0</v>
      </c>
      <c r="J330" s="1692">
        <f t="shared" si="25"/>
        <v>0</v>
      </c>
      <c r="K330" s="1692">
        <f>SUM(K319:K329)</f>
        <v>399586</v>
      </c>
      <c r="L330" s="1692">
        <f>SUM(L319:L329)</f>
        <v>425850</v>
      </c>
      <c r="M330" s="666"/>
      <c r="N330" s="666"/>
    </row>
    <row r="331" spans="1:14" s="675" customFormat="1" ht="12.75" customHeight="1" thickTop="1" x14ac:dyDescent="0.2">
      <c r="A331" s="1854" t="s">
        <v>1958</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1952</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1954</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1959</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156289</v>
      </c>
      <c r="D342" s="1692">
        <f>SUM(D330)</f>
        <v>16856</v>
      </c>
      <c r="E342" s="1692">
        <f>SUM(E330)</f>
        <v>216291</v>
      </c>
      <c r="F342" s="1692">
        <f>SUM(F330)</f>
        <v>7857</v>
      </c>
      <c r="G342" s="1692">
        <f>SUM(G330)</f>
        <v>0</v>
      </c>
      <c r="H342" s="1692">
        <f>SUM(H330,H334,H340)</f>
        <v>2293</v>
      </c>
      <c r="I342" s="1692">
        <f>SUM(I330)</f>
        <v>0</v>
      </c>
      <c r="J342" s="1692">
        <f>SUM(J330)</f>
        <v>0</v>
      </c>
      <c r="K342" s="1692">
        <f>SUM(K330,K334,K340)</f>
        <v>399586</v>
      </c>
      <c r="L342" s="1699">
        <f>SUM(L330,L340,L341)</f>
        <v>425850</v>
      </c>
    </row>
    <row r="343" spans="1:14" ht="12.75" customHeight="1" thickTop="1" x14ac:dyDescent="0.2">
      <c r="A343" s="2206" t="s">
        <v>1053</v>
      </c>
      <c r="B343" s="2207"/>
      <c r="C343" s="617"/>
      <c r="D343" s="617"/>
      <c r="E343" s="617"/>
      <c r="F343" s="617"/>
      <c r="G343" s="617"/>
      <c r="H343" s="617"/>
      <c r="I343" s="617"/>
      <c r="J343" s="617"/>
      <c r="K343" s="1706">
        <f>'Revenues 9-14'!J275-'Expenditures 15-22'!K342</f>
        <v>28357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6" t="s">
        <v>1023</v>
      </c>
      <c r="B345" s="219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10801</v>
      </c>
      <c r="F348" s="466"/>
      <c r="G348" s="466">
        <v>65573</v>
      </c>
      <c r="H348" s="466"/>
      <c r="I348" s="467"/>
      <c r="J348" s="467"/>
      <c r="K348" s="1693">
        <f>SUM(C348:J348)</f>
        <v>76374</v>
      </c>
      <c r="L348" s="466">
        <v>102500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10801</v>
      </c>
      <c r="F350" s="1692">
        <f t="shared" si="26"/>
        <v>0</v>
      </c>
      <c r="G350" s="1692">
        <f t="shared" si="26"/>
        <v>65573</v>
      </c>
      <c r="H350" s="1692">
        <f t="shared" si="26"/>
        <v>0</v>
      </c>
      <c r="I350" s="1692">
        <f t="shared" si="26"/>
        <v>0</v>
      </c>
      <c r="J350" s="1692">
        <f t="shared" si="26"/>
        <v>0</v>
      </c>
      <c r="K350" s="1692">
        <f t="shared" si="26"/>
        <v>76374</v>
      </c>
      <c r="L350" s="1692">
        <f t="shared" si="26"/>
        <v>102500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10801</v>
      </c>
      <c r="F352" s="1692">
        <f t="shared" si="27"/>
        <v>0</v>
      </c>
      <c r="G352" s="1692">
        <f t="shared" si="27"/>
        <v>65573</v>
      </c>
      <c r="H352" s="1692">
        <f t="shared" si="27"/>
        <v>0</v>
      </c>
      <c r="I352" s="1692">
        <f t="shared" si="27"/>
        <v>0</v>
      </c>
      <c r="J352" s="1692">
        <f t="shared" si="27"/>
        <v>0</v>
      </c>
      <c r="K352" s="1692">
        <f t="shared" si="27"/>
        <v>76374</v>
      </c>
      <c r="L352" s="1692">
        <f t="shared" si="27"/>
        <v>102500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1960</v>
      </c>
      <c r="B354" s="684" t="s">
        <v>1952</v>
      </c>
      <c r="C354" s="617"/>
      <c r="D354" s="617"/>
      <c r="E354" s="617"/>
      <c r="F354" s="617"/>
      <c r="G354" s="617"/>
      <c r="H354" s="474"/>
      <c r="I354" s="702"/>
      <c r="J354" s="617"/>
      <c r="K354" s="1721">
        <f>H354</f>
        <v>0</v>
      </c>
      <c r="L354" s="471"/>
    </row>
    <row r="355" spans="1:14" ht="12.75" customHeight="1" x14ac:dyDescent="0.2">
      <c r="A355" s="1535" t="s">
        <v>1961</v>
      </c>
      <c r="B355" s="691" t="s">
        <v>1954</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10801</v>
      </c>
      <c r="F367" s="1692">
        <f t="shared" si="28"/>
        <v>0</v>
      </c>
      <c r="G367" s="1692">
        <f t="shared" si="28"/>
        <v>65573</v>
      </c>
      <c r="H367" s="1692">
        <f t="shared" si="28"/>
        <v>0</v>
      </c>
      <c r="I367" s="1692">
        <f t="shared" si="28"/>
        <v>0</v>
      </c>
      <c r="J367" s="1692">
        <f t="shared" si="28"/>
        <v>0</v>
      </c>
      <c r="K367" s="1692">
        <f t="shared" si="28"/>
        <v>76374</v>
      </c>
      <c r="L367" s="1692">
        <f t="shared" si="28"/>
        <v>102500</v>
      </c>
    </row>
    <row r="368" spans="1:14" ht="13.5" thickTop="1" x14ac:dyDescent="0.2">
      <c r="A368" s="2220" t="s">
        <v>1053</v>
      </c>
      <c r="B368" s="2221"/>
      <c r="C368" s="655"/>
      <c r="D368" s="655"/>
      <c r="E368" s="627"/>
      <c r="F368" s="627"/>
      <c r="G368" s="627"/>
      <c r="H368" s="627"/>
      <c r="I368" s="627"/>
      <c r="J368" s="624"/>
      <c r="K368" s="1693">
        <f>'Revenues 9-14'!K275-'Expenditures 15-22'!K367</f>
        <v>-13241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7" sqref="A7:D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22" t="s">
        <v>1901</v>
      </c>
      <c r="B2" s="1550" t="s">
        <v>2031</v>
      </c>
      <c r="C2" s="715" t="s">
        <v>1906</v>
      </c>
      <c r="D2" s="715" t="s">
        <v>1907</v>
      </c>
      <c r="E2" s="715" t="s">
        <v>1908</v>
      </c>
      <c r="F2" s="715" t="s">
        <v>1909</v>
      </c>
    </row>
    <row r="3" spans="1:6" ht="12" customHeight="1" x14ac:dyDescent="0.2">
      <c r="A3" s="2223"/>
      <c r="B3" s="1547"/>
      <c r="C3" s="1548"/>
      <c r="D3" s="1549" t="s">
        <v>274</v>
      </c>
      <c r="E3" s="1548"/>
      <c r="F3" s="1549" t="s">
        <v>275</v>
      </c>
    </row>
    <row r="4" spans="1:6" ht="13.7" customHeight="1" x14ac:dyDescent="0.2">
      <c r="A4" s="716" t="s">
        <v>1217</v>
      </c>
      <c r="B4" s="1771">
        <f>'Revenues 9-14'!C5</f>
        <v>2121735</v>
      </c>
      <c r="C4" s="1546"/>
      <c r="D4" s="1774">
        <f>B4-C4</f>
        <v>2121735</v>
      </c>
      <c r="E4" s="1546">
        <v>2171498</v>
      </c>
      <c r="F4" s="1774">
        <f>E4-C4</f>
        <v>2171498</v>
      </c>
    </row>
    <row r="5" spans="1:6" ht="13.7" customHeight="1" x14ac:dyDescent="0.2">
      <c r="A5" s="716" t="s">
        <v>925</v>
      </c>
      <c r="B5" s="1772">
        <f>'Revenues 9-14'!D5</f>
        <v>576557</v>
      </c>
      <c r="C5" s="585"/>
      <c r="D5" s="1775">
        <f t="shared" ref="D5:D18" si="0">B5-C5</f>
        <v>576557</v>
      </c>
      <c r="E5" s="585">
        <v>589996</v>
      </c>
      <c r="F5" s="1775">
        <f>E5-C5</f>
        <v>589996</v>
      </c>
    </row>
    <row r="6" spans="1:6" ht="13.7" customHeight="1" x14ac:dyDescent="0.2">
      <c r="A6" s="716" t="s">
        <v>431</v>
      </c>
      <c r="B6" s="1772">
        <f>'Revenues 9-14'!E5</f>
        <v>831430</v>
      </c>
      <c r="C6" s="585"/>
      <c r="D6" s="1775">
        <f t="shared" si="0"/>
        <v>831430</v>
      </c>
      <c r="E6" s="585">
        <v>557680</v>
      </c>
      <c r="F6" s="1775">
        <f t="shared" ref="F6:F18" si="1">E6-C6</f>
        <v>557680</v>
      </c>
    </row>
    <row r="7" spans="1:6" ht="13.7" customHeight="1" x14ac:dyDescent="0.2">
      <c r="A7" s="716" t="s">
        <v>157</v>
      </c>
      <c r="B7" s="1772">
        <f>'Revenues 9-14'!F5</f>
        <v>230624</v>
      </c>
      <c r="C7" s="585"/>
      <c r="D7" s="1775">
        <f t="shared" si="0"/>
        <v>230624</v>
      </c>
      <c r="E7" s="585">
        <v>236003</v>
      </c>
      <c r="F7" s="1775">
        <f t="shared" si="1"/>
        <v>236003</v>
      </c>
    </row>
    <row r="8" spans="1:6" ht="13.7" customHeight="1" x14ac:dyDescent="0.2">
      <c r="A8" s="716" t="s">
        <v>1241</v>
      </c>
      <c r="B8" s="1772">
        <f>'Revenues 9-14'!G5</f>
        <v>209901</v>
      </c>
      <c r="C8" s="585"/>
      <c r="D8" s="1775">
        <f t="shared" si="0"/>
        <v>209901</v>
      </c>
      <c r="E8" s="585">
        <v>200002</v>
      </c>
      <c r="F8" s="1775">
        <f t="shared" si="1"/>
        <v>200002</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57655</v>
      </c>
      <c r="C10" s="585"/>
      <c r="D10" s="1775">
        <f t="shared" si="0"/>
        <v>57655</v>
      </c>
      <c r="E10" s="585">
        <v>58995</v>
      </c>
      <c r="F10" s="1775">
        <f t="shared" si="1"/>
        <v>58995</v>
      </c>
    </row>
    <row r="11" spans="1:6" x14ac:dyDescent="0.2">
      <c r="A11" s="716" t="s">
        <v>429</v>
      </c>
      <c r="B11" s="1772">
        <f>'Revenues 9-14'!J5</f>
        <v>424797</v>
      </c>
      <c r="C11" s="585"/>
      <c r="D11" s="1775">
        <f t="shared" si="0"/>
        <v>424797</v>
      </c>
      <c r="E11" s="585">
        <v>450001</v>
      </c>
      <c r="F11" s="1775">
        <f t="shared" si="1"/>
        <v>450001</v>
      </c>
    </row>
    <row r="12" spans="1:6" ht="13.7" customHeight="1" x14ac:dyDescent="0.2">
      <c r="A12" s="716" t="s">
        <v>159</v>
      </c>
      <c r="B12" s="1772">
        <f>'Revenues 9-14'!K5</f>
        <v>57655</v>
      </c>
      <c r="C12" s="585"/>
      <c r="D12" s="1775">
        <f t="shared" si="0"/>
        <v>57655</v>
      </c>
      <c r="E12" s="585">
        <v>58995</v>
      </c>
      <c r="F12" s="1775">
        <f t="shared" si="1"/>
        <v>58995</v>
      </c>
    </row>
    <row r="13" spans="1:6" ht="13.7" customHeight="1" x14ac:dyDescent="0.2">
      <c r="A13" s="716" t="s">
        <v>993</v>
      </c>
      <c r="B13" s="1772">
        <f>SUM('Revenues 9-14'!C6:D6)</f>
        <v>57655</v>
      </c>
      <c r="C13" s="585"/>
      <c r="D13" s="1775">
        <f t="shared" si="0"/>
        <v>57655</v>
      </c>
      <c r="E13" s="585">
        <v>58995</v>
      </c>
      <c r="F13" s="1775">
        <f t="shared" si="1"/>
        <v>58995</v>
      </c>
    </row>
    <row r="14" spans="1:6" ht="13.7" customHeight="1" x14ac:dyDescent="0.2">
      <c r="A14" s="716" t="s">
        <v>430</v>
      </c>
      <c r="B14" s="1772">
        <f>SUM('Revenues 9-14'!C7:D7,'Revenues 9-14'!F7:H7)</f>
        <v>46127</v>
      </c>
      <c r="C14" s="585"/>
      <c r="D14" s="1775">
        <f t="shared" si="0"/>
        <v>46127</v>
      </c>
      <c r="E14" s="585">
        <v>47504</v>
      </c>
      <c r="F14" s="1775">
        <f t="shared" si="1"/>
        <v>47504</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129936</v>
      </c>
      <c r="C16" s="585"/>
      <c r="D16" s="1775">
        <f t="shared" si="0"/>
        <v>129936</v>
      </c>
      <c r="E16" s="585">
        <v>249999</v>
      </c>
      <c r="F16" s="1775">
        <f t="shared" si="1"/>
        <v>249999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4744072</v>
      </c>
      <c r="C19" s="1773">
        <f>SUM(C4:C18)</f>
        <v>0</v>
      </c>
      <c r="D19" s="1773">
        <f>SUM(D4:D18)</f>
        <v>4744072</v>
      </c>
      <c r="E19" s="1773">
        <f>SUM(E4:E18)</f>
        <v>4679668</v>
      </c>
      <c r="F19" s="1773">
        <f>SUM(F4:F18)</f>
        <v>4679668</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7" sqref="A7:D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8" t="s">
        <v>650</v>
      </c>
      <c r="B1" s="2229"/>
      <c r="C1" s="722"/>
    </row>
    <row r="2" spans="1:7" ht="33.75" x14ac:dyDescent="0.2">
      <c r="A2" s="2237" t="s">
        <v>1901</v>
      </c>
      <c r="B2" s="2238"/>
      <c r="C2" s="1909" t="s">
        <v>2032</v>
      </c>
      <c r="D2" s="724" t="s">
        <v>2039</v>
      </c>
      <c r="E2" s="724" t="s">
        <v>2040</v>
      </c>
      <c r="F2" s="1909" t="s">
        <v>2033</v>
      </c>
    </row>
    <row r="3" spans="1:7" ht="15.75" customHeight="1" x14ac:dyDescent="0.2">
      <c r="A3" s="2241" t="s">
        <v>1176</v>
      </c>
      <c r="B3" s="2242"/>
      <c r="C3" s="2230"/>
      <c r="D3" s="2231"/>
      <c r="E3" s="2231"/>
      <c r="F3" s="2232"/>
    </row>
    <row r="4" spans="1:7" ht="12.75" customHeight="1" thickBot="1" x14ac:dyDescent="0.25">
      <c r="A4" s="2239" t="s">
        <v>651</v>
      </c>
      <c r="B4" s="2240"/>
      <c r="C4" s="581"/>
      <c r="D4" s="581"/>
      <c r="E4" s="581"/>
      <c r="F4" s="1777">
        <f>SUM(C4+D4)-E4</f>
        <v>0</v>
      </c>
    </row>
    <row r="5" spans="1:7" ht="15.75" customHeight="1" thickTop="1" x14ac:dyDescent="0.2">
      <c r="A5" s="2224" t="s">
        <v>1172</v>
      </c>
      <c r="B5" s="2225"/>
      <c r="C5" s="2233"/>
      <c r="D5" s="2234"/>
      <c r="E5" s="2234"/>
      <c r="F5" s="223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6" t="s">
        <v>652</v>
      </c>
      <c r="B15" s="2227"/>
      <c r="C15" s="1777">
        <f>SUM(C6:C14)</f>
        <v>0</v>
      </c>
      <c r="D15" s="1777">
        <f>SUM(D6:D14)</f>
        <v>0</v>
      </c>
      <c r="E15" s="1777">
        <f>SUM(E6:E14)</f>
        <v>0</v>
      </c>
      <c r="F15" s="1777">
        <f>SUM(F6:F14)</f>
        <v>0</v>
      </c>
      <c r="G15" s="552"/>
    </row>
    <row r="16" spans="1:7" s="202" customFormat="1" ht="15.75" customHeight="1" thickTop="1" x14ac:dyDescent="0.2">
      <c r="A16" s="2236" t="s">
        <v>1173</v>
      </c>
      <c r="B16" s="2225"/>
      <c r="C16" s="2233"/>
      <c r="D16" s="2234"/>
      <c r="E16" s="2234"/>
      <c r="F16" s="2235"/>
    </row>
    <row r="17" spans="1:11" ht="12.75" customHeight="1" thickBot="1" x14ac:dyDescent="0.25">
      <c r="A17" s="2249" t="s">
        <v>66</v>
      </c>
      <c r="B17" s="2250"/>
      <c r="C17" s="727"/>
      <c r="D17" s="585"/>
      <c r="E17" s="727"/>
      <c r="F17" s="1777">
        <f>SUM(C17+D17)-E17</f>
        <v>0</v>
      </c>
    </row>
    <row r="18" spans="1:11" ht="12.75" customHeight="1" thickTop="1" thickBot="1" x14ac:dyDescent="0.25">
      <c r="A18" s="2249" t="s">
        <v>6</v>
      </c>
      <c r="B18" s="2250"/>
      <c r="C18" s="727"/>
      <c r="D18" s="585"/>
      <c r="E18" s="727"/>
      <c r="F18" s="1777">
        <f>SUM(C18+D18)-E18</f>
        <v>0</v>
      </c>
    </row>
    <row r="19" spans="1:11" ht="12.75" customHeight="1" thickTop="1" thickBot="1" x14ac:dyDescent="0.25">
      <c r="A19" s="2249" t="s">
        <v>406</v>
      </c>
      <c r="B19" s="2250"/>
      <c r="C19" s="727"/>
      <c r="D19" s="585"/>
      <c r="E19" s="727"/>
      <c r="F19" s="1777">
        <f>SUM(C19+D19)-E19</f>
        <v>0</v>
      </c>
    </row>
    <row r="20" spans="1:11" ht="12.75" customHeight="1" thickTop="1" thickBot="1" x14ac:dyDescent="0.25">
      <c r="A20" s="2249" t="s">
        <v>468</v>
      </c>
      <c r="B20" s="2250"/>
      <c r="C20" s="727"/>
      <c r="D20" s="585"/>
      <c r="E20" s="727"/>
      <c r="F20" s="1777">
        <f>SUM(C20+D20)-E20</f>
        <v>0</v>
      </c>
    </row>
    <row r="21" spans="1:11" ht="14.25" thickTop="1" thickBot="1" x14ac:dyDescent="0.25">
      <c r="A21" s="2226" t="s">
        <v>653</v>
      </c>
      <c r="B21" s="2227"/>
      <c r="C21" s="1777">
        <f>SUM(C17:C20)</f>
        <v>0</v>
      </c>
      <c r="D21" s="1777">
        <f>SUM(D17:D20)</f>
        <v>0</v>
      </c>
      <c r="E21" s="1777">
        <f>SUM(E17:E20)</f>
        <v>0</v>
      </c>
      <c r="F21" s="1777">
        <f>SUM(F17:F20)</f>
        <v>0</v>
      </c>
      <c r="G21" s="552"/>
    </row>
    <row r="22" spans="1:11" ht="15.75" customHeight="1" thickTop="1" x14ac:dyDescent="0.2">
      <c r="A22" s="2251" t="s">
        <v>1174</v>
      </c>
      <c r="B22" s="2225"/>
      <c r="C22" s="2233"/>
      <c r="D22" s="2234"/>
      <c r="E22" s="2234"/>
      <c r="F22" s="2235"/>
    </row>
    <row r="23" spans="1:11" ht="13.5" thickBot="1" x14ac:dyDescent="0.25">
      <c r="A23" s="2239" t="s">
        <v>654</v>
      </c>
      <c r="B23" s="2240"/>
      <c r="C23" s="581"/>
      <c r="D23" s="581"/>
      <c r="E23" s="581"/>
      <c r="F23" s="1777">
        <f>SUM(C23+D23)-E23</f>
        <v>0</v>
      </c>
      <c r="G23" s="552"/>
    </row>
    <row r="24" spans="1:11" ht="15.75" customHeight="1" thickTop="1" x14ac:dyDescent="0.2">
      <c r="A24" s="2251" t="s">
        <v>1175</v>
      </c>
      <c r="B24" s="2225"/>
      <c r="C24" s="2233"/>
      <c r="D24" s="2234"/>
      <c r="E24" s="2234"/>
      <c r="F24" s="2235"/>
    </row>
    <row r="25" spans="1:11" ht="13.5" thickBot="1" x14ac:dyDescent="0.25">
      <c r="A25" s="2239" t="s">
        <v>655</v>
      </c>
      <c r="B25" s="2240"/>
      <c r="C25" s="581"/>
      <c r="D25" s="581"/>
      <c r="E25" s="581"/>
      <c r="F25" s="1777">
        <f>SUM(C25+D25)-E25</f>
        <v>0</v>
      </c>
      <c r="G25" s="552"/>
    </row>
    <row r="26" spans="1:11" ht="15.75" customHeight="1" thickTop="1" x14ac:dyDescent="0.2">
      <c r="A26" s="2224" t="s">
        <v>678</v>
      </c>
      <c r="B26" s="2225"/>
      <c r="C26" s="728"/>
      <c r="D26" s="728"/>
      <c r="E26" s="728"/>
      <c r="F26" s="729"/>
    </row>
    <row r="27" spans="1:11" ht="13.5" thickBot="1" x14ac:dyDescent="0.25">
      <c r="A27" s="2226" t="s">
        <v>1130</v>
      </c>
      <c r="B27" s="2227"/>
      <c r="C27" s="585"/>
      <c r="D27" s="585"/>
      <c r="E27" s="585"/>
      <c r="F27" s="1777">
        <f>SUM(C27+D27)-E27</f>
        <v>0</v>
      </c>
      <c r="G27" s="552"/>
    </row>
    <row r="28" spans="1:11" ht="7.5" customHeight="1" thickTop="1" x14ac:dyDescent="0.2">
      <c r="A28" s="594"/>
    </row>
    <row r="29" spans="1:11" ht="23.25" customHeight="1" x14ac:dyDescent="0.2">
      <c r="A29" s="2252" t="s">
        <v>603</v>
      </c>
      <c r="B29" s="2229"/>
      <c r="C29" s="730"/>
      <c r="D29" s="730"/>
      <c r="E29" s="730"/>
      <c r="F29" s="730"/>
      <c r="G29" s="730"/>
      <c r="H29" s="730"/>
      <c r="I29" s="730"/>
      <c r="J29" s="730"/>
    </row>
    <row r="30" spans="1:11" ht="33.75" x14ac:dyDescent="0.2">
      <c r="A30" s="1551" t="s">
        <v>1131</v>
      </c>
      <c r="B30" s="731" t="s">
        <v>1186</v>
      </c>
      <c r="C30" s="1910" t="s">
        <v>604</v>
      </c>
      <c r="D30" s="1910" t="s">
        <v>1772</v>
      </c>
      <c r="E30" s="1910" t="s">
        <v>2034</v>
      </c>
      <c r="F30" s="1910" t="s">
        <v>2035</v>
      </c>
      <c r="G30" s="1910" t="s">
        <v>2038</v>
      </c>
      <c r="H30" s="1910" t="s">
        <v>2036</v>
      </c>
      <c r="I30" s="1910" t="s">
        <v>2037</v>
      </c>
      <c r="J30" s="1911" t="s">
        <v>2</v>
      </c>
      <c r="K30" s="732"/>
    </row>
    <row r="31" spans="1:11" ht="12" customHeight="1" x14ac:dyDescent="0.2">
      <c r="A31" s="733" t="s">
        <v>2171</v>
      </c>
      <c r="B31" s="734">
        <v>37797</v>
      </c>
      <c r="C31" s="735">
        <v>2700000</v>
      </c>
      <c r="D31" s="736">
        <v>4</v>
      </c>
      <c r="E31" s="735">
        <v>192857</v>
      </c>
      <c r="F31" s="735"/>
      <c r="G31" s="735"/>
      <c r="H31" s="735">
        <v>192857</v>
      </c>
      <c r="I31" s="1778">
        <f>((E31+F31)-H31)+G31</f>
        <v>0</v>
      </c>
      <c r="J31" s="735"/>
      <c r="K31" s="737"/>
    </row>
    <row r="32" spans="1:11" ht="12" customHeight="1" x14ac:dyDescent="0.2">
      <c r="A32" s="733" t="s">
        <v>2172</v>
      </c>
      <c r="B32" s="734">
        <v>38574</v>
      </c>
      <c r="C32" s="735">
        <v>1797960</v>
      </c>
      <c r="D32" s="736">
        <v>4</v>
      </c>
      <c r="E32" s="735">
        <v>329422</v>
      </c>
      <c r="F32" s="735"/>
      <c r="G32" s="735"/>
      <c r="H32" s="735">
        <v>329422</v>
      </c>
      <c r="I32" s="1778">
        <f>((E32+F32)-H32)+G32</f>
        <v>0</v>
      </c>
      <c r="J32" s="735"/>
      <c r="K32" s="737"/>
    </row>
    <row r="33" spans="1:11" ht="12" customHeight="1" x14ac:dyDescent="0.2">
      <c r="A33" s="733" t="s">
        <v>2173</v>
      </c>
      <c r="B33" s="734">
        <v>41822</v>
      </c>
      <c r="C33" s="735">
        <v>650000</v>
      </c>
      <c r="D33" s="736">
        <v>4</v>
      </c>
      <c r="E33" s="735">
        <v>650000</v>
      </c>
      <c r="F33" s="735"/>
      <c r="G33" s="735"/>
      <c r="H33" s="735"/>
      <c r="I33" s="1778">
        <f t="shared" ref="I33:I48" si="1">((E33+F33)-H33)+G33</f>
        <v>650000</v>
      </c>
      <c r="J33" s="735">
        <v>0</v>
      </c>
      <c r="K33" s="737"/>
    </row>
    <row r="34" spans="1:11" ht="12" customHeight="1" x14ac:dyDescent="0.2">
      <c r="A34" s="733" t="s">
        <v>2174</v>
      </c>
      <c r="B34" s="734">
        <v>41822</v>
      </c>
      <c r="C34" s="735">
        <v>1015000</v>
      </c>
      <c r="D34" s="736">
        <v>6</v>
      </c>
      <c r="E34" s="735">
        <v>1015000</v>
      </c>
      <c r="F34" s="735"/>
      <c r="G34" s="735"/>
      <c r="H34" s="735"/>
      <c r="I34" s="1778">
        <f t="shared" si="1"/>
        <v>1015000</v>
      </c>
      <c r="J34" s="735">
        <v>974222</v>
      </c>
      <c r="K34" s="738"/>
    </row>
    <row r="35" spans="1:11" ht="12" customHeight="1" x14ac:dyDescent="0.2">
      <c r="A35" s="733" t="s">
        <v>2175</v>
      </c>
      <c r="B35" s="734">
        <v>42194</v>
      </c>
      <c r="C35" s="739">
        <v>1285000</v>
      </c>
      <c r="D35" s="736">
        <v>1</v>
      </c>
      <c r="E35" s="739">
        <v>1240000</v>
      </c>
      <c r="F35" s="739"/>
      <c r="G35" s="739"/>
      <c r="H35" s="739">
        <v>55000</v>
      </c>
      <c r="I35" s="1778">
        <f t="shared" si="1"/>
        <v>1185000</v>
      </c>
      <c r="J35" s="739">
        <v>1185000</v>
      </c>
      <c r="K35" s="738"/>
    </row>
    <row r="36" spans="1:11" ht="12" customHeight="1" x14ac:dyDescent="0.2">
      <c r="A36" s="733" t="s">
        <v>2176</v>
      </c>
      <c r="B36" s="734">
        <v>42194</v>
      </c>
      <c r="C36" s="735">
        <v>1145000</v>
      </c>
      <c r="D36" s="736">
        <v>4</v>
      </c>
      <c r="E36" s="735">
        <v>1145000</v>
      </c>
      <c r="F36" s="735"/>
      <c r="G36" s="735"/>
      <c r="H36" s="735"/>
      <c r="I36" s="1778">
        <f t="shared" si="1"/>
        <v>1145000</v>
      </c>
      <c r="J36" s="735">
        <v>1145000</v>
      </c>
      <c r="K36" s="740"/>
    </row>
    <row r="37" spans="1:11" ht="12" customHeight="1" x14ac:dyDescent="0.2">
      <c r="A37" s="733" t="s">
        <v>2177</v>
      </c>
      <c r="B37" s="734">
        <v>42306</v>
      </c>
      <c r="C37" s="467">
        <v>275400</v>
      </c>
      <c r="D37" s="741">
        <v>7</v>
      </c>
      <c r="E37" s="467">
        <v>165159</v>
      </c>
      <c r="F37" s="467"/>
      <c r="G37" s="467"/>
      <c r="H37" s="467">
        <v>53567</v>
      </c>
      <c r="I37" s="1778">
        <f t="shared" si="1"/>
        <v>111592</v>
      </c>
      <c r="J37" s="467">
        <v>111592</v>
      </c>
      <c r="K37" s="738"/>
    </row>
    <row r="38" spans="1:11" ht="12" customHeight="1" x14ac:dyDescent="0.2">
      <c r="A38" s="733" t="s">
        <v>2178</v>
      </c>
      <c r="B38" s="734">
        <v>42307</v>
      </c>
      <c r="C38" s="735">
        <v>38900</v>
      </c>
      <c r="D38" s="742">
        <v>7</v>
      </c>
      <c r="E38" s="743">
        <v>12963</v>
      </c>
      <c r="F38" s="743"/>
      <c r="G38" s="743"/>
      <c r="H38" s="743">
        <v>12963</v>
      </c>
      <c r="I38" s="1778">
        <f t="shared" si="1"/>
        <v>0</v>
      </c>
      <c r="J38" s="744" t="s">
        <v>282</v>
      </c>
      <c r="K38" s="745"/>
    </row>
    <row r="39" spans="1:11" ht="12" customHeight="1" x14ac:dyDescent="0.2">
      <c r="A39" s="733" t="s">
        <v>2179</v>
      </c>
      <c r="B39" s="734">
        <v>42466</v>
      </c>
      <c r="C39" s="735">
        <v>21582</v>
      </c>
      <c r="D39" s="742">
        <v>7</v>
      </c>
      <c r="E39" s="743">
        <v>7194</v>
      </c>
      <c r="F39" s="743"/>
      <c r="G39" s="743"/>
      <c r="H39" s="743">
        <v>7194</v>
      </c>
      <c r="I39" s="1778">
        <f t="shared" si="1"/>
        <v>0</v>
      </c>
      <c r="J39" s="744"/>
      <c r="K39" s="745"/>
    </row>
    <row r="40" spans="1:11" ht="12" customHeight="1" x14ac:dyDescent="0.2">
      <c r="A40" s="733" t="s">
        <v>2180</v>
      </c>
      <c r="B40" s="734">
        <v>42746</v>
      </c>
      <c r="C40" s="735">
        <v>49975</v>
      </c>
      <c r="D40" s="742">
        <v>7</v>
      </c>
      <c r="E40" s="743">
        <v>46444</v>
      </c>
      <c r="F40" s="743"/>
      <c r="G40" s="743"/>
      <c r="H40" s="743">
        <v>8906</v>
      </c>
      <c r="I40" s="1778">
        <f t="shared" si="1"/>
        <v>37538</v>
      </c>
      <c r="J40" s="744">
        <v>37538</v>
      </c>
      <c r="K40" s="745"/>
    </row>
    <row r="41" spans="1:11" ht="12" customHeight="1" x14ac:dyDescent="0.2">
      <c r="A41" s="733" t="s">
        <v>2181</v>
      </c>
      <c r="B41" s="734">
        <v>42894</v>
      </c>
      <c r="C41" s="735">
        <v>53046</v>
      </c>
      <c r="D41" s="742">
        <v>7</v>
      </c>
      <c r="E41" s="743">
        <v>44692</v>
      </c>
      <c r="F41" s="743"/>
      <c r="G41" s="743"/>
      <c r="H41" s="743">
        <v>6969</v>
      </c>
      <c r="I41" s="1778">
        <f t="shared" si="1"/>
        <v>37723</v>
      </c>
      <c r="J41" s="744">
        <v>37723</v>
      </c>
      <c r="K41" s="745"/>
    </row>
    <row r="42" spans="1:11" ht="12" customHeight="1" x14ac:dyDescent="0.2">
      <c r="A42" s="733" t="s">
        <v>2182</v>
      </c>
      <c r="B42" s="734">
        <v>43252</v>
      </c>
      <c r="C42" s="735">
        <v>303552</v>
      </c>
      <c r="D42" s="742">
        <v>7</v>
      </c>
      <c r="E42" s="743"/>
      <c r="F42" s="743">
        <v>242842</v>
      </c>
      <c r="G42" s="743"/>
      <c r="H42" s="743"/>
      <c r="I42" s="1778">
        <f t="shared" si="1"/>
        <v>242842</v>
      </c>
      <c r="J42" s="744">
        <v>242842</v>
      </c>
      <c r="K42" s="745"/>
    </row>
    <row r="43" spans="1:11" ht="12" customHeight="1" x14ac:dyDescent="0.2">
      <c r="A43" s="733" t="s">
        <v>2189</v>
      </c>
      <c r="B43" s="734"/>
      <c r="C43" s="735"/>
      <c r="D43" s="742">
        <v>7</v>
      </c>
      <c r="E43" s="743"/>
      <c r="F43" s="743">
        <v>19712</v>
      </c>
      <c r="G43" s="743"/>
      <c r="H43" s="743">
        <v>19712</v>
      </c>
      <c r="I43" s="1778">
        <f t="shared" si="1"/>
        <v>0</v>
      </c>
      <c r="J43" s="744"/>
      <c r="K43" s="745"/>
    </row>
    <row r="44" spans="1:11" ht="12" customHeight="1" x14ac:dyDescent="0.2">
      <c r="A44" s="733" t="s">
        <v>2189</v>
      </c>
      <c r="B44" s="734"/>
      <c r="C44" s="735"/>
      <c r="D44" s="736">
        <v>7</v>
      </c>
      <c r="E44" s="735"/>
      <c r="F44" s="735">
        <v>18599</v>
      </c>
      <c r="G44" s="735"/>
      <c r="H44" s="735">
        <v>18599</v>
      </c>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9335415</v>
      </c>
      <c r="D49" s="746"/>
      <c r="E49" s="1778">
        <f t="shared" ref="E49:J49" si="2">SUM(E31:E48)</f>
        <v>4848731</v>
      </c>
      <c r="F49" s="1778">
        <f t="shared" si="2"/>
        <v>281153</v>
      </c>
      <c r="G49" s="1778">
        <f t="shared" si="2"/>
        <v>0</v>
      </c>
      <c r="H49" s="1778">
        <f t="shared" si="2"/>
        <v>705189</v>
      </c>
      <c r="I49" s="1778">
        <f t="shared" si="2"/>
        <v>4424695</v>
      </c>
      <c r="J49" s="1778">
        <f t="shared" si="2"/>
        <v>3733917</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43" t="s">
        <v>605</v>
      </c>
      <c r="C52" s="2244"/>
      <c r="D52" s="2244"/>
      <c r="E52" s="750" t="s">
        <v>900</v>
      </c>
      <c r="F52" s="2245" t="s">
        <v>2183</v>
      </c>
      <c r="G52" s="2246"/>
      <c r="H52" s="737"/>
      <c r="I52" s="737"/>
      <c r="J52" s="747"/>
    </row>
    <row r="53" spans="1:11" ht="11.25" customHeight="1" x14ac:dyDescent="0.2">
      <c r="A53" s="751" t="s">
        <v>969</v>
      </c>
      <c r="B53" s="752" t="s">
        <v>1008</v>
      </c>
      <c r="C53" s="747"/>
      <c r="D53" s="738"/>
      <c r="E53" s="750" t="s">
        <v>518</v>
      </c>
      <c r="F53" s="2247"/>
      <c r="G53" s="2248"/>
      <c r="H53" s="737"/>
      <c r="I53" s="737"/>
      <c r="J53" s="747"/>
    </row>
    <row r="54" spans="1:11" ht="11.25" customHeight="1" x14ac:dyDescent="0.2">
      <c r="A54" s="753" t="s">
        <v>970</v>
      </c>
      <c r="B54" s="748" t="s">
        <v>1009</v>
      </c>
      <c r="C54" s="747"/>
      <c r="D54" s="738"/>
      <c r="E54" s="750" t="s">
        <v>519</v>
      </c>
      <c r="F54" s="2247"/>
      <c r="G54" s="224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A7" sqref="A7:D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7" t="s">
        <v>911</v>
      </c>
      <c r="B1" s="2278"/>
      <c r="C1" s="2278"/>
      <c r="D1" s="2278"/>
      <c r="E1" s="2278"/>
      <c r="F1" s="2278"/>
      <c r="G1" s="2279"/>
      <c r="H1" s="1552"/>
      <c r="I1" s="761"/>
      <c r="J1" s="433"/>
    </row>
    <row r="2" spans="1:11" ht="26.25" x14ac:dyDescent="0.2">
      <c r="A2" s="2256" t="s">
        <v>1776</v>
      </c>
      <c r="B2" s="2257"/>
      <c r="C2" s="2257"/>
      <c r="D2" s="2257"/>
      <c r="E2" s="2258"/>
      <c r="F2" s="762" t="s">
        <v>960</v>
      </c>
      <c r="G2" s="763" t="s">
        <v>1773</v>
      </c>
      <c r="H2" s="763" t="s">
        <v>430</v>
      </c>
      <c r="I2" s="763" t="s">
        <v>1220</v>
      </c>
      <c r="J2" s="763" t="s">
        <v>1915</v>
      </c>
      <c r="K2" s="763" t="s">
        <v>140</v>
      </c>
    </row>
    <row r="3" spans="1:11" x14ac:dyDescent="0.2">
      <c r="A3" s="2259" t="s">
        <v>1698</v>
      </c>
      <c r="B3" s="2260"/>
      <c r="C3" s="2260"/>
      <c r="D3" s="2260"/>
      <c r="E3" s="2261"/>
      <c r="F3" s="764"/>
      <c r="G3" s="765"/>
      <c r="H3" s="765"/>
      <c r="I3" s="765"/>
      <c r="J3" s="766"/>
      <c r="K3" s="766"/>
    </row>
    <row r="4" spans="1:11" x14ac:dyDescent="0.2">
      <c r="A4" s="2262" t="s">
        <v>387</v>
      </c>
      <c r="B4" s="2263"/>
      <c r="C4" s="2263"/>
      <c r="D4" s="2263"/>
      <c r="E4" s="2244"/>
      <c r="F4" s="767"/>
      <c r="G4" s="768"/>
      <c r="H4" s="769"/>
      <c r="I4" s="768"/>
      <c r="J4" s="770"/>
      <c r="K4" s="770"/>
    </row>
    <row r="5" spans="1:11" x14ac:dyDescent="0.2">
      <c r="A5" s="2280" t="s">
        <v>1129</v>
      </c>
      <c r="B5" s="2253"/>
      <c r="C5" s="2253"/>
      <c r="D5" s="2253"/>
      <c r="E5" s="2281"/>
      <c r="F5" s="771" t="s">
        <v>903</v>
      </c>
      <c r="G5" s="772"/>
      <c r="H5" s="765">
        <v>46127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12270</v>
      </c>
    </row>
    <row r="8" spans="1:11" x14ac:dyDescent="0.2">
      <c r="A8" s="779" t="s">
        <v>363</v>
      </c>
      <c r="B8" s="780"/>
      <c r="C8" s="780"/>
      <c r="D8" s="780"/>
      <c r="E8" s="781"/>
      <c r="F8" s="771" t="s">
        <v>906</v>
      </c>
      <c r="G8" s="783"/>
      <c r="H8" s="783"/>
      <c r="I8" s="783"/>
      <c r="J8" s="766">
        <v>467009</v>
      </c>
      <c r="K8" s="770"/>
    </row>
    <row r="9" spans="1:11" x14ac:dyDescent="0.2">
      <c r="A9" s="779" t="s">
        <v>140</v>
      </c>
      <c r="B9" s="780"/>
      <c r="C9" s="780"/>
      <c r="D9" s="780"/>
      <c r="E9" s="781"/>
      <c r="F9" s="778" t="s">
        <v>908</v>
      </c>
      <c r="G9" s="783"/>
      <c r="H9" s="772"/>
      <c r="I9" s="772"/>
      <c r="J9" s="782"/>
      <c r="K9" s="766">
        <v>19061</v>
      </c>
    </row>
    <row r="10" spans="1:11" x14ac:dyDescent="0.2">
      <c r="A10" s="2280" t="s">
        <v>1916</v>
      </c>
      <c r="B10" s="2253"/>
      <c r="C10" s="2253"/>
      <c r="D10" s="2253"/>
      <c r="E10" s="2282"/>
      <c r="F10" s="784" t="s">
        <v>917</v>
      </c>
      <c r="G10" s="783"/>
      <c r="H10" s="785"/>
      <c r="I10" s="765"/>
      <c r="J10" s="766"/>
      <c r="K10" s="766"/>
    </row>
    <row r="11" spans="1:11" x14ac:dyDescent="0.2">
      <c r="A11" s="2280" t="s">
        <v>162</v>
      </c>
      <c r="B11" s="2253"/>
      <c r="C11" s="2253"/>
      <c r="D11" s="2253"/>
      <c r="E11" s="2281"/>
      <c r="F11" s="771" t="s">
        <v>907</v>
      </c>
      <c r="G11" s="772"/>
      <c r="H11" s="765"/>
      <c r="I11" s="765"/>
      <c r="J11" s="766"/>
      <c r="K11" s="774"/>
    </row>
    <row r="12" spans="1:11" ht="13.5" thickBot="1" x14ac:dyDescent="0.25">
      <c r="A12" s="2270" t="s">
        <v>961</v>
      </c>
      <c r="B12" s="2271"/>
      <c r="C12" s="2271"/>
      <c r="D12" s="2271"/>
      <c r="E12" s="2272"/>
      <c r="F12" s="1779"/>
      <c r="G12" s="1780">
        <f>SUM(G5:G11)</f>
        <v>0</v>
      </c>
      <c r="H12" s="1780">
        <f>SUM(H5:H11)</f>
        <v>46127</v>
      </c>
      <c r="I12" s="1780">
        <f>SUM(I5:I11)</f>
        <v>0</v>
      </c>
      <c r="J12" s="1780">
        <f>SUM(J5:J11)</f>
        <v>467009</v>
      </c>
      <c r="K12" s="1780">
        <f>SUM(K5:K11)</f>
        <v>31331</v>
      </c>
    </row>
    <row r="13" spans="1:11" ht="13.5" thickTop="1" x14ac:dyDescent="0.2">
      <c r="A13" s="2264" t="s">
        <v>388</v>
      </c>
      <c r="B13" s="2265"/>
      <c r="C13" s="2265"/>
      <c r="D13" s="2265"/>
      <c r="E13" s="2266"/>
      <c r="F13" s="786"/>
      <c r="G13" s="787"/>
      <c r="H13" s="788"/>
      <c r="I13" s="789"/>
      <c r="J13" s="789"/>
      <c r="K13" s="789"/>
    </row>
    <row r="14" spans="1:11" x14ac:dyDescent="0.2">
      <c r="A14" s="2286" t="s">
        <v>476</v>
      </c>
      <c r="B14" s="2286"/>
      <c r="C14" s="2286"/>
      <c r="D14" s="2286"/>
      <c r="E14" s="2287"/>
      <c r="F14" s="790" t="s">
        <v>909</v>
      </c>
      <c r="G14" s="783"/>
      <c r="H14" s="765">
        <v>46127</v>
      </c>
      <c r="I14" s="772"/>
      <c r="J14" s="774"/>
      <c r="K14" s="766">
        <v>31331</v>
      </c>
    </row>
    <row r="15" spans="1:11" x14ac:dyDescent="0.2">
      <c r="A15" s="2253" t="s">
        <v>4</v>
      </c>
      <c r="B15" s="2253"/>
      <c r="C15" s="2253"/>
      <c r="D15" s="2253"/>
      <c r="E15" s="2281"/>
      <c r="F15" s="790" t="s">
        <v>910</v>
      </c>
      <c r="G15" s="772"/>
      <c r="H15" s="765"/>
      <c r="I15" s="765"/>
      <c r="J15" s="766">
        <v>31381</v>
      </c>
      <c r="K15" s="766"/>
    </row>
    <row r="16" spans="1:11" x14ac:dyDescent="0.2">
      <c r="A16" s="2253" t="s">
        <v>316</v>
      </c>
      <c r="B16" s="2253"/>
      <c r="C16" s="2253"/>
      <c r="D16" s="2253"/>
      <c r="E16" s="2281"/>
      <c r="F16" s="790" t="s">
        <v>980</v>
      </c>
      <c r="G16" s="773"/>
      <c r="H16" s="768"/>
      <c r="I16" s="768"/>
      <c r="J16" s="770"/>
      <c r="K16" s="770"/>
    </row>
    <row r="17" spans="1:11" x14ac:dyDescent="0.2">
      <c r="A17" s="2275" t="s">
        <v>992</v>
      </c>
      <c r="B17" s="2275"/>
      <c r="C17" s="2275"/>
      <c r="D17" s="2275"/>
      <c r="E17" s="2276"/>
      <c r="F17" s="791"/>
      <c r="G17" s="792"/>
      <c r="H17" s="793"/>
      <c r="I17" s="793"/>
      <c r="J17" s="794"/>
      <c r="K17" s="795"/>
    </row>
    <row r="18" spans="1:11" x14ac:dyDescent="0.2">
      <c r="A18" s="2267" t="s">
        <v>386</v>
      </c>
      <c r="B18" s="2268"/>
      <c r="C18" s="2268"/>
      <c r="D18" s="2268"/>
      <c r="E18" s="2269"/>
      <c r="F18" s="790" t="s">
        <v>989</v>
      </c>
      <c r="G18" s="783"/>
      <c r="H18" s="783"/>
      <c r="I18" s="783"/>
      <c r="J18" s="766">
        <v>419162</v>
      </c>
      <c r="K18" s="796"/>
    </row>
    <row r="19" spans="1:11" ht="21.75" customHeight="1" x14ac:dyDescent="0.2">
      <c r="A19" s="2288" t="s">
        <v>1912</v>
      </c>
      <c r="B19" s="2288"/>
      <c r="C19" s="2288"/>
      <c r="D19" s="2288"/>
      <c r="E19" s="2289"/>
      <c r="F19" s="790" t="s">
        <v>990</v>
      </c>
      <c r="G19" s="783"/>
      <c r="H19" s="783"/>
      <c r="I19" s="783"/>
      <c r="J19" s="766"/>
      <c r="K19" s="796"/>
    </row>
    <row r="20" spans="1:11" x14ac:dyDescent="0.2">
      <c r="A20" s="2267" t="s">
        <v>1917</v>
      </c>
      <c r="B20" s="2268"/>
      <c r="C20" s="2268"/>
      <c r="D20" s="2268"/>
      <c r="E20" s="2269"/>
      <c r="F20" s="790" t="s">
        <v>991</v>
      </c>
      <c r="G20" s="783"/>
      <c r="H20" s="783"/>
      <c r="I20" s="783"/>
      <c r="J20" s="766"/>
      <c r="K20" s="796"/>
    </row>
    <row r="21" spans="1:11" ht="13.5" thickBot="1" x14ac:dyDescent="0.25">
      <c r="A21" s="2273" t="s">
        <v>659</v>
      </c>
      <c r="B21" s="2273"/>
      <c r="C21" s="2273"/>
      <c r="D21" s="2273"/>
      <c r="E21" s="2273"/>
      <c r="F21" s="1781"/>
      <c r="G21" s="793"/>
      <c r="H21" s="797"/>
      <c r="I21" s="797"/>
      <c r="J21" s="1782">
        <f>SUM(J18:J20)</f>
        <v>419162</v>
      </c>
      <c r="K21" s="794"/>
    </row>
    <row r="22" spans="1:11" ht="13.5" thickTop="1" x14ac:dyDescent="0.2">
      <c r="A22" s="2253" t="s">
        <v>1918</v>
      </c>
      <c r="B22" s="2253"/>
      <c r="C22" s="2253"/>
      <c r="D22" s="2253"/>
      <c r="E22" s="2281"/>
      <c r="F22" s="790" t="s">
        <v>917</v>
      </c>
      <c r="G22" s="783"/>
      <c r="H22" s="765"/>
      <c r="I22" s="765"/>
      <c r="J22" s="798"/>
      <c r="K22" s="766"/>
    </row>
    <row r="23" spans="1:11" ht="13.5" thickBot="1" x14ac:dyDescent="0.25">
      <c r="A23" s="2274" t="s">
        <v>962</v>
      </c>
      <c r="B23" s="2273"/>
      <c r="C23" s="2273"/>
      <c r="D23" s="2273"/>
      <c r="E23" s="2273"/>
      <c r="F23" s="1783"/>
      <c r="G23" s="1780">
        <f>SUM(G14:G16,G21,G22)</f>
        <v>0</v>
      </c>
      <c r="H23" s="1780">
        <f>SUM(H14:H16,H21,H22)</f>
        <v>46127</v>
      </c>
      <c r="I23" s="1780">
        <f>SUM(I14:I16,I21,I22)</f>
        <v>0</v>
      </c>
      <c r="J23" s="1780">
        <f>SUM(J14:J16,J21,J22)</f>
        <v>450543</v>
      </c>
      <c r="K23" s="1780">
        <f>SUM(K14:K16,K21,K22)</f>
        <v>31331</v>
      </c>
    </row>
    <row r="24" spans="1:11" ht="14.25" thickTop="1" thickBot="1" x14ac:dyDescent="0.25">
      <c r="A24" s="2274" t="s">
        <v>2020</v>
      </c>
      <c r="B24" s="2273"/>
      <c r="C24" s="2273"/>
      <c r="D24" s="2273"/>
      <c r="E24" s="2273"/>
      <c r="F24" s="1784"/>
      <c r="G24" s="1785">
        <f>SUM(G3,G12)-G23</f>
        <v>0</v>
      </c>
      <c r="H24" s="1785">
        <f>SUM(H3,H12)-H23</f>
        <v>0</v>
      </c>
      <c r="I24" s="1785">
        <f>SUM(I3,I12)-I23</f>
        <v>0</v>
      </c>
      <c r="J24" s="1785">
        <f>SUM(J3,J12)-J23</f>
        <v>16466</v>
      </c>
      <c r="K24" s="1785">
        <f>SUM(K3,K12)-K23</f>
        <v>0</v>
      </c>
    </row>
    <row r="25" spans="1:11" ht="13.5" thickTop="1" x14ac:dyDescent="0.2">
      <c r="A25" s="799" t="s">
        <v>440</v>
      </c>
      <c r="B25" s="800"/>
      <c r="C25" s="800"/>
      <c r="D25" s="800"/>
      <c r="E25" s="801"/>
      <c r="F25" s="802">
        <v>714</v>
      </c>
      <c r="G25" s="803"/>
      <c r="H25" s="803"/>
      <c r="I25" s="803"/>
      <c r="J25" s="798">
        <v>16466</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2030</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3"/>
      <c r="I31" s="2284"/>
      <c r="J31" s="2284"/>
      <c r="K31" s="2284"/>
    </row>
    <row r="32" spans="1:11" x14ac:dyDescent="0.2">
      <c r="A32" s="810"/>
      <c r="B32" s="237"/>
      <c r="C32" s="237"/>
      <c r="D32" s="237"/>
      <c r="E32" s="806"/>
      <c r="F32" s="812" t="s">
        <v>561</v>
      </c>
      <c r="G32" s="765"/>
      <c r="H32" s="2285"/>
      <c r="I32" s="2284"/>
      <c r="J32" s="2284"/>
      <c r="K32" s="2284"/>
    </row>
    <row r="33" spans="1:11" ht="1.5" customHeight="1" x14ac:dyDescent="0.2">
      <c r="A33" s="813" t="s">
        <v>1231</v>
      </c>
      <c r="B33" s="364"/>
      <c r="C33" s="364"/>
      <c r="D33" s="364"/>
      <c r="E33" s="364"/>
      <c r="F33" s="364"/>
      <c r="G33" s="814"/>
      <c r="H33" s="2285"/>
      <c r="I33" s="2284"/>
      <c r="J33" s="2284"/>
      <c r="K33" s="2284"/>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3" t="s">
        <v>562</v>
      </c>
      <c r="B41" s="2254"/>
      <c r="C41" s="2254"/>
      <c r="D41" s="2254"/>
      <c r="E41" s="2254"/>
      <c r="F41" s="225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1913</v>
      </c>
      <c r="B46" s="408" t="s">
        <v>1774</v>
      </c>
    </row>
    <row r="47" spans="1:11" s="824" customFormat="1" ht="12.75" customHeight="1" x14ac:dyDescent="0.2">
      <c r="A47" s="822"/>
      <c r="B47" s="823" t="s">
        <v>1775</v>
      </c>
      <c r="E47" s="823"/>
      <c r="K47" s="825"/>
    </row>
    <row r="48" spans="1:11" ht="12.75" customHeight="1" x14ac:dyDescent="0.2">
      <c r="A48" s="1554"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7" sqref="A7:D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2" t="s">
        <v>2029</v>
      </c>
      <c r="B1" s="2293"/>
      <c r="C1" s="2294"/>
      <c r="D1" s="827"/>
      <c r="E1" s="828"/>
      <c r="F1" s="828"/>
      <c r="G1" s="829"/>
      <c r="H1" s="830"/>
      <c r="I1" s="831"/>
      <c r="J1" s="2290"/>
      <c r="K1" s="2291"/>
      <c r="L1" s="2291"/>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250735</v>
      </c>
      <c r="D5" s="842"/>
      <c r="E5" s="842"/>
      <c r="F5" s="1782">
        <f>(C5+D5)-E5</f>
        <v>250735</v>
      </c>
      <c r="G5" s="838"/>
      <c r="H5" s="843"/>
      <c r="I5" s="843"/>
      <c r="J5" s="843"/>
      <c r="K5" s="794"/>
      <c r="L5" s="1791">
        <f>F5-K5</f>
        <v>250735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23965416</v>
      </c>
      <c r="D8" s="845">
        <v>161684</v>
      </c>
      <c r="E8" s="845"/>
      <c r="F8" s="1782">
        <f>(C8+D8)-E8</f>
        <v>24127100</v>
      </c>
      <c r="G8" s="844">
        <v>50</v>
      </c>
      <c r="H8" s="766">
        <v>8121605</v>
      </c>
      <c r="I8" s="766">
        <v>480426</v>
      </c>
      <c r="J8" s="766"/>
      <c r="K8" s="1791">
        <f>(H8+I8)-J8</f>
        <v>8602031</v>
      </c>
      <c r="L8" s="1791">
        <f>F8-K8</f>
        <v>15525069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929850</v>
      </c>
      <c r="D10" s="847"/>
      <c r="E10" s="847"/>
      <c r="F10" s="1786">
        <f>(C10+D10)-E10</f>
        <v>929850</v>
      </c>
      <c r="G10" s="844">
        <v>20</v>
      </c>
      <c r="H10" s="848">
        <v>592427</v>
      </c>
      <c r="I10" s="848">
        <v>46490</v>
      </c>
      <c r="J10" s="848"/>
      <c r="K10" s="1791">
        <f>(H10+I10)-J10</f>
        <v>638917</v>
      </c>
      <c r="L10" s="1791">
        <f>F10-K10</f>
        <v>290933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991687</v>
      </c>
      <c r="D12" s="845">
        <v>69330</v>
      </c>
      <c r="E12" s="845"/>
      <c r="F12" s="1782">
        <f>(C12+D12)-E12</f>
        <v>1061017</v>
      </c>
      <c r="G12" s="844">
        <v>10</v>
      </c>
      <c r="H12" s="766">
        <v>561958</v>
      </c>
      <c r="I12" s="766">
        <v>90173</v>
      </c>
      <c r="J12" s="766"/>
      <c r="K12" s="1791">
        <f>(H12+I12)-J12</f>
        <v>652131</v>
      </c>
      <c r="L12" s="1791">
        <f>F12-K12</f>
        <v>408886</v>
      </c>
    </row>
    <row r="13" spans="1:14" ht="14.25" thickTop="1" thickBot="1" x14ac:dyDescent="0.25">
      <c r="A13" s="849" t="s">
        <v>1184</v>
      </c>
      <c r="B13" s="841">
        <v>252</v>
      </c>
      <c r="C13" s="845">
        <v>1607055</v>
      </c>
      <c r="D13" s="845">
        <v>303552</v>
      </c>
      <c r="E13" s="845"/>
      <c r="F13" s="1782">
        <f>(C13+D13)-E13</f>
        <v>1910607</v>
      </c>
      <c r="G13" s="844">
        <v>5</v>
      </c>
      <c r="H13" s="766">
        <v>1350553</v>
      </c>
      <c r="I13" s="766">
        <v>76445</v>
      </c>
      <c r="J13" s="766"/>
      <c r="K13" s="1791">
        <f>(H13+I13)-J13</f>
        <v>1426998</v>
      </c>
      <c r="L13" s="1791">
        <f>F13-K13</f>
        <v>483609</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27744743</v>
      </c>
      <c r="D16" s="1782">
        <f>SUM(D3,D5:D6,D8:D10,D12:D15)</f>
        <v>534566</v>
      </c>
      <c r="E16" s="1782">
        <f>SUM(E3,E5:E6,E8:E10,E12:E15)</f>
        <v>0</v>
      </c>
      <c r="F16" s="1782">
        <f>SUM(F3,F5:F6,F8:F10,F12:F15)</f>
        <v>28279309</v>
      </c>
      <c r="G16" s="844"/>
      <c r="H16" s="1782">
        <f>SUM(H3,H6,H8:H10,H12:H14,)</f>
        <v>10626543</v>
      </c>
      <c r="I16" s="1782">
        <f>SUM(I3,I6,I8:I10,I12:I14,)</f>
        <v>693534</v>
      </c>
      <c r="J16" s="1782">
        <f>SUM(J3,J6,J8:J10,J12:J14,)</f>
        <v>0</v>
      </c>
      <c r="K16" s="1782">
        <f>(H16+I16)-J16</f>
        <v>11320077</v>
      </c>
      <c r="L16" s="1782">
        <f>F16-K16</f>
        <v>16959232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693534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7" sqref="A7:D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8" t="s">
        <v>1699</v>
      </c>
      <c r="B1" s="2299"/>
      <c r="C1" s="2299"/>
      <c r="D1" s="2299"/>
      <c r="E1" s="2299"/>
      <c r="F1" s="2300"/>
      <c r="G1" s="856"/>
    </row>
    <row r="2" spans="1:7" ht="15" customHeight="1" thickBot="1" x14ac:dyDescent="0.25">
      <c r="A2" s="2301" t="s">
        <v>498</v>
      </c>
      <c r="B2" s="2302"/>
      <c r="C2" s="2302"/>
      <c r="D2" s="2302"/>
      <c r="E2" s="2302"/>
      <c r="F2" s="230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4"/>
      <c r="B5" s="2305"/>
      <c r="C5" s="2305"/>
      <c r="D5" s="2305"/>
      <c r="E5" s="2305"/>
      <c r="F5" s="2305"/>
    </row>
    <row r="6" spans="1:7" ht="13.5" customHeight="1" thickBot="1" x14ac:dyDescent="0.25">
      <c r="A6" s="2295" t="s">
        <v>1166</v>
      </c>
      <c r="B6" s="2296"/>
      <c r="C6" s="2296"/>
      <c r="D6" s="2296"/>
      <c r="E6" s="2296"/>
      <c r="F6" s="229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9000663</v>
      </c>
      <c r="G8" s="866"/>
    </row>
    <row r="9" spans="1:7" x14ac:dyDescent="0.2">
      <c r="A9" s="870" t="s">
        <v>480</v>
      </c>
      <c r="B9" s="871" t="s">
        <v>1984</v>
      </c>
      <c r="C9" s="872"/>
      <c r="D9" s="870" t="s">
        <v>522</v>
      </c>
      <c r="E9" s="869"/>
      <c r="F9" s="1935">
        <f>'Expenditures 15-22'!K151</f>
        <v>718047</v>
      </c>
      <c r="G9" s="873"/>
    </row>
    <row r="10" spans="1:7" x14ac:dyDescent="0.2">
      <c r="A10" s="870" t="s">
        <v>520</v>
      </c>
      <c r="B10" s="871" t="s">
        <v>1985</v>
      </c>
      <c r="C10" s="872"/>
      <c r="D10" s="870" t="s">
        <v>522</v>
      </c>
      <c r="E10" s="869"/>
      <c r="F10" s="1935">
        <f>'Expenditures 15-22'!K174</f>
        <v>1310419</v>
      </c>
      <c r="G10" s="873"/>
    </row>
    <row r="11" spans="1:7" x14ac:dyDescent="0.2">
      <c r="A11" s="870" t="s">
        <v>481</v>
      </c>
      <c r="B11" s="871" t="s">
        <v>1986</v>
      </c>
      <c r="C11" s="872"/>
      <c r="D11" s="870" t="s">
        <v>522</v>
      </c>
      <c r="E11" s="869"/>
      <c r="F11" s="1935">
        <f>'Expenditures 15-22'!K210</f>
        <v>1207379</v>
      </c>
      <c r="G11" s="873"/>
    </row>
    <row r="12" spans="1:7" x14ac:dyDescent="0.2">
      <c r="A12" s="870" t="s">
        <v>482</v>
      </c>
      <c r="B12" s="871" t="s">
        <v>1987</v>
      </c>
      <c r="C12" s="872"/>
      <c r="D12" s="870" t="s">
        <v>522</v>
      </c>
      <c r="E12" s="869"/>
      <c r="F12" s="1935">
        <f>'Expenditures 15-22'!K295</f>
        <v>445259</v>
      </c>
      <c r="G12" s="873"/>
    </row>
    <row r="13" spans="1:7" x14ac:dyDescent="0.2">
      <c r="A13" s="870" t="s">
        <v>108</v>
      </c>
      <c r="B13" s="871" t="s">
        <v>1988</v>
      </c>
      <c r="C13" s="872"/>
      <c r="D13" s="870" t="s">
        <v>522</v>
      </c>
      <c r="E13" s="869"/>
      <c r="F13" s="1935">
        <f>'Expenditures 15-22'!K342</f>
        <v>399586</v>
      </c>
      <c r="G13" s="874"/>
    </row>
    <row r="14" spans="1:7" ht="12" customHeight="1" thickBot="1" x14ac:dyDescent="0.25">
      <c r="A14" s="1792"/>
      <c r="B14" s="1793"/>
      <c r="C14" s="1794"/>
      <c r="D14" s="1795" t="s">
        <v>522</v>
      </c>
      <c r="E14" s="1796" t="s">
        <v>1015</v>
      </c>
      <c r="F14" s="1797">
        <f>SUM(F8:F13)</f>
        <v>13081353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2982</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171397</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39344</v>
      </c>
      <c r="G52" s="866"/>
    </row>
    <row r="53" spans="1:7" x14ac:dyDescent="0.2">
      <c r="A53" s="870" t="s">
        <v>479</v>
      </c>
      <c r="B53" s="870" t="s">
        <v>1551</v>
      </c>
      <c r="C53" s="890">
        <f>'Expenditures 15-22'!B102</f>
        <v>4000</v>
      </c>
      <c r="D53" s="889" t="str">
        <f>'Expenditures 15-22'!A102</f>
        <v>Total Payments to Other Govt Units</v>
      </c>
      <c r="E53" s="869"/>
      <c r="F53" s="1939">
        <f>'Expenditures 15-22'!K102</f>
        <v>470168</v>
      </c>
      <c r="G53" s="866"/>
    </row>
    <row r="54" spans="1:7" x14ac:dyDescent="0.2">
      <c r="A54" s="870" t="s">
        <v>479</v>
      </c>
      <c r="B54" s="870" t="s">
        <v>1552</v>
      </c>
      <c r="C54" s="890" t="s">
        <v>1039</v>
      </c>
      <c r="D54" s="886" t="s">
        <v>1157</v>
      </c>
      <c r="E54" s="869"/>
      <c r="F54" s="1939">
        <f>'Expenditures 15-22'!G114</f>
        <v>68726</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9">
        <f>'Expenditures 15-22'!K139</f>
        <v>0</v>
      </c>
      <c r="G57" s="866"/>
    </row>
    <row r="58" spans="1:7" x14ac:dyDescent="0.2">
      <c r="A58" s="870" t="s">
        <v>480</v>
      </c>
      <c r="B58" s="870" t="s">
        <v>1990</v>
      </c>
      <c r="C58" s="887" t="s">
        <v>1039</v>
      </c>
      <c r="D58" s="886" t="s">
        <v>1157</v>
      </c>
      <c r="E58" s="869"/>
      <c r="F58" s="1941">
        <f>'Expenditures 15-22'!G151</f>
        <v>65842</v>
      </c>
      <c r="G58" s="866"/>
    </row>
    <row r="59" spans="1:7" x14ac:dyDescent="0.2">
      <c r="A59" s="894" t="s">
        <v>480</v>
      </c>
      <c r="B59" s="857" t="s">
        <v>1991</v>
      </c>
      <c r="C59" s="895" t="s">
        <v>1039</v>
      </c>
      <c r="D59" s="857" t="s">
        <v>309</v>
      </c>
      <c r="F59" s="1942">
        <f>'Expenditures 15-22'!I151</f>
        <v>0</v>
      </c>
      <c r="G59" s="866"/>
    </row>
    <row r="60" spans="1:7" x14ac:dyDescent="0.2">
      <c r="A60" s="894" t="s">
        <v>520</v>
      </c>
      <c r="B60" s="857" t="s">
        <v>1992</v>
      </c>
      <c r="C60" s="895">
        <v>4000</v>
      </c>
      <c r="D60" s="857" t="s">
        <v>330</v>
      </c>
      <c r="F60" s="1940">
        <f>'Expenditures 15-22'!K160</f>
        <v>0</v>
      </c>
      <c r="G60" s="866"/>
    </row>
    <row r="61" spans="1:7" x14ac:dyDescent="0.2">
      <c r="A61" s="896" t="s">
        <v>520</v>
      </c>
      <c r="B61" s="896" t="s">
        <v>1993</v>
      </c>
      <c r="C61" s="897" t="str">
        <f>'Expenditures 15-22'!B170</f>
        <v>5300</v>
      </c>
      <c r="D61" s="898" t="s">
        <v>329</v>
      </c>
      <c r="E61" s="880"/>
      <c r="F61" s="1939">
        <f>'Expenditures 15-22'!K170</f>
        <v>631693</v>
      </c>
      <c r="G61" s="866"/>
    </row>
    <row r="62" spans="1:7" x14ac:dyDescent="0.2">
      <c r="A62" s="870" t="s">
        <v>481</v>
      </c>
      <c r="B62" s="870" t="s">
        <v>1994</v>
      </c>
      <c r="C62" s="887">
        <f>'Expenditures 15-22'!B185</f>
        <v>3000</v>
      </c>
      <c r="D62" s="877" t="s">
        <v>469</v>
      </c>
      <c r="E62" s="869"/>
      <c r="F62" s="1939">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1996</v>
      </c>
      <c r="C64" s="897" t="str">
        <f>'Expenditures 15-22'!B206</f>
        <v>5300</v>
      </c>
      <c r="D64" s="893" t="s">
        <v>329</v>
      </c>
      <c r="E64" s="869"/>
      <c r="F64" s="1939">
        <f>'Expenditures 15-22'!K206</f>
        <v>73499</v>
      </c>
      <c r="G64" s="866"/>
    </row>
    <row r="65" spans="1:8" x14ac:dyDescent="0.2">
      <c r="A65" s="870" t="s">
        <v>481</v>
      </c>
      <c r="B65" s="870" t="s">
        <v>1997</v>
      </c>
      <c r="C65" s="887" t="s">
        <v>1039</v>
      </c>
      <c r="D65" s="886" t="s">
        <v>1157</v>
      </c>
      <c r="E65" s="869"/>
      <c r="F65" s="1939">
        <f>'Expenditures 15-22'!G210</f>
        <v>304472</v>
      </c>
      <c r="G65" s="866"/>
    </row>
    <row r="66" spans="1:8" x14ac:dyDescent="0.2">
      <c r="A66" s="870" t="s">
        <v>481</v>
      </c>
      <c r="B66" s="870" t="s">
        <v>1998</v>
      </c>
      <c r="C66" s="887" t="s">
        <v>1039</v>
      </c>
      <c r="D66" s="886" t="s">
        <v>309</v>
      </c>
      <c r="E66" s="869"/>
      <c r="F66" s="1939">
        <f>'Expenditures 15-22'!I210</f>
        <v>0</v>
      </c>
      <c r="G66" s="866"/>
    </row>
    <row r="67" spans="1:8" x14ac:dyDescent="0.2">
      <c r="A67" s="870" t="s">
        <v>482</v>
      </c>
      <c r="B67" s="870" t="s">
        <v>1999</v>
      </c>
      <c r="C67" s="887" t="str">
        <f>'Expenditures 15-22'!B216</f>
        <v>1125</v>
      </c>
      <c r="D67" s="893" t="str">
        <f>'Expenditures 15-22'!A216</f>
        <v>Pre-K Programs</v>
      </c>
      <c r="E67" s="869"/>
      <c r="F67" s="1939">
        <f>'Expenditures 15-22'!K216</f>
        <v>10206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2001</v>
      </c>
      <c r="C70" s="887">
        <f>'Expenditures 15-22'!B221</f>
        <v>1300</v>
      </c>
      <c r="D70" s="888" t="str">
        <f>'Expenditures 15-22'!A221</f>
        <v>Adult/Continuing Education Programs</v>
      </c>
      <c r="E70" s="869"/>
      <c r="F70" s="1939">
        <f>'Expenditures 15-22'!K221</f>
        <v>0</v>
      </c>
      <c r="G70" s="866"/>
    </row>
    <row r="71" spans="1:8" x14ac:dyDescent="0.2">
      <c r="A71" s="870" t="s">
        <v>482</v>
      </c>
      <c r="B71" s="870" t="s">
        <v>2002</v>
      </c>
      <c r="C71" s="887">
        <f>'Expenditures 15-22'!B224</f>
        <v>1600</v>
      </c>
      <c r="D71" s="888" t="str">
        <f>'Expenditures 15-22'!A224</f>
        <v>Summer School Programs</v>
      </c>
      <c r="E71" s="869"/>
      <c r="F71" s="1939">
        <f>'Expenditures 15-22'!K224</f>
        <v>0</v>
      </c>
      <c r="G71" s="866"/>
    </row>
    <row r="72" spans="1:8" x14ac:dyDescent="0.2">
      <c r="A72" s="870" t="s">
        <v>482</v>
      </c>
      <c r="B72" s="870" t="s">
        <v>2003</v>
      </c>
      <c r="C72" s="887">
        <f>'Expenditures 15-22'!B280</f>
        <v>3000</v>
      </c>
      <c r="D72" s="877" t="s">
        <v>469</v>
      </c>
      <c r="E72" s="869"/>
      <c r="F72" s="1939">
        <f>'Expenditures 15-22'!K280</f>
        <v>5126</v>
      </c>
      <c r="G72" s="866"/>
    </row>
    <row r="73" spans="1:8" x14ac:dyDescent="0.2">
      <c r="A73" s="870" t="s">
        <v>482</v>
      </c>
      <c r="B73" s="870" t="s">
        <v>2004</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2005</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2006</v>
      </c>
      <c r="E76" s="1796" t="s">
        <v>1015</v>
      </c>
      <c r="F76" s="1800">
        <f>SUM(F18:F74)</f>
        <v>1843455</v>
      </c>
      <c r="G76" s="866"/>
    </row>
    <row r="77" spans="1:8" s="894" customFormat="1" ht="12" customHeight="1" thickTop="1" thickBot="1" x14ac:dyDescent="0.25">
      <c r="A77" s="1801"/>
      <c r="B77" s="1798"/>
      <c r="C77" s="1794"/>
      <c r="D77" s="1799" t="s">
        <v>2007</v>
      </c>
      <c r="E77" s="1796"/>
      <c r="F77" s="1802">
        <f>(F14-F76)</f>
        <v>11237898</v>
      </c>
      <c r="G77" s="870"/>
    </row>
    <row r="78" spans="1:8" s="894" customFormat="1" ht="12" customHeight="1" thickTop="1" x14ac:dyDescent="0.2">
      <c r="A78" s="1803"/>
      <c r="B78" s="1798"/>
      <c r="C78" s="1794"/>
      <c r="D78" s="1799" t="s">
        <v>2053</v>
      </c>
      <c r="E78" s="1796"/>
      <c r="F78" s="899">
        <v>1137.9000000000001</v>
      </c>
      <c r="G78" s="900"/>
      <c r="H78" s="870"/>
    </row>
    <row r="79" spans="1:8" s="894" customFormat="1" ht="12" customHeight="1" thickBot="1" x14ac:dyDescent="0.25">
      <c r="A79" s="1804"/>
      <c r="B79" s="1798"/>
      <c r="C79" s="1794"/>
      <c r="D79" s="1799" t="s">
        <v>2008</v>
      </c>
      <c r="E79" s="1796" t="s">
        <v>1015</v>
      </c>
      <c r="F79" s="1805">
        <f>IF(F78&gt;0,F77/F78," Complete Line 78")</f>
        <v>9875.9978908515677</v>
      </c>
      <c r="G79" s="870"/>
    </row>
    <row r="80" spans="1:8" s="894" customFormat="1" ht="8.25" customHeight="1" thickTop="1" x14ac:dyDescent="0.2">
      <c r="A80" s="901"/>
      <c r="B80" s="870"/>
      <c r="C80" s="872"/>
      <c r="D80" s="902"/>
      <c r="E80" s="869"/>
      <c r="F80" s="903"/>
      <c r="G80" s="870"/>
    </row>
    <row r="81" spans="1:7" s="894" customFormat="1" ht="12" thickBot="1" x14ac:dyDescent="0.25">
      <c r="A81" s="2295" t="s">
        <v>1167</v>
      </c>
      <c r="B81" s="2296"/>
      <c r="C81" s="2296"/>
      <c r="D81" s="2296"/>
      <c r="E81" s="2296"/>
      <c r="F81" s="229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1486</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204886</v>
      </c>
      <c r="G94" s="913"/>
    </row>
    <row r="95" spans="1:7" x14ac:dyDescent="0.2">
      <c r="A95" s="909" t="s">
        <v>142</v>
      </c>
      <c r="B95" s="909" t="s">
        <v>177</v>
      </c>
      <c r="C95" s="911">
        <v>1700</v>
      </c>
      <c r="D95" s="919" t="str">
        <f>'Revenues 9-14'!A82</f>
        <v>Total District/School Activity Income</v>
      </c>
      <c r="E95" s="907"/>
      <c r="F95" s="1811">
        <f>SUM('Revenues 9-14'!C82,'Revenues 9-14'!D82)</f>
        <v>46557</v>
      </c>
      <c r="G95" s="913"/>
    </row>
    <row r="96" spans="1:7" x14ac:dyDescent="0.2">
      <c r="A96" s="909" t="s">
        <v>479</v>
      </c>
      <c r="B96" s="909" t="s">
        <v>178</v>
      </c>
      <c r="C96" s="911">
        <f>'Revenues 9-14'!B84</f>
        <v>1811</v>
      </c>
      <c r="D96" s="912" t="str">
        <f>'Revenues 9-14'!A84</f>
        <v>Rentals - Regular Textbooks</v>
      </c>
      <c r="E96" s="907"/>
      <c r="F96" s="1811">
        <f>'Revenues 9-14'!C84</f>
        <v>35670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3731</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47830</v>
      </c>
      <c r="G103" s="913"/>
    </row>
    <row r="104" spans="1:7" x14ac:dyDescent="0.2">
      <c r="A104" s="909" t="s">
        <v>479</v>
      </c>
      <c r="B104" s="909" t="s">
        <v>841</v>
      </c>
      <c r="C104" s="911">
        <f>'Revenues 9-14'!B106</f>
        <v>1993</v>
      </c>
      <c r="D104" s="912" t="str">
        <f>'Revenues 9-14'!A106</f>
        <v>Other Local Fees (Describe &amp; Itemize)</v>
      </c>
      <c r="E104" s="907"/>
      <c r="F104" s="1811">
        <f>('Revenues 9-14'!C106)</f>
        <v>8089</v>
      </c>
      <c r="G104" s="913"/>
    </row>
    <row r="105" spans="1:7" x14ac:dyDescent="0.2">
      <c r="A105" s="909" t="s">
        <v>524</v>
      </c>
      <c r="B105" s="909" t="s">
        <v>842</v>
      </c>
      <c r="C105" s="914">
        <v>3100</v>
      </c>
      <c r="D105" s="920" t="str">
        <f>'Revenues 9-14'!A131</f>
        <v>Total Special Education</v>
      </c>
      <c r="E105" s="907"/>
      <c r="F105" s="1811">
        <f>SUM('Revenues 9-14'!C131:D131,'Revenues 9-14'!F131)</f>
        <v>291883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55925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6331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19061</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575548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52355</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1681</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23057</v>
      </c>
      <c r="G128" s="931"/>
    </row>
    <row r="129" spans="1:7" x14ac:dyDescent="0.2">
      <c r="A129" s="928" t="s">
        <v>685</v>
      </c>
      <c r="B129" s="928" t="s">
        <v>803</v>
      </c>
      <c r="C129" s="933">
        <v>4200</v>
      </c>
      <c r="D129" s="930" t="str">
        <f>'Revenues 9-14'!A201</f>
        <v>Total Food Service</v>
      </c>
      <c r="E129" s="907"/>
      <c r="F129" s="1811">
        <f>SUM('Revenues 9-14'!C201,'Revenues 9-14'!G201)</f>
        <v>387987</v>
      </c>
      <c r="G129" s="931"/>
    </row>
    <row r="130" spans="1:7" x14ac:dyDescent="0.2">
      <c r="A130" s="928" t="s">
        <v>689</v>
      </c>
      <c r="B130" s="928" t="s">
        <v>804</v>
      </c>
      <c r="C130" s="933">
        <v>4300</v>
      </c>
      <c r="D130" s="934" t="str">
        <f>'Revenues 9-14'!A211</f>
        <v>Total Title I</v>
      </c>
      <c r="E130" s="907"/>
      <c r="F130" s="1811">
        <f>SUM('Revenues 9-14'!C211,'Revenues 9-14'!D211,'Revenues 9-14'!F211,'Revenues 9-14'!G211)</f>
        <v>398653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11784</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120811</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68226</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26798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51694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2052</v>
      </c>
      <c r="C175" s="1946">
        <v>3100</v>
      </c>
      <c r="D175" s="1947" t="s">
        <v>2055</v>
      </c>
      <c r="E175" s="907"/>
      <c r="F175" s="1931"/>
      <c r="G175" s="928"/>
    </row>
    <row r="176" spans="1:7" x14ac:dyDescent="0.2">
      <c r="A176" s="1944" t="s">
        <v>685</v>
      </c>
      <c r="B176" s="1945" t="s">
        <v>2052</v>
      </c>
      <c r="C176" s="1946">
        <v>3300</v>
      </c>
      <c r="D176" s="1947" t="s">
        <v>2056</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2009</v>
      </c>
      <c r="E178" s="1809" t="s">
        <v>1015</v>
      </c>
      <c r="F178" s="1810">
        <f>SUM(F84:F136,F161:F176)</f>
        <v>2440043</v>
      </c>
    </row>
    <row r="179" spans="1:7" ht="12" customHeight="1" x14ac:dyDescent="0.2">
      <c r="A179" s="1792"/>
      <c r="B179" s="1806"/>
      <c r="C179" s="1807"/>
      <c r="D179" s="1808" t="s">
        <v>2010</v>
      </c>
      <c r="E179" s="1809"/>
      <c r="F179" s="1811">
        <f>'PCTC-OEPP 27-28'!F77-F178</f>
        <v>8797855</v>
      </c>
    </row>
    <row r="180" spans="1:7" ht="12" customHeight="1" x14ac:dyDescent="0.2">
      <c r="A180" s="1792"/>
      <c r="B180" s="1806"/>
      <c r="C180" s="1807"/>
      <c r="D180" s="1808" t="s">
        <v>1920</v>
      </c>
      <c r="E180" s="1809"/>
      <c r="F180" s="1811">
        <f>'Cap Outlay Deprec 26'!I18</f>
        <v>693534</v>
      </c>
    </row>
    <row r="181" spans="1:7" ht="12" customHeight="1" x14ac:dyDescent="0.2">
      <c r="A181" s="1792"/>
      <c r="B181" s="1806"/>
      <c r="C181" s="1807"/>
      <c r="D181" s="1808" t="s">
        <v>2011</v>
      </c>
      <c r="E181" s="1809"/>
      <c r="F181" s="1811">
        <f>F179+F180</f>
        <v>9491389</v>
      </c>
    </row>
    <row r="182" spans="1:7" ht="12" customHeight="1" x14ac:dyDescent="0.2">
      <c r="A182" s="1792"/>
      <c r="B182" s="1812"/>
      <c r="C182" s="1807"/>
      <c r="D182" s="1808" t="str">
        <f>D78</f>
        <v>9 Month ADA from District Average Daily Attendance/Prior General State Aid Inquiry 2017-2018</v>
      </c>
      <c r="E182" s="1809"/>
      <c r="F182" s="1813">
        <f>'PCTC-OEPP 27-28'!F78</f>
        <v>1137.9000000000001</v>
      </c>
      <c r="G182" s="931"/>
    </row>
    <row r="183" spans="1:7" ht="12" customHeight="1" thickBot="1" x14ac:dyDescent="0.25">
      <c r="A183" s="1792"/>
      <c r="B183" s="1812"/>
      <c r="C183" s="1807"/>
      <c r="D183" s="1808" t="s">
        <v>2012</v>
      </c>
      <c r="E183" s="1809" t="s">
        <v>1626</v>
      </c>
      <c r="F183" s="1814">
        <f>F181/F182</f>
        <v>8341.1450918358369</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8" customFormat="1" ht="12.2" customHeight="1" x14ac:dyDescent="0.2">
      <c r="A186" s="1948" t="s">
        <v>2059</v>
      </c>
      <c r="B186" s="1949"/>
      <c r="C186" s="1950"/>
      <c r="D186" s="1949"/>
      <c r="E186" s="1950"/>
      <c r="F186" s="1949"/>
      <c r="G186" s="1949"/>
    </row>
    <row r="187" spans="1:7" s="1948" customFormat="1" ht="12.2" customHeight="1" x14ac:dyDescent="0.2">
      <c r="A187" s="1951" t="s">
        <v>2060</v>
      </c>
      <c r="C187" s="1950"/>
      <c r="D187" s="1949"/>
      <c r="E187" s="1950"/>
      <c r="F187" s="1949"/>
      <c r="G187" s="1949"/>
    </row>
    <row r="188" spans="1:7" ht="12" customHeight="1" x14ac:dyDescent="0.2">
      <c r="C188" s="950"/>
      <c r="D188" s="931"/>
      <c r="E188" s="950"/>
      <c r="F188" s="931"/>
      <c r="G188" s="931"/>
    </row>
    <row r="189" spans="1:7" x14ac:dyDescent="0.2">
      <c r="A189" s="1952" t="s">
        <v>2058</v>
      </c>
      <c r="B189" s="1953"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B17" sqref="B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09" t="s">
        <v>1921</v>
      </c>
      <c r="B4" s="2310"/>
      <c r="C4" s="2310"/>
      <c r="D4" s="2310"/>
      <c r="E4" s="2310"/>
      <c r="F4" s="2310"/>
      <c r="G4" s="2311"/>
    </row>
    <row r="5" spans="1:7" x14ac:dyDescent="0.25">
      <c r="A5" s="2312"/>
      <c r="B5" s="2313"/>
      <c r="C5" s="2313"/>
      <c r="D5" s="2313"/>
      <c r="E5" s="2313"/>
      <c r="F5" s="2313"/>
      <c r="G5" s="2314"/>
    </row>
    <row r="6" spans="1:7" ht="18.75" x14ac:dyDescent="0.25">
      <c r="A6" s="1556" t="s">
        <v>1922</v>
      </c>
      <c r="B6" s="1557"/>
      <c r="C6" s="1557"/>
      <c r="D6" s="1557"/>
      <c r="E6" s="1557"/>
      <c r="F6" s="1557"/>
      <c r="G6" s="1558"/>
    </row>
    <row r="7" spans="1:7" ht="30.75" customHeight="1" x14ac:dyDescent="0.25">
      <c r="A7" s="2315" t="s">
        <v>2069</v>
      </c>
      <c r="B7" s="2316"/>
      <c r="C7" s="2316"/>
      <c r="D7" s="2316"/>
      <c r="E7" s="2316"/>
      <c r="F7" s="2316"/>
      <c r="G7" s="2317"/>
    </row>
    <row r="8" spans="1:7" ht="15.75" customHeight="1" x14ac:dyDescent="0.25">
      <c r="A8" s="2318" t="s">
        <v>2018</v>
      </c>
      <c r="B8" s="2319"/>
      <c r="C8" s="2319"/>
      <c r="D8" s="2319"/>
      <c r="E8" s="2319"/>
      <c r="F8" s="2319"/>
      <c r="G8" s="2320"/>
    </row>
    <row r="9" spans="1:7" ht="35.25" customHeight="1" x14ac:dyDescent="0.25">
      <c r="A9" s="2315" t="s">
        <v>2072</v>
      </c>
      <c r="B9" s="2316"/>
      <c r="C9" s="2316"/>
      <c r="D9" s="2316"/>
      <c r="E9" s="2316"/>
      <c r="F9" s="2316"/>
      <c r="G9" s="2317"/>
    </row>
    <row r="10" spans="1:7" ht="15" customHeight="1" x14ac:dyDescent="0.25">
      <c r="A10" s="1559" t="s">
        <v>1923</v>
      </c>
      <c r="B10" s="1560"/>
      <c r="C10" s="1560"/>
      <c r="D10" s="1560"/>
      <c r="E10" s="1560"/>
      <c r="F10" s="1560"/>
      <c r="G10" s="1561"/>
    </row>
    <row r="11" spans="1:7" ht="17.25" customHeight="1" x14ac:dyDescent="0.25">
      <c r="A11" s="2315" t="s">
        <v>2071</v>
      </c>
      <c r="B11" s="2316"/>
      <c r="C11" s="2316"/>
      <c r="D11" s="2316"/>
      <c r="E11" s="2316"/>
      <c r="F11" s="2316"/>
      <c r="G11" s="2317"/>
    </row>
    <row r="12" spans="1:7" ht="15" customHeight="1" x14ac:dyDescent="0.25">
      <c r="A12" s="1559" t="s">
        <v>1928</v>
      </c>
      <c r="B12" s="1560"/>
      <c r="C12" s="1560"/>
      <c r="D12" s="1560"/>
      <c r="E12" s="1560"/>
      <c r="F12" s="1560"/>
      <c r="G12" s="1561"/>
    </row>
    <row r="13" spans="1:7" ht="32.25" customHeight="1" x14ac:dyDescent="0.25">
      <c r="A13" s="2306" t="s">
        <v>1929</v>
      </c>
      <c r="B13" s="2307"/>
      <c r="C13" s="2307"/>
      <c r="D13" s="2307"/>
      <c r="E13" s="2307"/>
      <c r="F13" s="2307"/>
      <c r="G13" s="2308"/>
    </row>
    <row r="14" spans="1:7" x14ac:dyDescent="0.25">
      <c r="A14" s="1683" t="s">
        <v>1937</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1938</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ht="30" x14ac:dyDescent="0.25">
      <c r="A17" s="1971" t="s">
        <v>2133</v>
      </c>
      <c r="B17" s="1972" t="s">
        <v>2134</v>
      </c>
      <c r="C17" s="1973" t="s">
        <v>2135</v>
      </c>
      <c r="D17" s="1867">
        <v>54695</v>
      </c>
      <c r="E17" s="1562">
        <f t="shared" ref="E17:E141" si="1">IF(D17&lt;=25000,D17,IF(D17&gt;25000,25000,0))</f>
        <v>25000</v>
      </c>
      <c r="F17" s="1815">
        <f t="shared" si="0"/>
        <v>25000</v>
      </c>
      <c r="G17" s="1816">
        <f>IF(F17=0,0,D17-F17)</f>
        <v>29695</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54695</v>
      </c>
      <c r="E141" s="1563">
        <f t="shared" si="1"/>
        <v>25000</v>
      </c>
      <c r="F141" s="1817">
        <f>SUM(F17:F140)</f>
        <v>25000</v>
      </c>
      <c r="G141" s="1818">
        <f>SUM(G17:G140)</f>
        <v>29695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7" sqref="A7:D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1" t="s">
        <v>1778</v>
      </c>
      <c r="B5" s="2322"/>
      <c r="C5" s="2322"/>
      <c r="D5" s="2322"/>
      <c r="E5" s="2322"/>
      <c r="F5" s="2322"/>
      <c r="G5" s="232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243145</v>
      </c>
      <c r="F10" s="975"/>
      <c r="G10" s="976"/>
      <c r="H10" s="162"/>
      <c r="I10" s="162"/>
    </row>
    <row r="11" spans="1:9" s="669" customFormat="1" ht="22.5" customHeight="1" x14ac:dyDescent="0.2">
      <c r="A11" s="2326" t="s">
        <v>1940</v>
      </c>
      <c r="B11" s="2327"/>
      <c r="C11" s="2327"/>
      <c r="D11" s="2328"/>
      <c r="E11" s="978">
        <f>' SEFA (2)'!F15</f>
        <v>44946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6249381</v>
      </c>
      <c r="F19" s="1822"/>
      <c r="G19" s="1824">
        <f>'Expenditures 15-22'!K33-SUM('Expenditures 15-22'!G33,'Expenditures 15-22'!I33)+'Expenditures 15-22'!D229</f>
        <v>6249381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304236</v>
      </c>
      <c r="F21" s="1825"/>
      <c r="G21" s="1828">
        <f>'Expenditures 15-22'!K42-SUM('Expenditures 15-22'!G42,'Expenditures 15-22'!I42)+'Expenditures 15-22'!K120-SUM('Expenditures 15-22'!G120,'Expenditures 15-22'!I120)+'Expenditures 15-22'!K180-SUM('Expenditures 15-22'!G180,'Expenditures 15-22'!I180)+'Expenditures 15-22'!D238</f>
        <v>304236</v>
      </c>
      <c r="H21" s="988"/>
      <c r="I21" s="162"/>
    </row>
    <row r="22" spans="1:9" s="669" customFormat="1" ht="12" customHeight="1" x14ac:dyDescent="0.2">
      <c r="A22" s="995" t="s">
        <v>585</v>
      </c>
      <c r="B22" s="996"/>
      <c r="C22" s="994">
        <v>2200</v>
      </c>
      <c r="D22" s="1825"/>
      <c r="E22" s="1827">
        <f>'Expenditures 15-22'!K47-SUM('Expenditures 15-22'!G47,'Expenditures 15-22'!I47)+'Expenditures 15-22'!D243</f>
        <v>341802</v>
      </c>
      <c r="F22" s="1825"/>
      <c r="G22" s="1828">
        <f>'Expenditures 15-22'!K47-SUM('Expenditures 15-22'!G47,'Expenditures 15-22'!I47)+'Expenditures 15-22'!D243</f>
        <v>341802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720559</v>
      </c>
      <c r="F23" s="1825"/>
      <c r="G23" s="1827">
        <f>'Expenditures 15-22'!K53-SUM('Expenditures 15-22'!G53,'Expenditures 15-22'!I53)+'Expenditures 15-22'!D257+'Expenditures 15-22'!K330-SUM('Expenditures 15-22'!G330,'Expenditures 15-22'!I330)</f>
        <v>720559</v>
      </c>
      <c r="H23" s="988"/>
      <c r="I23" s="162"/>
    </row>
    <row r="24" spans="1:9" s="669" customFormat="1" ht="12" customHeight="1" x14ac:dyDescent="0.2">
      <c r="A24" s="995" t="s">
        <v>587</v>
      </c>
      <c r="B24" s="996"/>
      <c r="C24" s="994">
        <v>2400</v>
      </c>
      <c r="D24" s="1825"/>
      <c r="E24" s="1827">
        <f>'Expenditures 15-22'!K57-SUM('Expenditures 15-22'!G57,'Expenditures 15-22'!I57)+'Expenditures 15-22'!D261</f>
        <v>626202</v>
      </c>
      <c r="F24" s="1825"/>
      <c r="G24" s="1828">
        <f>'Expenditures 15-22'!K57-SUM('Expenditures 15-22'!G57,'Expenditures 15-22'!I57)+'Expenditures 15-22'!D261</f>
        <v>626202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168064</v>
      </c>
      <c r="E27" s="1827">
        <f>E8</f>
        <v>0</v>
      </c>
      <c r="F27" s="1827">
        <f>'Expenditures 15-22'!K60-SUM('Expenditures 15-22'!G60,'Expenditures 15-22'!I60)+'Expenditures 15-22'!D264-E8</f>
        <v>168064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854918</v>
      </c>
      <c r="F28" s="1829">
        <f>'Expenditures 15-22'!K61-SUM('Expenditures 15-22'!G61,'Expenditures 15-22'!I61)+'Expenditures 15-22'!K124-SUM('Expenditures 15-22'!G124,'Expenditures 15-22'!I124)+'Expenditures 15-22'!D266-E9</f>
        <v>854918</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923091</v>
      </c>
      <c r="F29" s="1825"/>
      <c r="G29" s="1828">
        <f>'Expenditures 15-22'!K62-SUM('Expenditures 15-22'!G62,'Expenditures 15-22'!I62)+'Expenditures 15-22'!K125-SUM('Expenditures 15-22'!G125,'Expenditures 15-22'!I125)+'Expenditures 15-22'!K182-SUM('Expenditures 15-22'!G182,'Expenditures 15-22'!I182)+'Expenditures 15-22'!D267</f>
        <v>923091</v>
      </c>
      <c r="H29" s="986"/>
    </row>
    <row r="30" spans="1:9" ht="12" customHeight="1" x14ac:dyDescent="0.2">
      <c r="A30" s="995" t="s">
        <v>102</v>
      </c>
      <c r="B30" s="998"/>
      <c r="C30" s="994">
        <v>2560</v>
      </c>
      <c r="D30" s="1825"/>
      <c r="E30" s="1827">
        <f>'Expenditures 15-22'!K63-SUM('Expenditures 15-22'!G63,'Expenditures 15-22'!I63)+'Expenditures 15-22'!D268-E10</f>
        <v>305619</v>
      </c>
      <c r="F30" s="1825"/>
      <c r="G30" s="1827">
        <f>'Expenditures 15-22'!K63-SUM('Expenditures 15-22'!G63,'Expenditures 15-22'!I63)+'Expenditures 15-22'!D268-E10</f>
        <v>305619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460</v>
      </c>
      <c r="E37" s="1827">
        <f>E14</f>
        <v>0</v>
      </c>
      <c r="F37" s="1827">
        <f>'Expenditures 15-22'!K71-SUM('Expenditures 15-22'!G71,'Expenditures 15-22'!I71)+'Expenditures 15-22'!D276-E14</f>
        <v>460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44470</v>
      </c>
      <c r="F39" s="1825"/>
      <c r="G39" s="1827">
        <f>'Expenditures 15-22'!K75-SUM('Expenditures 15-22'!G75,'Expenditures 15-22'!I75)+'Expenditures 15-22'!K130-SUM('Expenditures 15-22'!G130,'Expenditures 15-22'!I130)+'Expenditures 15-22'!K185-SUM('Expenditures 15-22'!G185,'Expenditures 15-22'!I185)+'Expenditures 15-22'!D280</f>
        <v>44470</v>
      </c>
    </row>
    <row r="40" spans="1:7" ht="12" customHeight="1" x14ac:dyDescent="0.2">
      <c r="A40" s="991" t="s">
        <v>1926</v>
      </c>
      <c r="B40" s="992"/>
      <c r="C40" s="994"/>
      <c r="D40" s="1825"/>
      <c r="E40" s="1829">
        <f>-'Contracts Paid in CY 29'!G141</f>
        <v>-29695</v>
      </c>
      <c r="F40" s="1825"/>
      <c r="G40" s="1829">
        <f>-'Contracts Paid in CY 29'!G141</f>
        <v>-29695</v>
      </c>
    </row>
    <row r="41" spans="1:7" ht="12" customHeight="1" x14ac:dyDescent="0.2">
      <c r="A41" s="999" t="s">
        <v>158</v>
      </c>
      <c r="B41" s="1000"/>
      <c r="C41" s="1001"/>
      <c r="D41" s="1829">
        <f>SUM(D19:D39)</f>
        <v>168524</v>
      </c>
      <c r="E41" s="1829">
        <f>SUM(E19:E40)</f>
        <v>10340583</v>
      </c>
      <c r="F41" s="1829">
        <f>SUM(F19:F39)</f>
        <v>1023442</v>
      </c>
      <c r="G41" s="1829">
        <f>SUM(G19:G40)</f>
        <v>9485665</v>
      </c>
    </row>
    <row r="42" spans="1:7" x14ac:dyDescent="0.2">
      <c r="A42" s="988"/>
      <c r="B42" s="162"/>
      <c r="C42" s="1002"/>
      <c r="D42" s="2324" t="s">
        <v>543</v>
      </c>
      <c r="E42" s="2325"/>
      <c r="F42" s="1003" t="s">
        <v>544</v>
      </c>
      <c r="G42" s="1004"/>
    </row>
    <row r="43" spans="1:7" ht="12" customHeight="1" x14ac:dyDescent="0.2">
      <c r="A43" s="988"/>
      <c r="B43" s="162"/>
      <c r="C43" s="1002"/>
      <c r="D43" s="1830" t="s">
        <v>493</v>
      </c>
      <c r="E43" s="1831">
        <f>D41</f>
        <v>168524</v>
      </c>
      <c r="F43" s="1830" t="s">
        <v>495</v>
      </c>
      <c r="G43" s="1831">
        <f>F41</f>
        <v>1023442</v>
      </c>
    </row>
    <row r="44" spans="1:7" ht="12" customHeight="1" x14ac:dyDescent="0.2">
      <c r="A44" s="988"/>
      <c r="B44" s="162"/>
      <c r="C44" s="1002"/>
      <c r="D44" s="1830" t="s">
        <v>494</v>
      </c>
      <c r="E44" s="1831">
        <f>E41</f>
        <v>10340583</v>
      </c>
      <c r="F44" s="1830" t="s">
        <v>494</v>
      </c>
      <c r="G44" s="1831">
        <f>G41</f>
        <v>9485665</v>
      </c>
    </row>
    <row r="45" spans="1:7" ht="12" customHeight="1" x14ac:dyDescent="0.2">
      <c r="A45" s="988"/>
      <c r="B45" s="162"/>
      <c r="C45" s="162"/>
      <c r="D45" s="1832" t="s">
        <v>1063</v>
      </c>
      <c r="E45" s="1833">
        <f>(E43/E44)</f>
        <v>1.6297340295029786E-2</v>
      </c>
      <c r="F45" s="1832" t="s">
        <v>1063</v>
      </c>
      <c r="G45" s="1833">
        <f>(G43/G44)</f>
        <v>0.10789354251915917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7" sqref="A7:D7"/>
      <selection pane="bottomLeft" activeCell="A7" sqref="A7:E7"/>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9" width="4" style="1903" bestFit="1" customWidth="1"/>
    <col min="10" max="10" width="2.7109375" style="1903" bestFit="1" customWidth="1"/>
    <col min="11" max="11" width="9" style="1903" customWidth="1"/>
    <col min="12" max="16384" width="9.140625" style="1872"/>
  </cols>
  <sheetData>
    <row r="1" spans="1:10" x14ac:dyDescent="0.2">
      <c r="A1" s="2332" t="s">
        <v>1446</v>
      </c>
      <c r="B1" s="2332"/>
      <c r="C1" s="2332"/>
      <c r="D1" s="2332"/>
      <c r="E1" s="2332"/>
      <c r="F1" s="2332"/>
    </row>
    <row r="2" spans="1:10" x14ac:dyDescent="0.2">
      <c r="A2" s="1912" t="s">
        <v>2042</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33" t="s">
        <v>1627</v>
      </c>
      <c r="B5" s="2334"/>
      <c r="C5" s="2335"/>
      <c r="D5" s="2335"/>
      <c r="E5" s="2335"/>
      <c r="F5" s="2335"/>
    </row>
    <row r="6" spans="1:10" ht="12" customHeight="1" x14ac:dyDescent="0.25">
      <c r="A6" s="1875"/>
      <c r="B6" s="1876"/>
      <c r="C6" s="2336" t="str">
        <f>COVER!A17</f>
        <v>Pikeland CUSD 10</v>
      </c>
      <c r="D6" s="2336"/>
      <c r="E6" s="2336"/>
      <c r="F6" s="1877"/>
    </row>
    <row r="7" spans="1:10" ht="11.25" customHeight="1" thickBot="1" x14ac:dyDescent="0.3">
      <c r="A7" s="1875"/>
      <c r="B7" s="1876"/>
      <c r="C7" s="2337">
        <f>COVER!A13</f>
        <v>1075010026</v>
      </c>
      <c r="D7" s="2337"/>
      <c r="E7" s="2337"/>
      <c r="F7" s="1877"/>
    </row>
    <row r="8" spans="1:10" ht="25.5" customHeight="1" thickBot="1" x14ac:dyDescent="0.25">
      <c r="A8" s="1918" t="s">
        <v>2019</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2162</v>
      </c>
      <c r="D14" s="1890" t="s">
        <v>2162</v>
      </c>
      <c r="E14" s="1893" t="s">
        <v>2162</v>
      </c>
      <c r="F14" s="1892" t="s">
        <v>2163</v>
      </c>
      <c r="H14" s="1903">
        <f t="shared" si="0"/>
        <v>5</v>
      </c>
      <c r="I14" s="1903">
        <f t="shared" si="1"/>
        <v>5</v>
      </c>
      <c r="J14" s="1903">
        <f t="shared" si="2"/>
        <v>5</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2162</v>
      </c>
      <c r="D26" s="1890" t="s">
        <v>2162</v>
      </c>
      <c r="E26" s="1893" t="s">
        <v>2162</v>
      </c>
      <c r="F26" s="1892" t="s">
        <v>2164</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2162</v>
      </c>
      <c r="D28" s="1890" t="s">
        <v>2162</v>
      </c>
      <c r="E28" s="1893" t="s">
        <v>2162</v>
      </c>
      <c r="F28" s="1892" t="s">
        <v>2165</v>
      </c>
      <c r="H28" s="1903">
        <f t="shared" si="0"/>
        <v>5</v>
      </c>
      <c r="I28" s="1903">
        <f t="shared" si="1"/>
        <v>5</v>
      </c>
      <c r="J28" s="1903">
        <f t="shared" si="2"/>
        <v>5</v>
      </c>
    </row>
    <row r="29" spans="1:12" ht="12" customHeight="1" x14ac:dyDescent="0.2">
      <c r="A29" s="1888" t="s">
        <v>1618</v>
      </c>
      <c r="B29" s="1889"/>
      <c r="C29" s="1890" t="s">
        <v>2162</v>
      </c>
      <c r="D29" s="1890" t="s">
        <v>2162</v>
      </c>
      <c r="E29" s="1893" t="s">
        <v>2162</v>
      </c>
      <c r="F29" s="1892" t="s">
        <v>2166</v>
      </c>
      <c r="H29" s="1903">
        <f t="shared" si="0"/>
        <v>5</v>
      </c>
      <c r="I29" s="1903">
        <f t="shared" si="1"/>
        <v>5</v>
      </c>
      <c r="J29" s="1903">
        <f t="shared" si="2"/>
        <v>5</v>
      </c>
    </row>
    <row r="30" spans="1:12" ht="12" customHeight="1" x14ac:dyDescent="0.2">
      <c r="A30" s="1888" t="s">
        <v>1619</v>
      </c>
      <c r="B30" s="1889"/>
      <c r="C30" s="1890" t="s">
        <v>2162</v>
      </c>
      <c r="D30" s="1890" t="s">
        <v>2162</v>
      </c>
      <c r="E30" s="1893" t="s">
        <v>2162</v>
      </c>
      <c r="F30" s="1892" t="s">
        <v>2167</v>
      </c>
      <c r="H30" s="1903">
        <f t="shared" si="0"/>
        <v>5</v>
      </c>
      <c r="I30" s="1903">
        <f t="shared" si="1"/>
        <v>5</v>
      </c>
      <c r="J30" s="1903">
        <f t="shared" si="2"/>
        <v>5</v>
      </c>
    </row>
    <row r="31" spans="1:12" ht="12" customHeight="1" x14ac:dyDescent="0.2">
      <c r="A31" s="1888" t="s">
        <v>1620</v>
      </c>
      <c r="B31" s="1889"/>
      <c r="C31" s="1890" t="s">
        <v>2162</v>
      </c>
      <c r="D31" s="1890" t="s">
        <v>2162</v>
      </c>
      <c r="E31" s="1893" t="s">
        <v>2162</v>
      </c>
      <c r="F31" s="1892" t="s">
        <v>2168</v>
      </c>
      <c r="H31" s="1903">
        <f t="shared" si="0"/>
        <v>5</v>
      </c>
      <c r="I31" s="1903">
        <f t="shared" si="1"/>
        <v>5</v>
      </c>
      <c r="J31" s="1903">
        <f t="shared" si="2"/>
        <v>5</v>
      </c>
      <c r="L31" s="1894"/>
    </row>
    <row r="32" spans="1:12" ht="12" customHeight="1" x14ac:dyDescent="0.2">
      <c r="A32" s="1888" t="s">
        <v>1621</v>
      </c>
      <c r="B32" s="1889"/>
      <c r="C32" s="1890" t="s">
        <v>2162</v>
      </c>
      <c r="D32" s="1890" t="s">
        <v>2162</v>
      </c>
      <c r="E32" s="1893" t="s">
        <v>2162</v>
      </c>
      <c r="F32" s="1892" t="s">
        <v>2169</v>
      </c>
      <c r="H32" s="1903">
        <f t="shared" si="0"/>
        <v>5</v>
      </c>
      <c r="I32" s="1903">
        <f t="shared" si="1"/>
        <v>5</v>
      </c>
      <c r="J32" s="1903">
        <f t="shared" si="2"/>
        <v>5</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35</v>
      </c>
      <c r="J34" s="1903">
        <f>SUM(J11:J32)</f>
        <v>35</v>
      </c>
      <c r="K34" s="1903">
        <f>SUM(H34:J34)</f>
        <v>105</v>
      </c>
    </row>
    <row r="35" spans="1:11" ht="12" customHeight="1" x14ac:dyDescent="0.2">
      <c r="A35" s="1896" t="s">
        <v>1459</v>
      </c>
      <c r="B35" s="1897"/>
      <c r="C35" s="2338"/>
      <c r="D35" s="2338"/>
      <c r="E35" s="2338"/>
      <c r="F35" s="2339"/>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43"/>
      <c r="B38" s="2344"/>
      <c r="C38" s="2344"/>
      <c r="D38" s="2344"/>
      <c r="E38" s="2344"/>
      <c r="F38" s="2345"/>
    </row>
    <row r="39" spans="1:11" ht="4.5" hidden="1" customHeight="1" x14ac:dyDescent="0.2">
      <c r="A39" s="1898"/>
      <c r="B39" s="1898"/>
      <c r="C39" s="1898"/>
      <c r="D39" s="1898"/>
      <c r="E39" s="1898"/>
      <c r="F39" s="1898"/>
    </row>
    <row r="40" spans="1:11" s="1895" customFormat="1" ht="12" customHeight="1" x14ac:dyDescent="0.25">
      <c r="A40" s="1899" t="s">
        <v>1458</v>
      </c>
      <c r="B40" s="1900"/>
      <c r="C40" s="2346"/>
      <c r="D40" s="2346"/>
      <c r="E40" s="2346"/>
      <c r="F40" s="2347"/>
      <c r="H40" s="1904"/>
      <c r="I40" s="1904"/>
      <c r="J40" s="1904"/>
      <c r="K40" s="1904"/>
    </row>
    <row r="41" spans="1:11" s="1895" customFormat="1" ht="12" customHeight="1" x14ac:dyDescent="0.25">
      <c r="A41" s="2348"/>
      <c r="B41" s="2349"/>
      <c r="C41" s="2349"/>
      <c r="D41" s="2349"/>
      <c r="E41" s="2349"/>
      <c r="F41" s="2350"/>
      <c r="H41" s="1904"/>
      <c r="I41" s="1904"/>
      <c r="J41" s="1904"/>
      <c r="K41" s="1904"/>
    </row>
    <row r="42" spans="1:11" s="1895" customFormat="1" ht="12" customHeight="1" x14ac:dyDescent="0.25">
      <c r="A42" s="2348"/>
      <c r="B42" s="2349"/>
      <c r="C42" s="2349"/>
      <c r="D42" s="2349"/>
      <c r="E42" s="2349"/>
      <c r="F42" s="2350"/>
      <c r="H42" s="1904"/>
      <c r="I42" s="1904"/>
      <c r="J42" s="1904"/>
      <c r="K42" s="1904"/>
    </row>
    <row r="43" spans="1:11" s="1895" customFormat="1" ht="15" x14ac:dyDescent="0.25">
      <c r="A43" s="2340"/>
      <c r="B43" s="2341"/>
      <c r="C43" s="2341"/>
      <c r="D43" s="2341"/>
      <c r="E43" s="2341"/>
      <c r="F43" s="2342"/>
      <c r="H43" s="1904"/>
      <c r="I43" s="1904"/>
      <c r="J43" s="1904"/>
      <c r="K43" s="1904"/>
    </row>
    <row r="44" spans="1:11" s="1895" customFormat="1" ht="12" hidden="1" customHeight="1" x14ac:dyDescent="0.25">
      <c r="A44" s="2340"/>
      <c r="B44" s="2341"/>
      <c r="C44" s="2341"/>
      <c r="D44" s="2341"/>
      <c r="E44" s="2341"/>
      <c r="F44" s="234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7" sqref="A7:D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56" t="str">
        <f>COVER!A17</f>
        <v>Pikeland CUSD 10</v>
      </c>
      <c r="J6" s="2357"/>
      <c r="Q6" s="1686"/>
    </row>
    <row r="7" spans="1:17" x14ac:dyDescent="0.2">
      <c r="A7" s="2358" t="s">
        <v>924</v>
      </c>
      <c r="B7" s="2359"/>
      <c r="C7" s="2359"/>
      <c r="D7" s="2359"/>
      <c r="E7" s="2360"/>
      <c r="F7" s="1018"/>
      <c r="G7" s="1010"/>
      <c r="H7" s="1017" t="s">
        <v>390</v>
      </c>
      <c r="I7" s="2361">
        <f>COVER!A13</f>
        <v>1075010026</v>
      </c>
      <c r="J7" s="236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2" t="s">
        <v>502</v>
      </c>
      <c r="B11" s="2363"/>
      <c r="C11" s="236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266034</v>
      </c>
      <c r="F12" s="1040"/>
      <c r="G12" s="1834">
        <f t="shared" ref="G12:G18" si="0">SUM(E12:F12)</f>
        <v>266034</v>
      </c>
      <c r="H12" s="1041">
        <v>280520</v>
      </c>
      <c r="I12" s="1040"/>
      <c r="J12" s="1834">
        <f t="shared" ref="J12:J18" si="1">SUM(H12:I12)</f>
        <v>280520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65" t="s">
        <v>7</v>
      </c>
      <c r="C18" s="2366"/>
      <c r="D18" s="236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266034</v>
      </c>
      <c r="F19" s="1836">
        <f t="shared" si="2"/>
        <v>0</v>
      </c>
      <c r="G19" s="1836">
        <f t="shared" si="2"/>
        <v>266034</v>
      </c>
      <c r="H19" s="1836">
        <f t="shared" si="2"/>
        <v>280520</v>
      </c>
      <c r="I19" s="1836">
        <f t="shared" si="2"/>
        <v>0</v>
      </c>
      <c r="J19" s="1836">
        <f t="shared" si="2"/>
        <v>280520</v>
      </c>
    </row>
    <row r="20" spans="1:10" ht="13.5" thickTop="1" x14ac:dyDescent="0.2">
      <c r="A20" s="1036">
        <v>9</v>
      </c>
      <c r="B20" s="2368" t="s">
        <v>1703</v>
      </c>
      <c r="C20" s="2368"/>
      <c r="D20" s="2369"/>
      <c r="E20" s="1047"/>
      <c r="F20" s="1047"/>
      <c r="G20" s="1047"/>
      <c r="H20" s="1047"/>
      <c r="I20" s="1047"/>
      <c r="J20" s="1837">
        <f>IF(AND(G19&gt;0,J19&gt;0),(((J19-G19)/G19)),"Enter Budget Data")</f>
        <v>5.4451686626521424E-2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4"/>
      <c r="D26" s="2374"/>
      <c r="E26" s="1051"/>
      <c r="F26" s="2373"/>
      <c r="G26" s="2373"/>
    </row>
    <row r="27" spans="1:10" x14ac:dyDescent="0.2">
      <c r="B27" s="1048"/>
      <c r="C27" s="1052" t="s">
        <v>1093</v>
      </c>
      <c r="D27" s="1053"/>
      <c r="E27" s="1054"/>
      <c r="F27" s="2370" t="s">
        <v>1589</v>
      </c>
      <c r="G27" s="2370"/>
    </row>
    <row r="28" spans="1:10" ht="28.5" customHeight="1" x14ac:dyDescent="0.2">
      <c r="B28" s="1048"/>
      <c r="C28" s="2372" t="s">
        <v>2078</v>
      </c>
      <c r="D28" s="2372"/>
      <c r="E28" s="1055"/>
      <c r="F28" s="2372" t="s">
        <v>2079</v>
      </c>
      <c r="G28" s="2372"/>
    </row>
    <row r="29" spans="1:10" x14ac:dyDescent="0.2">
      <c r="B29" s="1048"/>
      <c r="C29" s="1056" t="s">
        <v>1642</v>
      </c>
      <c r="E29" s="1057"/>
      <c r="F29" s="2371" t="s">
        <v>1590</v>
      </c>
      <c r="G29" s="237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3" t="s">
        <v>134</v>
      </c>
      <c r="D33" s="2354"/>
      <c r="E33" s="2354"/>
      <c r="F33" s="2354"/>
      <c r="G33" s="2354"/>
      <c r="H33" s="2354"/>
      <c r="I33" s="2354"/>
    </row>
    <row r="34" spans="1:10" ht="10.35" customHeight="1" x14ac:dyDescent="0.2">
      <c r="C34" s="2354"/>
      <c r="D34" s="2354"/>
      <c r="E34" s="2354"/>
      <c r="F34" s="2354"/>
      <c r="G34" s="2354"/>
      <c r="H34" s="2354"/>
      <c r="I34" s="2354"/>
    </row>
    <row r="35" spans="1:10" ht="7.5" customHeight="1" x14ac:dyDescent="0.2">
      <c r="C35" s="1063"/>
    </row>
    <row r="36" spans="1:10" ht="13.5" customHeight="1" x14ac:dyDescent="0.2">
      <c r="B36" s="1062"/>
      <c r="C36" s="2355" t="s">
        <v>1939</v>
      </c>
      <c r="D36" s="2354"/>
      <c r="E36" s="2354"/>
      <c r="F36" s="2354"/>
      <c r="G36" s="2354"/>
      <c r="H36" s="2354"/>
      <c r="I36" s="2354"/>
      <c r="J36" s="1064"/>
    </row>
    <row r="37" spans="1:10" ht="22.5" customHeight="1" x14ac:dyDescent="0.2">
      <c r="C37" s="2354"/>
      <c r="D37" s="2354"/>
      <c r="E37" s="2354"/>
      <c r="F37" s="2354"/>
      <c r="G37" s="2354"/>
      <c r="H37" s="2354"/>
      <c r="I37" s="2354"/>
      <c r="J37" s="1064"/>
    </row>
    <row r="38" spans="1:10" ht="7.5" customHeight="1" x14ac:dyDescent="0.2">
      <c r="C38" s="1063"/>
      <c r="D38" s="1065"/>
      <c r="E38" s="1066"/>
      <c r="F38" s="1067"/>
      <c r="G38" s="1066"/>
    </row>
    <row r="39" spans="1:10" ht="13.5" customHeight="1" x14ac:dyDescent="0.2">
      <c r="B39" s="1062"/>
      <c r="C39" s="2351" t="s">
        <v>937</v>
      </c>
      <c r="D39" s="2352"/>
      <c r="E39" s="2352"/>
      <c r="F39" s="2352"/>
      <c r="G39" s="2352"/>
      <c r="H39" s="2352"/>
      <c r="I39" s="235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7" sqref="A7:D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2184</v>
      </c>
    </row>
    <row r="6" spans="1:2" x14ac:dyDescent="0.2">
      <c r="A6" s="1069">
        <v>2</v>
      </c>
      <c r="B6" s="329" t="s">
        <v>2185</v>
      </c>
    </row>
    <row r="7" spans="1:2" x14ac:dyDescent="0.2">
      <c r="A7" s="1069">
        <v>3</v>
      </c>
      <c r="B7" s="329" t="s">
        <v>2186</v>
      </c>
    </row>
    <row r="8" spans="1:2" x14ac:dyDescent="0.2">
      <c r="A8" s="1069">
        <v>4</v>
      </c>
      <c r="B8" s="329" t="s">
        <v>2187</v>
      </c>
    </row>
    <row r="9" spans="1:2" x14ac:dyDescent="0.2">
      <c r="A9" s="1070"/>
      <c r="B9" s="329" t="s">
        <v>2191</v>
      </c>
    </row>
    <row r="10" spans="1:2" x14ac:dyDescent="0.2">
      <c r="A10" s="1070">
        <v>5</v>
      </c>
      <c r="B10" s="329" t="s">
        <v>2192</v>
      </c>
    </row>
    <row r="11" spans="1:2" x14ac:dyDescent="0.2">
      <c r="A11" s="1070">
        <v>6</v>
      </c>
      <c r="B11" s="329" t="s">
        <v>2188</v>
      </c>
    </row>
    <row r="12" spans="1:2" x14ac:dyDescent="0.2">
      <c r="A12" s="1070">
        <v>7</v>
      </c>
      <c r="B12" s="329" t="s">
        <v>2194</v>
      </c>
    </row>
    <row r="13" spans="1:2" x14ac:dyDescent="0.2">
      <c r="A13" s="1070"/>
      <c r="B13" s="329" t="s">
        <v>2193</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Pikeland CUSD 10</v>
      </c>
    </row>
    <row r="65" spans="2:2" x14ac:dyDescent="0.2">
      <c r="B65" s="1071">
        <f>COVER!A13</f>
        <v>1075010026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7" sqref="A7:D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7" sqref="A7:D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5" t="s">
        <v>1784</v>
      </c>
      <c r="B18" s="237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autoPict="0" r:id="rId7">
            <anchor moveWithCells="1">
              <from>
                <xdr:col>1</xdr:col>
                <xdr:colOff>809625</xdr:colOff>
                <xdr:row>0</xdr:row>
                <xdr:rowOff>0</xdr:rowOff>
              </from>
              <to>
                <xdr:col>1</xdr:col>
                <xdr:colOff>1676400</xdr:colOff>
                <xdr:row>4</xdr:row>
                <xdr:rowOff>57150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1695450</xdr:colOff>
                <xdr:row>0</xdr:row>
                <xdr:rowOff>0</xdr:rowOff>
              </from>
              <to>
                <xdr:col>1</xdr:col>
                <xdr:colOff>2609850</xdr:colOff>
                <xdr:row>4</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2638425</xdr:colOff>
                <xdr:row>0</xdr:row>
                <xdr:rowOff>28575</xdr:rowOff>
              </from>
              <to>
                <xdr:col>1</xdr:col>
                <xdr:colOff>3552825</xdr:colOff>
                <xdr:row>4</xdr:row>
                <xdr:rowOff>66675</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activeCell="A7" sqref="A7:D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6" t="s">
        <v>1790</v>
      </c>
      <c r="B1" s="2377"/>
      <c r="C1" s="2377"/>
      <c r="D1" s="2377"/>
      <c r="E1" s="2377"/>
      <c r="F1" s="2378"/>
    </row>
    <row r="2" spans="1:8" ht="45" customHeight="1" x14ac:dyDescent="0.2">
      <c r="A2" s="2386" t="s">
        <v>1791</v>
      </c>
      <c r="B2" s="2387"/>
      <c r="C2" s="2387"/>
      <c r="D2" s="2387"/>
      <c r="E2" s="2387"/>
      <c r="F2" s="2388"/>
      <c r="G2" s="1075"/>
      <c r="H2" s="1075"/>
    </row>
    <row r="3" spans="1:8" ht="57" customHeight="1" x14ac:dyDescent="0.2">
      <c r="A3" s="2389" t="s">
        <v>1786</v>
      </c>
      <c r="B3" s="2390"/>
      <c r="C3" s="2390"/>
      <c r="D3" s="2390"/>
      <c r="E3" s="2390"/>
      <c r="F3" s="2391"/>
      <c r="G3" s="1075"/>
      <c r="H3" s="1075"/>
    </row>
    <row r="4" spans="1:8" ht="14.25" customHeight="1" x14ac:dyDescent="0.2">
      <c r="A4" s="2395" t="s">
        <v>2050</v>
      </c>
      <c r="B4" s="2396"/>
      <c r="C4" s="2396"/>
      <c r="D4" s="2396"/>
      <c r="E4" s="2396"/>
      <c r="F4" s="2397"/>
      <c r="G4" s="1075"/>
      <c r="H4" s="1075"/>
    </row>
    <row r="5" spans="1:8" ht="14.25" customHeight="1" x14ac:dyDescent="0.2">
      <c r="A5" s="2398" t="s">
        <v>2051</v>
      </c>
      <c r="B5" s="2399"/>
      <c r="C5" s="2399"/>
      <c r="D5" s="2399"/>
      <c r="E5" s="2399"/>
      <c r="F5" s="2400"/>
      <c r="G5" s="1075"/>
      <c r="H5" s="1075"/>
    </row>
    <row r="6" spans="1:8" s="1076" customFormat="1" ht="41.25" customHeight="1" x14ac:dyDescent="0.2">
      <c r="A6" s="2392" t="s">
        <v>1792</v>
      </c>
      <c r="B6" s="2393"/>
      <c r="C6" s="2393"/>
      <c r="D6" s="2393"/>
      <c r="E6" s="2393"/>
      <c r="F6" s="239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9905438</v>
      </c>
      <c r="C8" s="1838">
        <f>'Acct Summary 7-8'!D8</f>
        <v>614400</v>
      </c>
      <c r="D8" s="1838">
        <f>'Acct Summary 7-8'!F8</f>
        <v>965565</v>
      </c>
      <c r="E8" s="1838">
        <f>'Acct Summary 7-8'!I8</f>
        <v>61020</v>
      </c>
      <c r="F8" s="1838">
        <f>SUM(B8:E8)</f>
        <v>11546423</v>
      </c>
    </row>
    <row r="9" spans="1:8" s="1080" customFormat="1" ht="14.25" customHeight="1" thickBot="1" x14ac:dyDescent="0.25">
      <c r="A9" s="1079" t="s">
        <v>1436</v>
      </c>
      <c r="B9" s="1839">
        <f>'Acct Summary 7-8'!C17</f>
        <v>9000663</v>
      </c>
      <c r="C9" s="1839">
        <f>'Acct Summary 7-8'!D17</f>
        <v>718047</v>
      </c>
      <c r="D9" s="1839">
        <f>'Acct Summary 7-8'!F17</f>
        <v>1207379</v>
      </c>
      <c r="E9" s="1838"/>
      <c r="F9" s="1838">
        <f>SUM(B9:E9)</f>
        <v>10926089</v>
      </c>
    </row>
    <row r="10" spans="1:8" s="1080" customFormat="1" ht="14.25" thickTop="1" thickBot="1" x14ac:dyDescent="0.25">
      <c r="A10" s="1081" t="s">
        <v>1437</v>
      </c>
      <c r="B10" s="1840">
        <f>(B8-B9)</f>
        <v>904775</v>
      </c>
      <c r="C10" s="1840">
        <f>(C8-C9)</f>
        <v>-103647</v>
      </c>
      <c r="D10" s="1840">
        <f>(D8-D9)</f>
        <v>-241814</v>
      </c>
      <c r="E10" s="1839">
        <f>(E8-E9)</f>
        <v>61020</v>
      </c>
      <c r="F10" s="1841">
        <f>SUM(F8-F9)</f>
        <v>620334</v>
      </c>
    </row>
    <row r="11" spans="1:8" s="1080" customFormat="1" ht="14.25" thickTop="1" thickBot="1" x14ac:dyDescent="0.25">
      <c r="A11" s="1082" t="s">
        <v>1785</v>
      </c>
      <c r="B11" s="1842">
        <f>'Acct Summary 7-8'!C81</f>
        <v>1879548</v>
      </c>
      <c r="C11" s="1842">
        <f>'Acct Summary 7-8'!D81</f>
        <v>667223</v>
      </c>
      <c r="D11" s="1842">
        <f>'Acct Summary 7-8'!F81</f>
        <v>311067</v>
      </c>
      <c r="E11" s="1842">
        <f>'Acct Summary 7-8'!I81</f>
        <v>339347</v>
      </c>
      <c r="F11" s="1843">
        <f>SUM(B11:E11)</f>
        <v>3197185</v>
      </c>
    </row>
    <row r="12" spans="1:8" ht="16.5" customHeight="1" thickTop="1" x14ac:dyDescent="0.2">
      <c r="A12" s="1083"/>
      <c r="B12" s="1084"/>
      <c r="C12" s="2380" t="str">
        <f>IF(AND(F10&lt;0,F11&gt;=0,ABS(F10*3)&gt;ABS(F11)),A16,IF(AND(F10&lt;0,F11&gt;0,ABS(F10*3)&lt;=ABS(F11)),A17,IF(AND(F10&lt;0,F11&lt;0),A16,IF(F11=0,A19,A18))))</f>
        <v>Balanced - no deficit reduction plan is required.</v>
      </c>
      <c r="D12" s="2381"/>
      <c r="E12" s="2381"/>
      <c r="F12" s="2382"/>
    </row>
    <row r="13" spans="1:8" ht="19.5" customHeight="1" x14ac:dyDescent="0.2">
      <c r="A13" s="1085"/>
      <c r="B13" s="1086"/>
      <c r="C13" s="2380"/>
      <c r="D13" s="2381"/>
      <c r="E13" s="2381"/>
      <c r="F13" s="2382"/>
      <c r="H13" s="1075"/>
    </row>
    <row r="14" spans="1:8" ht="19.5" customHeight="1" x14ac:dyDescent="0.2">
      <c r="A14" s="1085"/>
      <c r="B14" s="1086"/>
      <c r="C14" s="2380"/>
      <c r="D14" s="2381"/>
      <c r="E14" s="2381"/>
      <c r="F14" s="2382"/>
      <c r="H14" s="1075"/>
    </row>
    <row r="15" spans="1:8" ht="17.25" customHeight="1" x14ac:dyDescent="0.2">
      <c r="A15" s="1085"/>
      <c r="B15" s="1086"/>
      <c r="C15" s="2383"/>
      <c r="D15" s="2384"/>
      <c r="E15" s="2384"/>
      <c r="F15" s="2385"/>
      <c r="H15" s="1075"/>
    </row>
    <row r="16" spans="1:8" s="310" customFormat="1" ht="51.75" hidden="1" customHeight="1" x14ac:dyDescent="0.2">
      <c r="A16" s="2379" t="s">
        <v>1787</v>
      </c>
      <c r="B16" s="2379"/>
      <c r="C16" s="2379"/>
      <c r="D16" s="2379"/>
      <c r="E16" s="237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A3" sqref="A3:D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401" t="s">
        <v>686</v>
      </c>
      <c r="B3" s="2402"/>
      <c r="C3" s="2402"/>
      <c r="D3" s="2403"/>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2" t="s">
        <v>1584</v>
      </c>
      <c r="D7" s="2413"/>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4" t="s">
        <v>1065</v>
      </c>
      <c r="B15" s="2405"/>
      <c r="C15" s="2405"/>
      <c r="D15" s="2406"/>
    </row>
    <row r="16" spans="1:4" s="669" customFormat="1" ht="24" customHeight="1" x14ac:dyDescent="0.2">
      <c r="A16" s="2407" t="s">
        <v>684</v>
      </c>
      <c r="B16" s="2408"/>
      <c r="C16" s="2408"/>
      <c r="D16" s="240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6" t="s">
        <v>332</v>
      </c>
      <c r="D21" s="2417"/>
    </row>
    <row r="22" spans="1:10" ht="12.75" x14ac:dyDescent="0.2">
      <c r="A22" s="1140"/>
      <c r="B22" s="1141">
        <v>2</v>
      </c>
      <c r="C22" s="2414" t="s">
        <v>1605</v>
      </c>
      <c r="D22" s="241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8" t="s">
        <v>557</v>
      </c>
      <c r="D43" s="241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0" t="s">
        <v>817</v>
      </c>
      <c r="D56" s="241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ERROR!</v>
      </c>
    </row>
    <row r="70" spans="1:4" x14ac:dyDescent="0.2">
      <c r="A70" s="1099"/>
      <c r="B70" s="1121">
        <f>B66+1</f>
        <v>9</v>
      </c>
      <c r="C70" s="2410" t="s">
        <v>1797</v>
      </c>
      <c r="D70" s="241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1075010026</v>
      </c>
    </row>
    <row r="3" spans="1:2" x14ac:dyDescent="0.2">
      <c r="A3" t="s">
        <v>1013</v>
      </c>
      <c r="B3" s="138" t="str">
        <f>COVER!A15</f>
        <v>Pike, Calhoun</v>
      </c>
    </row>
    <row r="4" spans="1:2" x14ac:dyDescent="0.2">
      <c r="A4" t="s">
        <v>1064</v>
      </c>
      <c r="B4" s="138" t="str">
        <f>COVER!A17</f>
        <v>Pikeland CUSD 10</v>
      </c>
    </row>
    <row r="5" spans="1:2" x14ac:dyDescent="0.2">
      <c r="A5" t="s">
        <v>728</v>
      </c>
      <c r="B5" s="138" t="str">
        <f>COVER!A38</f>
        <v>Paula Hawley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066-004993</v>
      </c>
    </row>
    <row r="16" spans="1:2" x14ac:dyDescent="0.2">
      <c r="A16" t="s">
        <v>442</v>
      </c>
      <c r="B16" s="138" t="str">
        <f>COVER!T13</f>
        <v>Zumbahlen, Eyth, Surratt, Foote &amp; Flynn, Ltd.</v>
      </c>
    </row>
    <row r="17" spans="1:2" x14ac:dyDescent="0.2">
      <c r="A17" t="s">
        <v>939</v>
      </c>
      <c r="B17" s="138" t="str">
        <f>COVER!T15</f>
        <v>Adam Withee</v>
      </c>
    </row>
    <row r="18" spans="1:2" x14ac:dyDescent="0.2">
      <c r="A18" t="s">
        <v>1212</v>
      </c>
      <c r="B18" s="138" t="str">
        <f>COVER!T17</f>
        <v>1395 Lincoln Ave.</v>
      </c>
    </row>
    <row r="19" spans="1:2" x14ac:dyDescent="0.2">
      <c r="A19" t="s">
        <v>941</v>
      </c>
      <c r="B19" s="138" t="str">
        <f>COVER!T25</f>
        <v>awithee@zescpa.com</v>
      </c>
    </row>
    <row r="20" spans="1:2" x14ac:dyDescent="0.2">
      <c r="A20" t="s">
        <v>942</v>
      </c>
      <c r="B20" s="138" t="str">
        <f>COVER!T19</f>
        <v>Jacksonville</v>
      </c>
    </row>
    <row r="21" spans="1:2" x14ac:dyDescent="0.2">
      <c r="A21" t="s">
        <v>500</v>
      </c>
      <c r="B21" s="138" t="str">
        <f>COVER!X19</f>
        <v>IL</v>
      </c>
    </row>
    <row r="22" spans="1:2" x14ac:dyDescent="0.2">
      <c r="A22" t="s">
        <v>943</v>
      </c>
      <c r="B22" s="138">
        <f>COVER!Z19</f>
        <v>62650</v>
      </c>
    </row>
    <row r="23" spans="1:2" x14ac:dyDescent="0.2">
      <c r="A23" t="s">
        <v>1214</v>
      </c>
      <c r="B23" s="138" t="str">
        <f>COVER!T21</f>
        <v>217-245-5121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1443</v>
      </c>
      <c r="D76" s="2" t="str">
        <f t="shared" si="0"/>
        <v>Error?</v>
      </c>
    </row>
    <row r="77" spans="1:4" x14ac:dyDescent="0.2">
      <c r="A77" s="5">
        <v>16</v>
      </c>
      <c r="B77" s="138">
        <f>'Assets-Liab 5-6'!C13</f>
        <v>1879548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1807055</v>
      </c>
      <c r="D92" s="2" t="str">
        <f t="shared" si="0"/>
        <v>Error?</v>
      </c>
    </row>
    <row r="93" spans="1:4" x14ac:dyDescent="0.2">
      <c r="A93" s="5">
        <v>32</v>
      </c>
      <c r="B93" s="138">
        <f>'Assets-Liab 5-6'!C41</f>
        <v>1879548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106902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667223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590934</v>
      </c>
      <c r="D123" s="2" t="str">
        <f t="shared" si="0"/>
        <v>Error?</v>
      </c>
    </row>
    <row r="124" spans="1:4" x14ac:dyDescent="0.2">
      <c r="A124" s="5">
        <v>63</v>
      </c>
      <c r="B124" s="138">
        <f>'Assets-Liab 5-6'!D41</f>
        <v>667223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255046</v>
      </c>
      <c r="D129" s="2" t="str">
        <f t="shared" si="1"/>
        <v>Error?</v>
      </c>
    </row>
    <row r="130" spans="1:4" x14ac:dyDescent="0.2">
      <c r="A130" s="5">
        <v>69</v>
      </c>
      <c r="B130" s="138">
        <f>'Assets-Liab 5-6'!E12</f>
        <v>0</v>
      </c>
      <c r="D130" s="2" t="str">
        <f t="shared" si="1"/>
        <v>Error?</v>
      </c>
    </row>
    <row r="131" spans="1:4" x14ac:dyDescent="0.2">
      <c r="A131" s="5">
        <v>70</v>
      </c>
      <c r="B131" s="138">
        <f>'Assets-Liab 5-6'!E13</f>
        <v>690778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690778</v>
      </c>
      <c r="D140" s="2" t="str">
        <f t="shared" si="1"/>
        <v>Error?</v>
      </c>
    </row>
    <row r="141" spans="1:4" x14ac:dyDescent="0.2">
      <c r="A141" s="5">
        <v>80</v>
      </c>
      <c r="B141" s="138">
        <f>'Assets-Liab 5-6'!E41</f>
        <v>690778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311067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311067</v>
      </c>
      <c r="D170" s="2" t="str">
        <f t="shared" si="1"/>
        <v>Error?</v>
      </c>
    </row>
    <row r="171" spans="1:4" x14ac:dyDescent="0.2">
      <c r="A171" s="5">
        <v>110</v>
      </c>
      <c r="B171" s="138">
        <f>'Assets-Liab 5-6'!F41</f>
        <v>311067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152616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139270</v>
      </c>
      <c r="D189" s="2" t="str">
        <f t="shared" si="1"/>
        <v>Error?</v>
      </c>
    </row>
    <row r="190" spans="1:4" x14ac:dyDescent="0.2">
      <c r="A190" s="5">
        <v>129</v>
      </c>
      <c r="B190" s="138">
        <f>'Assets-Liab 5-6'!G41</f>
        <v>152616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147437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130971</v>
      </c>
      <c r="D212" s="2" t="str">
        <f t="shared" si="2"/>
        <v>Error?</v>
      </c>
    </row>
    <row r="213" spans="1:4" x14ac:dyDescent="0.2">
      <c r="A213" s="12">
        <v>152</v>
      </c>
      <c r="B213" s="138">
        <f>'Assets-Liab 5-6'!H41</f>
        <v>147437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250735</v>
      </c>
      <c r="D273" s="2" t="str">
        <f t="shared" si="3"/>
        <v>Error?</v>
      </c>
    </row>
    <row r="274" spans="1:4" x14ac:dyDescent="0.2">
      <c r="A274" s="5">
        <v>213</v>
      </c>
      <c r="B274" s="138">
        <f>'Assets-Liab 5-6'!M17</f>
        <v>24127100</v>
      </c>
      <c r="D274" s="2" t="str">
        <f t="shared" si="3"/>
        <v>Error?</v>
      </c>
    </row>
    <row r="275" spans="1:4" x14ac:dyDescent="0.2">
      <c r="A275" s="5">
        <v>214</v>
      </c>
      <c r="B275" s="138">
        <f>'Assets-Liab 5-6'!M18</f>
        <v>929850</v>
      </c>
      <c r="D275" s="2" t="str">
        <f t="shared" si="3"/>
        <v>Error?</v>
      </c>
    </row>
    <row r="276" spans="1:4" x14ac:dyDescent="0.2">
      <c r="A276" s="5">
        <v>215</v>
      </c>
      <c r="B276" s="138">
        <f>'Assets-Liab 5-6'!M19</f>
        <v>2971624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28279309</v>
      </c>
      <c r="C279" s="2" t="s">
        <v>594</v>
      </c>
      <c r="D279" s="2" t="str">
        <f t="shared" si="3"/>
        <v>Error?</v>
      </c>
    </row>
    <row r="280" spans="1:4" x14ac:dyDescent="0.2">
      <c r="A280" s="5">
        <v>219</v>
      </c>
      <c r="B280" s="138">
        <f>'Assets-Liab 5-6'!M40</f>
        <v>28279309</v>
      </c>
      <c r="D280" s="2" t="str">
        <f t="shared" si="3"/>
        <v>Error?</v>
      </c>
    </row>
    <row r="281" spans="1:4" x14ac:dyDescent="0.2">
      <c r="A281" s="5">
        <v>220</v>
      </c>
      <c r="B281" s="138">
        <f>'Assets-Liab 5-6'!M41</f>
        <v>28279309</v>
      </c>
      <c r="C281" s="2" t="s">
        <v>594</v>
      </c>
      <c r="D281" s="2" t="str">
        <f t="shared" si="3"/>
        <v>Error?</v>
      </c>
    </row>
    <row r="282" spans="1:4" x14ac:dyDescent="0.2">
      <c r="A282" s="5">
        <v>221</v>
      </c>
      <c r="B282" s="138">
        <f>'Assets-Liab 5-6'!N21</f>
        <v>690778</v>
      </c>
      <c r="D282" s="2" t="str">
        <f t="shared" si="3"/>
        <v>Error?</v>
      </c>
    </row>
    <row r="283" spans="1:4" x14ac:dyDescent="0.2">
      <c r="A283" s="5">
        <v>222</v>
      </c>
      <c r="B283" s="138">
        <f>'Assets-Liab 5-6'!N22</f>
        <v>3733917</v>
      </c>
      <c r="D283" s="2" t="str">
        <f t="shared" si="3"/>
        <v>Error?</v>
      </c>
    </row>
    <row r="284" spans="1:4" x14ac:dyDescent="0.2">
      <c r="A284" s="5">
        <v>223</v>
      </c>
      <c r="B284" s="138">
        <f>'Assets-Liab 5-6'!N23</f>
        <v>4424695</v>
      </c>
      <c r="C284" s="2" t="s">
        <v>594</v>
      </c>
      <c r="D284" s="2" t="str">
        <f t="shared" si="3"/>
        <v>Error?</v>
      </c>
    </row>
    <row r="285" spans="1:4" x14ac:dyDescent="0.2">
      <c r="A285" s="5">
        <v>224</v>
      </c>
      <c r="B285" s="138">
        <f>'Assets-Liab 5-6'!N36</f>
        <v>4424695</v>
      </c>
      <c r="D285" s="2" t="str">
        <f t="shared" si="3"/>
        <v>Error?</v>
      </c>
    </row>
    <row r="286" spans="1:4" x14ac:dyDescent="0.2">
      <c r="A286" s="10">
        <v>225</v>
      </c>
      <c r="D286" s="2" t="str">
        <f t="shared" si="3"/>
        <v>OK</v>
      </c>
    </row>
    <row r="287" spans="1:4" x14ac:dyDescent="0.2">
      <c r="A287" s="5">
        <v>226</v>
      </c>
      <c r="B287" s="138">
        <f>'Assets-Liab 5-6'!N37</f>
        <v>4424695</v>
      </c>
      <c r="C287" s="2" t="s">
        <v>594</v>
      </c>
      <c r="D287" s="2" t="str">
        <f t="shared" si="3"/>
        <v>Error?</v>
      </c>
    </row>
    <row r="288" spans="1:4" x14ac:dyDescent="0.2">
      <c r="A288" s="5">
        <v>227</v>
      </c>
      <c r="B288" s="138">
        <f>'Assets-Liab 5-6'!N41</f>
        <v>4424695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38311</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2434614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275972</v>
      </c>
      <c r="D717" s="2" t="str">
        <f t="shared" si="10"/>
        <v>Error?</v>
      </c>
    </row>
    <row r="718" spans="1:4" x14ac:dyDescent="0.2">
      <c r="A718" s="5">
        <v>657</v>
      </c>
      <c r="B718" s="138">
        <f>'Expenditures 15-22'!C14</f>
        <v>150891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4446968</v>
      </c>
      <c r="C720" s="2" t="s">
        <v>594</v>
      </c>
      <c r="D720" s="2" t="str">
        <f t="shared" si="10"/>
        <v>Error?</v>
      </c>
    </row>
    <row r="721" spans="1:4" x14ac:dyDescent="0.2">
      <c r="A721" s="5">
        <v>660</v>
      </c>
      <c r="B721" s="138">
        <f>'Expenditures 15-22'!C36</f>
        <v>104710</v>
      </c>
      <c r="D721" s="2" t="str">
        <f t="shared" si="10"/>
        <v>Error?</v>
      </c>
    </row>
    <row r="722" spans="1:4" x14ac:dyDescent="0.2">
      <c r="A722" s="5">
        <v>661</v>
      </c>
      <c r="B722" s="138">
        <f>'Expenditures 15-22'!C37</f>
        <v>128479</v>
      </c>
      <c r="D722" s="2" t="str">
        <f t="shared" si="10"/>
        <v>Error?</v>
      </c>
    </row>
    <row r="723" spans="1:4" x14ac:dyDescent="0.2">
      <c r="A723" s="5">
        <v>662</v>
      </c>
      <c r="B723" s="138">
        <f>'Expenditures 15-22'!C38</f>
        <v>4235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237424</v>
      </c>
      <c r="C727" s="2" t="s">
        <v>594</v>
      </c>
      <c r="D727" s="2" t="str">
        <f t="shared" si="10"/>
        <v>Error?</v>
      </c>
    </row>
    <row r="728" spans="1:4" x14ac:dyDescent="0.2">
      <c r="A728" s="5">
        <v>667</v>
      </c>
      <c r="B728" s="138">
        <f>'Expenditures 15-22'!C44</f>
        <v>34954</v>
      </c>
      <c r="D728" s="2" t="str">
        <f t="shared" si="10"/>
        <v>Error?</v>
      </c>
    </row>
    <row r="729" spans="1:4" x14ac:dyDescent="0.2">
      <c r="A729" s="5">
        <v>668</v>
      </c>
      <c r="B729" s="138">
        <f>'Expenditures 15-22'!C45</f>
        <v>108266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143220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186116</v>
      </c>
      <c r="D733" s="2" t="str">
        <f t="shared" si="10"/>
        <v>Error?</v>
      </c>
    </row>
    <row r="734" spans="1:4" x14ac:dyDescent="0.2">
      <c r="A734" s="5">
        <v>673</v>
      </c>
      <c r="B734" s="138">
        <f>'Expenditures 15-22'!C53</f>
        <v>186116</v>
      </c>
      <c r="C734" s="2" t="s">
        <v>594</v>
      </c>
      <c r="D734" s="2" t="str">
        <f t="shared" si="10"/>
        <v>Error?</v>
      </c>
    </row>
    <row r="735" spans="1:4" x14ac:dyDescent="0.2">
      <c r="A735" s="5">
        <v>674</v>
      </c>
      <c r="B735" s="138">
        <f>'Expenditures 15-22'!C55</f>
        <v>431266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431266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114434</v>
      </c>
      <c r="D739" s="2" t="str">
        <f t="shared" si="10"/>
        <v>Error?</v>
      </c>
    </row>
    <row r="740" spans="1:4" x14ac:dyDescent="0.2">
      <c r="A740" s="5">
        <v>679</v>
      </c>
      <c r="B740" s="138">
        <f>'Expenditures 15-22'!C61</f>
        <v>112678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187784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414896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1412922</v>
      </c>
      <c r="C755" s="2" t="s">
        <v>594</v>
      </c>
      <c r="D755" s="2" t="str">
        <f t="shared" si="10"/>
        <v>Error?</v>
      </c>
    </row>
    <row r="756" spans="1:4" x14ac:dyDescent="0.2">
      <c r="A756" s="5">
        <v>695</v>
      </c>
      <c r="B756" s="138">
        <f>'Expenditures 15-22'!C75</f>
        <v>29025</v>
      </c>
      <c r="D756" s="2" t="str">
        <f t="shared" si="10"/>
        <v>Error?</v>
      </c>
    </row>
    <row r="757" spans="1:4" x14ac:dyDescent="0.2">
      <c r="A757" s="5">
        <v>696</v>
      </c>
      <c r="B757" s="138">
        <f>'Expenditures 15-22'!C114</f>
        <v>5888915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776150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72829</v>
      </c>
      <c r="D775" s="2" t="str">
        <f t="shared" si="11"/>
        <v>Error?</v>
      </c>
    </row>
    <row r="776" spans="1:4" x14ac:dyDescent="0.2">
      <c r="A776" s="5">
        <v>715</v>
      </c>
      <c r="B776" s="138">
        <f>'Expenditures 15-22'!D14</f>
        <v>12010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1328942</v>
      </c>
      <c r="C778" s="2" t="s">
        <v>594</v>
      </c>
      <c r="D778" s="2" t="str">
        <f t="shared" si="11"/>
        <v>Error?</v>
      </c>
    </row>
    <row r="779" spans="1:4" x14ac:dyDescent="0.2">
      <c r="A779" s="5">
        <v>718</v>
      </c>
      <c r="B779" s="138">
        <f>'Expenditures 15-22'!D36</f>
        <v>25913</v>
      </c>
      <c r="D779" s="2" t="str">
        <f t="shared" si="11"/>
        <v>Error?</v>
      </c>
    </row>
    <row r="780" spans="1:4" x14ac:dyDescent="0.2">
      <c r="A780" s="5">
        <v>719</v>
      </c>
      <c r="B780" s="138">
        <f>'Expenditures 15-22'!D37</f>
        <v>20909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46822</v>
      </c>
      <c r="C785" s="2" t="s">
        <v>594</v>
      </c>
      <c r="D785" s="2" t="str">
        <f t="shared" si="11"/>
        <v>Error?</v>
      </c>
    </row>
    <row r="786" spans="1:4" x14ac:dyDescent="0.2">
      <c r="A786" s="5">
        <v>725</v>
      </c>
      <c r="B786" s="138">
        <f>'Expenditures 15-22'!D44</f>
        <v>7858</v>
      </c>
      <c r="D786" s="2" t="str">
        <f t="shared" si="11"/>
        <v>Error?</v>
      </c>
    </row>
    <row r="787" spans="1:4" x14ac:dyDescent="0.2">
      <c r="A787" s="5">
        <v>726</v>
      </c>
      <c r="B787" s="138">
        <f>'Expenditures 15-22'!D45</f>
        <v>29110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36968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58174</v>
      </c>
      <c r="D791" s="2" t="str">
        <f t="shared" si="11"/>
        <v>Error?</v>
      </c>
    </row>
    <row r="792" spans="1:4" x14ac:dyDescent="0.2">
      <c r="A792" s="5">
        <v>731</v>
      </c>
      <c r="B792" s="138">
        <f>'Expenditures 15-22'!D53</f>
        <v>58174</v>
      </c>
      <c r="C792" s="2" t="s">
        <v>594</v>
      </c>
      <c r="D792" s="2" t="str">
        <f t="shared" si="11"/>
        <v>Error?</v>
      </c>
    </row>
    <row r="793" spans="1:4" x14ac:dyDescent="0.2">
      <c r="A793" s="5">
        <v>732</v>
      </c>
      <c r="B793" s="138">
        <f>'Expenditures 15-22'!D55</f>
        <v>125646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125646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20548</v>
      </c>
      <c r="D797" s="2" t="str">
        <f t="shared" si="11"/>
        <v>Error?</v>
      </c>
    </row>
    <row r="798" spans="1:4" x14ac:dyDescent="0.2">
      <c r="A798" s="5">
        <v>737</v>
      </c>
      <c r="B798" s="138">
        <f>'Expenditures 15-22'!D61</f>
        <v>31432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32154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84134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351744</v>
      </c>
      <c r="C813" s="2" t="s">
        <v>594</v>
      </c>
      <c r="D813" s="2" t="str">
        <f t="shared" si="11"/>
        <v>Error?</v>
      </c>
    </row>
    <row r="814" spans="1:4" x14ac:dyDescent="0.2">
      <c r="A814" s="5">
        <v>753</v>
      </c>
      <c r="B814" s="138">
        <f>'Expenditures 15-22'!D75</f>
        <v>5137</v>
      </c>
      <c r="D814" s="2" t="str">
        <f t="shared" si="11"/>
        <v>Error?</v>
      </c>
    </row>
    <row r="815" spans="1:4" x14ac:dyDescent="0.2">
      <c r="A815" s="5">
        <v>754</v>
      </c>
      <c r="B815" s="138">
        <f>'Expenditures 15-22'!D114</f>
        <v>1685823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18492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1423</v>
      </c>
      <c r="D833" s="2" t="str">
        <f t="shared" si="12"/>
        <v>Error?</v>
      </c>
    </row>
    <row r="834" spans="1:4" x14ac:dyDescent="0.2">
      <c r="A834" s="5">
        <v>773</v>
      </c>
      <c r="B834" s="138">
        <f>'Expenditures 15-22'!E14</f>
        <v>40963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83954</v>
      </c>
      <c r="C836" s="2" t="s">
        <v>594</v>
      </c>
      <c r="D836" s="2" t="str">
        <f t="shared" si="12"/>
        <v>Error?</v>
      </c>
    </row>
    <row r="837" spans="1:4" x14ac:dyDescent="0.2">
      <c r="A837" s="5">
        <v>776</v>
      </c>
      <c r="B837" s="138">
        <f>'Expenditures 15-22'!E36</f>
        <v>40</v>
      </c>
      <c r="D837" s="2" t="str">
        <f t="shared" si="12"/>
        <v>Error?</v>
      </c>
    </row>
    <row r="838" spans="1:4" x14ac:dyDescent="0.2">
      <c r="A838" s="5">
        <v>777</v>
      </c>
      <c r="B838" s="138">
        <f>'Expenditures 15-22'!E37</f>
        <v>907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947</v>
      </c>
      <c r="C843" s="2" t="s">
        <v>594</v>
      </c>
      <c r="D843" s="2" t="str">
        <f t="shared" si="12"/>
        <v>Error?</v>
      </c>
    </row>
    <row r="844" spans="1:4" x14ac:dyDescent="0.2">
      <c r="A844" s="5">
        <v>783</v>
      </c>
      <c r="B844" s="138">
        <f>'Expenditures 15-22'!E44</f>
        <v>124508</v>
      </c>
      <c r="D844" s="2" t="str">
        <f t="shared" si="12"/>
        <v>Error?</v>
      </c>
    </row>
    <row r="845" spans="1:4" x14ac:dyDescent="0.2">
      <c r="A845" s="5">
        <v>784</v>
      </c>
      <c r="B845" s="138">
        <f>'Expenditures 15-22'!E45</f>
        <v>108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124616</v>
      </c>
      <c r="C847" s="2" t="s">
        <v>594</v>
      </c>
      <c r="D847" s="2" t="str">
        <f t="shared" si="12"/>
        <v>Error?</v>
      </c>
    </row>
    <row r="848" spans="1:4" x14ac:dyDescent="0.2">
      <c r="A848" s="5">
        <v>787</v>
      </c>
      <c r="B848" s="138">
        <f>'Expenditures 15-22'!E49</f>
        <v>18882</v>
      </c>
      <c r="D848" s="2" t="str">
        <f t="shared" si="12"/>
        <v>Error?</v>
      </c>
    </row>
    <row r="849" spans="1:4" x14ac:dyDescent="0.2">
      <c r="A849" s="5">
        <v>788</v>
      </c>
      <c r="B849" s="138">
        <f>'Expenditures 15-22'!E50</f>
        <v>11930</v>
      </c>
      <c r="D849" s="2" t="str">
        <f t="shared" si="12"/>
        <v>Error?</v>
      </c>
    </row>
    <row r="850" spans="1:4" x14ac:dyDescent="0.2">
      <c r="A850" s="5">
        <v>789</v>
      </c>
      <c r="B850" s="138">
        <f>'Expenditures 15-22'!E53</f>
        <v>30812</v>
      </c>
      <c r="C850" s="2" t="s">
        <v>594</v>
      </c>
      <c r="D850" s="2" t="str">
        <f t="shared" si="12"/>
        <v>Error?</v>
      </c>
    </row>
    <row r="851" spans="1:4" x14ac:dyDescent="0.2">
      <c r="A851" s="5">
        <v>790</v>
      </c>
      <c r="B851" s="138">
        <f>'Expenditures 15-22'!E55</f>
        <v>23483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23483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9609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16570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26179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460</v>
      </c>
      <c r="D867" s="2" t="str">
        <f t="shared" si="12"/>
        <v>Error?</v>
      </c>
    </row>
    <row r="868" spans="1:4" x14ac:dyDescent="0.2">
      <c r="A868" s="10">
        <v>807</v>
      </c>
      <c r="D868" s="2" t="str">
        <f t="shared" si="12"/>
        <v>OK</v>
      </c>
    </row>
    <row r="869" spans="1:4" x14ac:dyDescent="0.2">
      <c r="A869" s="5">
        <v>808</v>
      </c>
      <c r="B869" s="138">
        <f>'Expenditures 15-22'!E72</f>
        <v>460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206497</v>
      </c>
      <c r="C871" s="2" t="s">
        <v>594</v>
      </c>
      <c r="D871" s="2" t="str">
        <f t="shared" si="12"/>
        <v>Error?</v>
      </c>
    </row>
    <row r="872" spans="1:4" x14ac:dyDescent="0.2">
      <c r="A872" s="5">
        <v>811</v>
      </c>
      <c r="B872" s="138">
        <f>'Expenditures 15-22'!E75</f>
        <v>1531</v>
      </c>
      <c r="D872" s="2" t="str">
        <f t="shared" si="12"/>
        <v>Error?</v>
      </c>
    </row>
    <row r="873" spans="1:4" x14ac:dyDescent="0.2">
      <c r="A873" s="5">
        <v>812</v>
      </c>
      <c r="B873" s="138">
        <f>'Expenditures 15-22'!E114</f>
        <v>291982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141258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29530</v>
      </c>
      <c r="D891" s="2" t="str">
        <f t="shared" si="12"/>
        <v>Error?</v>
      </c>
    </row>
    <row r="892" spans="1:4" x14ac:dyDescent="0.2">
      <c r="A892" s="5">
        <v>831</v>
      </c>
      <c r="B892" s="138">
        <f>'Expenditures 15-22'!F14</f>
        <v>38648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235035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4349</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4349</v>
      </c>
      <c r="C901" s="2" t="s">
        <v>594</v>
      </c>
      <c r="D901" s="2" t="str">
        <f t="shared" si="13"/>
        <v>Error?</v>
      </c>
    </row>
    <row r="902" spans="1:4" x14ac:dyDescent="0.2">
      <c r="A902" s="5">
        <v>841</v>
      </c>
      <c r="B902" s="138">
        <f>'Expenditures 15-22'!F44</f>
        <v>7849</v>
      </c>
      <c r="D902" s="2" t="str">
        <f t="shared" si="13"/>
        <v>Error?</v>
      </c>
    </row>
    <row r="903" spans="1:4" x14ac:dyDescent="0.2">
      <c r="A903" s="5">
        <v>842</v>
      </c>
      <c r="B903" s="138">
        <f>'Expenditures 15-22'!F45</f>
        <v>7297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15146</v>
      </c>
      <c r="C905" s="2" t="s">
        <v>594</v>
      </c>
      <c r="D905" s="2" t="str">
        <f t="shared" si="13"/>
        <v>Error?</v>
      </c>
    </row>
    <row r="906" spans="1:4" x14ac:dyDescent="0.2">
      <c r="A906" s="5">
        <v>845</v>
      </c>
      <c r="B906" s="138">
        <f>'Expenditures 15-22'!F49</f>
        <v>8470</v>
      </c>
      <c r="D906" s="2" t="str">
        <f t="shared" si="13"/>
        <v>Error?</v>
      </c>
    </row>
    <row r="907" spans="1:4" x14ac:dyDescent="0.2">
      <c r="A907" s="5">
        <v>846</v>
      </c>
      <c r="B907" s="138">
        <f>'Expenditures 15-22'!F50</f>
        <v>4703</v>
      </c>
      <c r="D907" s="2" t="str">
        <f t="shared" si="13"/>
        <v>Error?</v>
      </c>
    </row>
    <row r="908" spans="1:4" x14ac:dyDescent="0.2">
      <c r="A908" s="5">
        <v>847</v>
      </c>
      <c r="B908" s="138">
        <f>'Expenditures 15-22'!F53</f>
        <v>13173</v>
      </c>
      <c r="C908" s="2" t="s">
        <v>594</v>
      </c>
      <c r="D908" s="2" t="str">
        <f t="shared" si="13"/>
        <v>Error?</v>
      </c>
    </row>
    <row r="909" spans="1:4" x14ac:dyDescent="0.2">
      <c r="A909" s="5">
        <v>848</v>
      </c>
      <c r="B909" s="138">
        <f>'Expenditures 15-22'!F55</f>
        <v>12772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12772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1570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278474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280044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325484</v>
      </c>
      <c r="C929" s="2" t="s">
        <v>594</v>
      </c>
      <c r="D929" s="2" t="str">
        <f t="shared" si="13"/>
        <v>Error?</v>
      </c>
    </row>
    <row r="930" spans="1:4" x14ac:dyDescent="0.2">
      <c r="A930" s="5">
        <v>869</v>
      </c>
      <c r="B930" s="138">
        <f>'Expenditures 15-22'!F75</f>
        <v>3651</v>
      </c>
      <c r="D930" s="2" t="str">
        <f t="shared" si="13"/>
        <v>Error?</v>
      </c>
    </row>
    <row r="931" spans="1:4" x14ac:dyDescent="0.2">
      <c r="A931" s="5">
        <v>870</v>
      </c>
      <c r="B931" s="138">
        <f>'Expenditures 15-22'!F114</f>
        <v>564170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12311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9388</v>
      </c>
      <c r="D949" s="2" t="str">
        <f t="shared" si="13"/>
        <v>Error?</v>
      </c>
    </row>
    <row r="950" spans="1:4" x14ac:dyDescent="0.2">
      <c r="A950" s="5">
        <v>889</v>
      </c>
      <c r="B950" s="138">
        <f>'Expenditures 15-22'!G14</f>
        <v>6486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28185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38312</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38312</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1429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2229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40541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68726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11115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15949</v>
      </c>
      <c r="C1010" s="2" t="s">
        <v>594</v>
      </c>
      <c r="D1010" s="2" t="str">
        <f t="shared" si="14"/>
        <v>Error?</v>
      </c>
    </row>
    <row r="1011" spans="1:4" x14ac:dyDescent="0.2">
      <c r="A1011" s="5">
        <v>950</v>
      </c>
      <c r="B1011" s="138">
        <f>'Expenditures 15-22'!H36</f>
        <v>61</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61</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4550</v>
      </c>
      <c r="D1022" s="2" t="str">
        <f t="shared" si="14"/>
        <v>Error?</v>
      </c>
    </row>
    <row r="1023" spans="1:4" x14ac:dyDescent="0.2">
      <c r="A1023" s="5">
        <v>962</v>
      </c>
      <c r="B1023" s="138">
        <f>'Expenditures 15-22'!H50</f>
        <v>5111</v>
      </c>
      <c r="D1023" s="2" t="str">
        <f t="shared" ref="D1023:D1086" si="15">IF(ISBLANK(B1023),"OK",IF(A1023-B1023=0,"OK","Error?"))</f>
        <v>Error?</v>
      </c>
    </row>
    <row r="1024" spans="1:4" x14ac:dyDescent="0.2">
      <c r="A1024" s="5">
        <v>963</v>
      </c>
      <c r="B1024" s="138">
        <f>'Expenditures 15-22'!H53</f>
        <v>9661</v>
      </c>
      <c r="C1024" s="2" t="s">
        <v>594</v>
      </c>
      <c r="D1024" s="2" t="str">
        <f t="shared" si="15"/>
        <v>Error?</v>
      </c>
    </row>
    <row r="1025" spans="1:4" x14ac:dyDescent="0.2">
      <c r="A1025" s="5">
        <v>964</v>
      </c>
      <c r="B1025" s="138">
        <f>'Expenditures 15-22'!H55</f>
        <v>5208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5208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14930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470168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501047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3382990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389142</v>
      </c>
      <c r="C1105" s="2" t="s">
        <v>594</v>
      </c>
      <c r="D1105" s="2" t="str">
        <f t="shared" si="16"/>
        <v>Error?</v>
      </c>
    </row>
    <row r="1106" spans="1:4" x14ac:dyDescent="0.2">
      <c r="A1106" s="5">
        <v>1045</v>
      </c>
      <c r="B1106" s="138">
        <f>'Expenditures 15-22'!K14</f>
        <v>260113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6139033</v>
      </c>
      <c r="C1108" s="2" t="s">
        <v>594</v>
      </c>
      <c r="D1108" s="2" t="str">
        <f t="shared" si="16"/>
        <v>Error?</v>
      </c>
    </row>
    <row r="1109" spans="1:4" x14ac:dyDescent="0.2">
      <c r="A1109" s="5">
        <v>1048</v>
      </c>
      <c r="B1109" s="138">
        <f>'Expenditures 15-22'!K36</f>
        <v>130724</v>
      </c>
      <c r="C1109" s="2" t="s">
        <v>594</v>
      </c>
      <c r="D1109" s="2" t="str">
        <f t="shared" si="16"/>
        <v>Error?</v>
      </c>
    </row>
    <row r="1110" spans="1:4" x14ac:dyDescent="0.2">
      <c r="A1110" s="5">
        <v>1049</v>
      </c>
      <c r="B1110" s="138">
        <f>'Expenditures 15-22'!K37</f>
        <v>154644</v>
      </c>
      <c r="C1110" s="2" t="s">
        <v>594</v>
      </c>
      <c r="D1110" s="2" t="str">
        <f t="shared" si="16"/>
        <v>Error?</v>
      </c>
    </row>
    <row r="1111" spans="1:4" x14ac:dyDescent="0.2">
      <c r="A1111" s="5">
        <v>1050</v>
      </c>
      <c r="B1111" s="138">
        <f>'Expenditures 15-22'!K38</f>
        <v>4235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289603</v>
      </c>
      <c r="C1115" s="2" t="s">
        <v>594</v>
      </c>
      <c r="D1115" s="2" t="str">
        <f t="shared" si="16"/>
        <v>Error?</v>
      </c>
    </row>
    <row r="1116" spans="1:4" x14ac:dyDescent="0.2">
      <c r="A1116" s="5">
        <v>1055</v>
      </c>
      <c r="B1116" s="138">
        <f>'Expenditures 15-22'!K44</f>
        <v>213481</v>
      </c>
      <c r="C1116" s="2" t="s">
        <v>594</v>
      </c>
      <c r="D1116" s="2" t="str">
        <f t="shared" si="16"/>
        <v>Error?</v>
      </c>
    </row>
    <row r="1117" spans="1:4" x14ac:dyDescent="0.2">
      <c r="A1117" s="5">
        <v>1056</v>
      </c>
      <c r="B1117" s="138">
        <f>'Expenditures 15-22'!K45</f>
        <v>144781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358262</v>
      </c>
      <c r="C1119" s="2" t="s">
        <v>594</v>
      </c>
      <c r="D1119" s="2" t="str">
        <f t="shared" si="16"/>
        <v>Error?</v>
      </c>
    </row>
    <row r="1120" spans="1:4" x14ac:dyDescent="0.2">
      <c r="A1120" s="5">
        <v>1059</v>
      </c>
      <c r="B1120" s="138">
        <f>'Expenditures 15-22'!K49</f>
        <v>31902</v>
      </c>
      <c r="C1120" s="2" t="s">
        <v>594</v>
      </c>
      <c r="D1120" s="2" t="str">
        <f t="shared" si="16"/>
        <v>Error?</v>
      </c>
    </row>
    <row r="1121" spans="1:4" x14ac:dyDescent="0.2">
      <c r="A1121" s="5">
        <v>1060</v>
      </c>
      <c r="B1121" s="138">
        <f>'Expenditures 15-22'!K50</f>
        <v>266034</v>
      </c>
      <c r="C1121" s="2" t="s">
        <v>594</v>
      </c>
      <c r="D1121" s="2" t="str">
        <f t="shared" si="16"/>
        <v>Error?</v>
      </c>
    </row>
    <row r="1122" spans="1:4" x14ac:dyDescent="0.2">
      <c r="A1122" s="5">
        <v>1061</v>
      </c>
      <c r="B1122" s="138">
        <f>'Expenditures 15-22'!K53</f>
        <v>297936</v>
      </c>
      <c r="C1122" s="2" t="s">
        <v>594</v>
      </c>
      <c r="D1122" s="2" t="str">
        <f t="shared" si="16"/>
        <v>Error?</v>
      </c>
    </row>
    <row r="1123" spans="1:4" x14ac:dyDescent="0.2">
      <c r="A1123" s="5">
        <v>1062</v>
      </c>
      <c r="B1123" s="138">
        <f>'Expenditures 15-22'!K55</f>
        <v>598375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598375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147590</v>
      </c>
      <c r="C1127" s="2" t="s">
        <v>594</v>
      </c>
      <c r="D1127" s="2" t="str">
        <f t="shared" si="16"/>
        <v>Error?</v>
      </c>
    </row>
    <row r="1128" spans="1:4" x14ac:dyDescent="0.2">
      <c r="A1128" s="5">
        <v>1067</v>
      </c>
      <c r="B1128" s="138">
        <f>'Expenditures 15-22'!K61</f>
        <v>144110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515782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807482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460</v>
      </c>
      <c r="C1139" s="2" t="s">
        <v>594</v>
      </c>
      <c r="D1139" s="2" t="str">
        <f t="shared" si="16"/>
        <v>Error?</v>
      </c>
    </row>
    <row r="1140" spans="1:4" x14ac:dyDescent="0.2">
      <c r="A1140" s="10">
        <v>1079</v>
      </c>
      <c r="D1140" s="2" t="str">
        <f t="shared" si="16"/>
        <v>OK</v>
      </c>
    </row>
    <row r="1141" spans="1:4" x14ac:dyDescent="0.2">
      <c r="A1141" s="5">
        <v>1080</v>
      </c>
      <c r="B1141" s="138">
        <f>'Expenditures 15-22'!K72</f>
        <v>460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2352118</v>
      </c>
      <c r="C1143" s="2" t="s">
        <v>594</v>
      </c>
      <c r="D1143" s="2" t="str">
        <f t="shared" si="16"/>
        <v>Error?</v>
      </c>
    </row>
    <row r="1144" spans="1:4" x14ac:dyDescent="0.2">
      <c r="A1144" s="5">
        <v>1083</v>
      </c>
      <c r="B1144" s="138">
        <f>'Expenditures 15-22'!K75</f>
        <v>39344</v>
      </c>
      <c r="C1144" s="2" t="s">
        <v>594</v>
      </c>
      <c r="D1144" s="2" t="str">
        <f t="shared" si="16"/>
        <v>Error?</v>
      </c>
    </row>
    <row r="1145" spans="1:4" x14ac:dyDescent="0.2">
      <c r="A1145" s="5">
        <v>1084</v>
      </c>
      <c r="B1145" s="138">
        <f>'Expenditures 15-22'!K102</f>
        <v>470168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9000663</v>
      </c>
      <c r="C1152" s="2" t="s">
        <v>594</v>
      </c>
      <c r="D1152" s="2" t="str">
        <f t="shared" si="17"/>
        <v>Error?</v>
      </c>
    </row>
    <row r="1153" spans="1:4" x14ac:dyDescent="0.2">
      <c r="A1153" s="5">
        <v>1092</v>
      </c>
      <c r="B1153" s="138">
        <f>'Expenditures 15-22'!K115</f>
        <v>904775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209940</v>
      </c>
      <c r="D1221" s="2" t="str">
        <f t="shared" si="18"/>
        <v>Error?</v>
      </c>
    </row>
    <row r="1222" spans="1:4" x14ac:dyDescent="0.2">
      <c r="A1222" s="10">
        <v>1161</v>
      </c>
      <c r="D1222" s="2" t="str">
        <f t="shared" si="18"/>
        <v>OK</v>
      </c>
    </row>
    <row r="1223" spans="1:4" x14ac:dyDescent="0.2">
      <c r="A1223" s="5">
        <v>1162</v>
      </c>
      <c r="B1223" s="138">
        <f>'Expenditures 15-22'!C127</f>
        <v>209940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209940</v>
      </c>
      <c r="C1225" s="2" t="s">
        <v>594</v>
      </c>
      <c r="D1225" s="2" t="str">
        <f t="shared" si="18"/>
        <v>Error?</v>
      </c>
    </row>
    <row r="1226" spans="1:4" x14ac:dyDescent="0.2">
      <c r="A1226" s="5">
        <v>1165</v>
      </c>
      <c r="B1226" s="138">
        <f>'Expenditures 15-22'!C151</f>
        <v>209940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33727</v>
      </c>
      <c r="D1229" s="2" t="str">
        <f t="shared" si="18"/>
        <v>Error?</v>
      </c>
    </row>
    <row r="1230" spans="1:4" x14ac:dyDescent="0.2">
      <c r="A1230" s="10">
        <v>1169</v>
      </c>
      <c r="D1230" s="2" t="str">
        <f t="shared" si="18"/>
        <v>OK</v>
      </c>
    </row>
    <row r="1231" spans="1:4" x14ac:dyDescent="0.2">
      <c r="A1231" s="5">
        <v>1170</v>
      </c>
      <c r="B1231" s="138">
        <f>'Expenditures 15-22'!D127</f>
        <v>33727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33727</v>
      </c>
      <c r="C1233" s="2" t="s">
        <v>594</v>
      </c>
      <c r="D1233" s="2" t="str">
        <f t="shared" si="18"/>
        <v>Error?</v>
      </c>
    </row>
    <row r="1234" spans="1:4" x14ac:dyDescent="0.2">
      <c r="A1234" s="5">
        <v>1173</v>
      </c>
      <c r="B1234" s="138">
        <f>'Expenditures 15-22'!D151</f>
        <v>33727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138066</v>
      </c>
      <c r="D1237" s="2" t="str">
        <f t="shared" si="18"/>
        <v>Error?</v>
      </c>
    </row>
    <row r="1238" spans="1:4" x14ac:dyDescent="0.2">
      <c r="A1238" s="10">
        <v>1177</v>
      </c>
      <c r="D1238" s="2" t="str">
        <f t="shared" si="18"/>
        <v>OK</v>
      </c>
    </row>
    <row r="1239" spans="1:4" x14ac:dyDescent="0.2">
      <c r="A1239" s="5">
        <v>1178</v>
      </c>
      <c r="B1239" s="138">
        <f>'Expenditures 15-22'!E127</f>
        <v>138066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138066</v>
      </c>
      <c r="C1241" s="2" t="s">
        <v>594</v>
      </c>
      <c r="D1241" s="2" t="str">
        <f t="shared" si="18"/>
        <v>Error?</v>
      </c>
    </row>
    <row r="1242" spans="1:4" x14ac:dyDescent="0.2">
      <c r="A1242" s="5">
        <v>1181</v>
      </c>
      <c r="B1242" s="138">
        <f>'Expenditures 15-22'!E151</f>
        <v>138066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270454</v>
      </c>
      <c r="D1245" s="2" t="str">
        <f t="shared" si="18"/>
        <v>Error?</v>
      </c>
    </row>
    <row r="1246" spans="1:4" x14ac:dyDescent="0.2">
      <c r="A1246" s="10">
        <v>1185</v>
      </c>
      <c r="D1246" s="2" t="str">
        <f t="shared" si="18"/>
        <v>OK</v>
      </c>
    </row>
    <row r="1247" spans="1:4" x14ac:dyDescent="0.2">
      <c r="A1247" s="5">
        <v>1186</v>
      </c>
      <c r="B1247" s="138">
        <f>'Expenditures 15-22'!F127</f>
        <v>270454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270454</v>
      </c>
      <c r="C1249" s="2" t="s">
        <v>594</v>
      </c>
      <c r="D1249" s="2" t="str">
        <f t="shared" si="18"/>
        <v>Error?</v>
      </c>
    </row>
    <row r="1250" spans="1:4" x14ac:dyDescent="0.2">
      <c r="A1250" s="5">
        <v>1189</v>
      </c>
      <c r="B1250" s="138">
        <f>'Expenditures 15-22'!F151</f>
        <v>270454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65842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65842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65842</v>
      </c>
      <c r="C1258" s="2" t="s">
        <v>594</v>
      </c>
      <c r="D1258" s="2" t="str">
        <f t="shared" si="18"/>
        <v>Error?</v>
      </c>
    </row>
    <row r="1259" spans="1:4" x14ac:dyDescent="0.2">
      <c r="A1259" s="5">
        <v>1198</v>
      </c>
      <c r="B1259" s="138">
        <f>'Expenditures 15-22'!G151</f>
        <v>65842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v>
      </c>
      <c r="D1262" s="2" t="str">
        <f t="shared" si="18"/>
        <v>Error?</v>
      </c>
    </row>
    <row r="1263" spans="1:4" x14ac:dyDescent="0.2">
      <c r="A1263" s="10">
        <v>1202</v>
      </c>
      <c r="D1263" s="2" t="str">
        <f t="shared" si="18"/>
        <v>OK</v>
      </c>
    </row>
    <row r="1264" spans="1:4" x14ac:dyDescent="0.2">
      <c r="A1264" s="5">
        <v>1203</v>
      </c>
      <c r="B1264" s="138">
        <f>'Expenditures 15-22'!H127</f>
        <v>18</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18</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718047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718047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718047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718047</v>
      </c>
      <c r="C1288" s="2" t="s">
        <v>594</v>
      </c>
      <c r="D1288" s="2" t="str">
        <f t="shared" si="19"/>
        <v>Error?</v>
      </c>
    </row>
    <row r="1289" spans="1:4" x14ac:dyDescent="0.2">
      <c r="A1289" s="5">
        <v>1228</v>
      </c>
      <c r="B1289" s="138">
        <f>'Expenditures 15-22'!K152</f>
        <v>-103647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677522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631693</v>
      </c>
      <c r="D1315" s="2" t="str">
        <f t="shared" si="19"/>
        <v>Error?</v>
      </c>
    </row>
    <row r="1316" spans="1:4" x14ac:dyDescent="0.2">
      <c r="A1316" s="5">
        <v>1255</v>
      </c>
      <c r="B1316" s="138">
        <f>'Expenditures 15-22'!H171</f>
        <v>1204</v>
      </c>
      <c r="D1316" s="2" t="str">
        <f t="shared" si="19"/>
        <v>Error?</v>
      </c>
    </row>
    <row r="1317" spans="1:4" x14ac:dyDescent="0.2">
      <c r="A1317" s="5">
        <v>1256</v>
      </c>
      <c r="B1317" s="138">
        <f>'Expenditures 15-22'!H172</f>
        <v>1310419</v>
      </c>
      <c r="C1317" s="2" t="s">
        <v>594</v>
      </c>
      <c r="D1317" s="2" t="str">
        <f t="shared" si="19"/>
        <v>Error?</v>
      </c>
    </row>
    <row r="1318" spans="1:4" x14ac:dyDescent="0.2">
      <c r="A1318" s="5">
        <v>1257</v>
      </c>
      <c r="B1318" s="138">
        <f>'Expenditures 15-22'!H174</f>
        <v>1310419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677522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631693</v>
      </c>
      <c r="C1329" s="2" t="s">
        <v>594</v>
      </c>
      <c r="D1329" s="2" t="str">
        <f t="shared" si="19"/>
        <v>Error?</v>
      </c>
    </row>
    <row r="1330" spans="1:4" x14ac:dyDescent="0.2">
      <c r="A1330" s="5">
        <v>1269</v>
      </c>
      <c r="B1330" s="138">
        <f>'Expenditures 15-22'!K171</f>
        <v>1204</v>
      </c>
      <c r="C1330" s="2" t="s">
        <v>594</v>
      </c>
      <c r="D1330" s="2" t="str">
        <f t="shared" si="19"/>
        <v>Error?</v>
      </c>
    </row>
    <row r="1331" spans="1:4" x14ac:dyDescent="0.2">
      <c r="A1331" s="5">
        <v>1270</v>
      </c>
      <c r="B1331" s="138">
        <f>'Expenditures 15-22'!K172</f>
        <v>1310419</v>
      </c>
      <c r="C1331" s="2" t="s">
        <v>594</v>
      </c>
      <c r="D1331" s="2" t="str">
        <f t="shared" si="19"/>
        <v>Error?</v>
      </c>
    </row>
    <row r="1332" spans="1:4" x14ac:dyDescent="0.2">
      <c r="A1332" s="5">
        <v>1271</v>
      </c>
      <c r="B1332" s="138">
        <f>'Expenditures 15-22'!K174</f>
        <v>1310419</v>
      </c>
      <c r="C1332" s="2" t="s">
        <v>594</v>
      </c>
      <c r="D1332" s="2" t="str">
        <f t="shared" si="19"/>
        <v>Error?</v>
      </c>
    </row>
    <row r="1333" spans="1:4" x14ac:dyDescent="0.2">
      <c r="A1333" s="5">
        <v>1272</v>
      </c>
      <c r="B1333" s="138">
        <f>'Expenditures 15-22'!K175</f>
        <v>-51738</v>
      </c>
      <c r="C1333" s="2" t="s">
        <v>594</v>
      </c>
      <c r="D1333" s="2" t="str">
        <f t="shared" si="19"/>
        <v>Error?</v>
      </c>
    </row>
    <row r="1334" spans="1:4" x14ac:dyDescent="0.2">
      <c r="A1334" s="10">
        <v>1273</v>
      </c>
      <c r="D1334" s="2" t="str">
        <f t="shared" si="19"/>
        <v>OK</v>
      </c>
    </row>
    <row r="1335" spans="1:4" x14ac:dyDescent="0.2">
      <c r="A1335" s="5">
        <v>1274</v>
      </c>
      <c r="B1335" s="138">
        <f>'Expenditures 15-22'!C182</f>
        <v>595912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595912</v>
      </c>
      <c r="C1339" s="2" t="s">
        <v>594</v>
      </c>
      <c r="D1339" s="2" t="str">
        <f t="shared" si="19"/>
        <v>Error?</v>
      </c>
    </row>
    <row r="1340" spans="1:4" x14ac:dyDescent="0.2">
      <c r="A1340" s="5">
        <v>1279</v>
      </c>
      <c r="B1340" s="138">
        <f>'Expenditures 15-22'!C210</f>
        <v>595912</v>
      </c>
      <c r="C1340" s="2" t="s">
        <v>594</v>
      </c>
      <c r="D1340" s="2" t="str">
        <f t="shared" si="19"/>
        <v>Error?</v>
      </c>
    </row>
    <row r="1341" spans="1:4" x14ac:dyDescent="0.2">
      <c r="A1341" s="5">
        <v>1280</v>
      </c>
      <c r="B1341" s="138">
        <f>'Expenditures 15-22'!D182</f>
        <v>39514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39514</v>
      </c>
      <c r="C1345" s="2" t="s">
        <v>594</v>
      </c>
      <c r="D1345" s="2" t="str">
        <f t="shared" si="20"/>
        <v>Error?</v>
      </c>
    </row>
    <row r="1346" spans="1:4" x14ac:dyDescent="0.2">
      <c r="A1346" s="5">
        <v>1285</v>
      </c>
      <c r="B1346" s="138">
        <f>'Expenditures 15-22'!D210</f>
        <v>39514</v>
      </c>
      <c r="C1346" s="2" t="s">
        <v>594</v>
      </c>
      <c r="D1346" s="2" t="str">
        <f t="shared" si="20"/>
        <v>Error?</v>
      </c>
    </row>
    <row r="1347" spans="1:4" x14ac:dyDescent="0.2">
      <c r="A1347" s="5">
        <v>1286</v>
      </c>
      <c r="B1347" s="138">
        <f>'Expenditures 15-22'!E182</f>
        <v>49575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49575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49575</v>
      </c>
      <c r="C1353" s="2" t="s">
        <v>594</v>
      </c>
      <c r="D1353" s="2" t="str">
        <f t="shared" si="20"/>
        <v>Error?</v>
      </c>
    </row>
    <row r="1354" spans="1:4" x14ac:dyDescent="0.2">
      <c r="A1354" s="5">
        <v>1293</v>
      </c>
      <c r="B1354" s="138">
        <f>'Expenditures 15-22'!F182</f>
        <v>135118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135118</v>
      </c>
      <c r="C1358" s="2" t="s">
        <v>594</v>
      </c>
      <c r="D1358" s="2" t="str">
        <f t="shared" si="20"/>
        <v>Error?</v>
      </c>
    </row>
    <row r="1359" spans="1:4" x14ac:dyDescent="0.2">
      <c r="A1359" s="5">
        <v>1298</v>
      </c>
      <c r="B1359" s="138">
        <f>'Expenditures 15-22'!F210</f>
        <v>135118</v>
      </c>
      <c r="C1359" s="2" t="s">
        <v>594</v>
      </c>
      <c r="D1359" s="2" t="str">
        <f t="shared" si="20"/>
        <v>Error?</v>
      </c>
    </row>
    <row r="1360" spans="1:4" x14ac:dyDescent="0.2">
      <c r="A1360" s="5">
        <v>1299</v>
      </c>
      <c r="B1360" s="138">
        <f>'Expenditures 15-22'!G182</f>
        <v>304472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304472</v>
      </c>
      <c r="C1364" s="2" t="s">
        <v>594</v>
      </c>
      <c r="D1364" s="2" t="str">
        <f t="shared" si="20"/>
        <v>Error?</v>
      </c>
    </row>
    <row r="1365" spans="1:4" x14ac:dyDescent="0.2">
      <c r="A1365" s="5">
        <v>1304</v>
      </c>
      <c r="B1365" s="138">
        <f>'Expenditures 15-22'!G210</f>
        <v>304472</v>
      </c>
      <c r="C1365" s="2" t="s">
        <v>594</v>
      </c>
      <c r="D1365" s="2" t="str">
        <f t="shared" si="20"/>
        <v>Error?</v>
      </c>
    </row>
    <row r="1366" spans="1:4" x14ac:dyDescent="0.2">
      <c r="A1366" s="5">
        <v>1305</v>
      </c>
      <c r="B1366" s="138">
        <f>'Expenditures 15-22'!H182</f>
        <v>3009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3009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79779</v>
      </c>
      <c r="C1375" s="2" t="s">
        <v>594</v>
      </c>
      <c r="D1375" s="2" t="str">
        <f t="shared" si="20"/>
        <v>Error?</v>
      </c>
    </row>
    <row r="1376" spans="1:4" x14ac:dyDescent="0.2">
      <c r="A1376" s="5">
        <v>1315</v>
      </c>
      <c r="B1376" s="138">
        <f>'Expenditures 15-22'!H210</f>
        <v>82788</v>
      </c>
      <c r="C1376" s="2" t="s">
        <v>594</v>
      </c>
      <c r="D1376" s="2" t="str">
        <f t="shared" si="20"/>
        <v>Error?</v>
      </c>
    </row>
    <row r="1377" spans="1:4" x14ac:dyDescent="0.2">
      <c r="A1377" s="5">
        <v>1316</v>
      </c>
      <c r="B1377" s="138">
        <f>'Expenditures 15-22'!K182</f>
        <v>1127600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1127600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79779</v>
      </c>
      <c r="C1387" s="2" t="s">
        <v>594</v>
      </c>
      <c r="D1387" s="2" t="str">
        <f t="shared" si="20"/>
        <v>Error?</v>
      </c>
    </row>
    <row r="1388" spans="1:4" x14ac:dyDescent="0.2">
      <c r="A1388" s="5">
        <v>1327</v>
      </c>
      <c r="B1388" s="138">
        <f>'Expenditures 15-22'!K210</f>
        <v>1207379</v>
      </c>
      <c r="C1388" s="2" t="s">
        <v>594</v>
      </c>
      <c r="D1388" s="2" t="str">
        <f t="shared" si="20"/>
        <v>Error?</v>
      </c>
    </row>
    <row r="1389" spans="1:4" x14ac:dyDescent="0.2">
      <c r="A1389" s="5">
        <v>1328</v>
      </c>
      <c r="B1389" s="138">
        <f>'Expenditures 15-22'!K211</f>
        <v>-241814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3785</v>
      </c>
      <c r="D1407" s="2" t="str">
        <f t="shared" ref="D1407:D1470" si="21">IF(ISBLANK(B1407),"OK",IF(A1407-B1407=0,"OK","Error?"))</f>
        <v>Error?</v>
      </c>
    </row>
    <row r="1408" spans="1:4" x14ac:dyDescent="0.2">
      <c r="A1408" s="5">
        <v>1347</v>
      </c>
      <c r="B1408" s="138">
        <f>'Expenditures 15-22'!D223</f>
        <v>5294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138533</v>
      </c>
      <c r="C1410" s="2" t="s">
        <v>594</v>
      </c>
      <c r="D1410" s="2" t="str">
        <f t="shared" si="21"/>
        <v>Error?</v>
      </c>
    </row>
    <row r="1411" spans="1:4" x14ac:dyDescent="0.2">
      <c r="A1411" s="5">
        <v>1350</v>
      </c>
      <c r="B1411" s="138">
        <f>'Expenditures 15-22'!D232</f>
        <v>1239</v>
      </c>
      <c r="D1411" s="2" t="str">
        <f t="shared" si="21"/>
        <v>Error?</v>
      </c>
    </row>
    <row r="1412" spans="1:4" x14ac:dyDescent="0.2">
      <c r="A1412" s="5">
        <v>1351</v>
      </c>
      <c r="B1412" s="138">
        <f>'Expenditures 15-22'!D233</f>
        <v>5155</v>
      </c>
      <c r="D1412" s="2" t="str">
        <f t="shared" si="21"/>
        <v>Error?</v>
      </c>
    </row>
    <row r="1413" spans="1:4" x14ac:dyDescent="0.2">
      <c r="A1413" s="5">
        <v>1352</v>
      </c>
      <c r="B1413" s="138">
        <f>'Expenditures 15-22'!D234</f>
        <v>8239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14633</v>
      </c>
      <c r="C1417" s="2" t="s">
        <v>594</v>
      </c>
      <c r="D1417" s="2" t="str">
        <f t="shared" si="21"/>
        <v>Error?</v>
      </c>
    </row>
    <row r="1418" spans="1:4" x14ac:dyDescent="0.2">
      <c r="A1418" s="5">
        <v>1357</v>
      </c>
      <c r="B1418" s="138">
        <f>'Expenditures 15-22'!D240</f>
        <v>521</v>
      </c>
      <c r="D1418" s="2" t="str">
        <f t="shared" si="21"/>
        <v>Error?</v>
      </c>
    </row>
    <row r="1419" spans="1:4" x14ac:dyDescent="0.2">
      <c r="A1419" s="5">
        <v>1358</v>
      </c>
      <c r="B1419" s="138">
        <f>'Expenditures 15-22'!D241</f>
        <v>21331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21852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7588</v>
      </c>
      <c r="D1423" s="2" t="str">
        <f t="shared" si="21"/>
        <v>Error?</v>
      </c>
    </row>
    <row r="1424" spans="1:4" x14ac:dyDescent="0.2">
      <c r="A1424" s="5">
        <v>1363</v>
      </c>
      <c r="B1424" s="138">
        <f>'Expenditures 15-22'!D257</f>
        <v>23037</v>
      </c>
      <c r="C1424" s="2" t="s">
        <v>594</v>
      </c>
      <c r="D1424" s="2" t="str">
        <f t="shared" si="21"/>
        <v>Error?</v>
      </c>
    </row>
    <row r="1425" spans="1:4" x14ac:dyDescent="0.2">
      <c r="A1425" s="5">
        <v>1364</v>
      </c>
      <c r="B1425" s="138">
        <f>'Expenditures 15-22'!D259</f>
        <v>27827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27827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21903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58603</v>
      </c>
      <c r="D1431" s="2" t="str">
        <f t="shared" si="21"/>
        <v>Error?</v>
      </c>
    </row>
    <row r="1432" spans="1:4" x14ac:dyDescent="0.2">
      <c r="A1432" s="5">
        <v>1371</v>
      </c>
      <c r="B1432" s="138">
        <f>'Expenditures 15-22'!D267</f>
        <v>99963</v>
      </c>
      <c r="D1432" s="2" t="str">
        <f t="shared" si="21"/>
        <v>Error?</v>
      </c>
    </row>
    <row r="1433" spans="1:4" x14ac:dyDescent="0.2">
      <c r="A1433" s="5">
        <v>1372</v>
      </c>
      <c r="B1433" s="138">
        <f>'Expenditures 15-22'!D268</f>
        <v>33782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214251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301600</v>
      </c>
      <c r="C1446" s="2" t="s">
        <v>594</v>
      </c>
      <c r="D1446" s="2" t="str">
        <f t="shared" si="21"/>
        <v>Error?</v>
      </c>
    </row>
    <row r="1447" spans="1:4" x14ac:dyDescent="0.2">
      <c r="A1447" s="5">
        <v>1386</v>
      </c>
      <c r="B1447" s="138">
        <f>'Expenditures 15-22'!D280</f>
        <v>5126</v>
      </c>
      <c r="D1447" s="2" t="str">
        <f t="shared" si="21"/>
        <v>Error?</v>
      </c>
    </row>
    <row r="1448" spans="1:4" x14ac:dyDescent="0.2">
      <c r="A1448" s="5">
        <v>1387</v>
      </c>
      <c r="B1448" s="138">
        <f>'Expenditures 15-22'!D295</f>
        <v>445259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3785</v>
      </c>
      <c r="C1471" s="2" t="s">
        <v>594</v>
      </c>
      <c r="D1471" s="2" t="str">
        <f t="shared" ref="D1471:D1534" si="22">IF(ISBLANK(B1471),"OK",IF(A1471-B1471=0,"OK","Error?"))</f>
        <v>Error?</v>
      </c>
    </row>
    <row r="1472" spans="1:4" x14ac:dyDescent="0.2">
      <c r="A1472" s="5">
        <v>1411</v>
      </c>
      <c r="B1472" s="138">
        <f>'Expenditures 15-22'!K223</f>
        <v>5294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138533</v>
      </c>
      <c r="C1474" s="2" t="s">
        <v>594</v>
      </c>
      <c r="D1474" s="2" t="str">
        <f t="shared" si="22"/>
        <v>Error?</v>
      </c>
    </row>
    <row r="1475" spans="1:4" x14ac:dyDescent="0.2">
      <c r="A1475" s="5">
        <v>1414</v>
      </c>
      <c r="B1475" s="138">
        <f>'Expenditures 15-22'!K232</f>
        <v>1239</v>
      </c>
      <c r="C1475" s="2" t="s">
        <v>594</v>
      </c>
      <c r="D1475" s="2" t="str">
        <f t="shared" si="22"/>
        <v>Error?</v>
      </c>
    </row>
    <row r="1476" spans="1:4" x14ac:dyDescent="0.2">
      <c r="A1476" s="5">
        <v>1415</v>
      </c>
      <c r="B1476" s="138">
        <f>'Expenditures 15-22'!K233</f>
        <v>5155</v>
      </c>
      <c r="C1476" s="2" t="s">
        <v>594</v>
      </c>
      <c r="D1476" s="2" t="str">
        <f t="shared" si="22"/>
        <v>Error?</v>
      </c>
    </row>
    <row r="1477" spans="1:4" x14ac:dyDescent="0.2">
      <c r="A1477" s="5">
        <v>1416</v>
      </c>
      <c r="B1477" s="138">
        <f>'Expenditures 15-22'!K234</f>
        <v>8239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14633</v>
      </c>
      <c r="C1481" s="2" t="s">
        <v>594</v>
      </c>
      <c r="D1481" s="2" t="str">
        <f t="shared" si="22"/>
        <v>Error?</v>
      </c>
    </row>
    <row r="1482" spans="1:4" x14ac:dyDescent="0.2">
      <c r="A1482" s="5">
        <v>1421</v>
      </c>
      <c r="B1482" s="138">
        <f>'Expenditures 15-22'!K240</f>
        <v>521</v>
      </c>
      <c r="C1482" s="2" t="s">
        <v>594</v>
      </c>
      <c r="D1482" s="2" t="str">
        <f t="shared" si="22"/>
        <v>Error?</v>
      </c>
    </row>
    <row r="1483" spans="1:4" x14ac:dyDescent="0.2">
      <c r="A1483" s="5">
        <v>1422</v>
      </c>
      <c r="B1483" s="138">
        <f>'Expenditures 15-22'!K241</f>
        <v>21331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21852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7588</v>
      </c>
      <c r="C1487" s="2" t="s">
        <v>594</v>
      </c>
      <c r="D1487" s="2" t="str">
        <f t="shared" si="22"/>
        <v>Error?</v>
      </c>
    </row>
    <row r="1488" spans="1:4" x14ac:dyDescent="0.2">
      <c r="A1488" s="5">
        <v>1427</v>
      </c>
      <c r="B1488" s="138">
        <f>'Expenditures 15-22'!K257</f>
        <v>23037</v>
      </c>
      <c r="C1488" s="2" t="s">
        <v>594</v>
      </c>
      <c r="D1488" s="2" t="str">
        <f t="shared" si="22"/>
        <v>Error?</v>
      </c>
    </row>
    <row r="1489" spans="1:4" x14ac:dyDescent="0.2">
      <c r="A1489" s="5">
        <v>1428</v>
      </c>
      <c r="B1489" s="138">
        <f>'Expenditures 15-22'!K259</f>
        <v>27827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27827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21903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58603</v>
      </c>
      <c r="C1495" s="2" t="s">
        <v>594</v>
      </c>
      <c r="D1495" s="2" t="str">
        <f t="shared" si="22"/>
        <v>Error?</v>
      </c>
    </row>
    <row r="1496" spans="1:4" x14ac:dyDescent="0.2">
      <c r="A1496" s="5">
        <v>1435</v>
      </c>
      <c r="B1496" s="138">
        <f>'Expenditures 15-22'!K267</f>
        <v>99963</v>
      </c>
      <c r="C1496" s="2" t="s">
        <v>594</v>
      </c>
      <c r="D1496" s="2" t="str">
        <f t="shared" si="22"/>
        <v>Error?</v>
      </c>
    </row>
    <row r="1497" spans="1:4" x14ac:dyDescent="0.2">
      <c r="A1497" s="5">
        <v>1436</v>
      </c>
      <c r="B1497" s="138">
        <f>'Expenditures 15-22'!K268</f>
        <v>33782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214251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301600</v>
      </c>
      <c r="C1510" s="2" t="s">
        <v>594</v>
      </c>
      <c r="D1510" s="2" t="str">
        <f t="shared" si="22"/>
        <v>Error?</v>
      </c>
    </row>
    <row r="1511" spans="1:4" x14ac:dyDescent="0.2">
      <c r="A1511" s="5">
        <v>1450</v>
      </c>
      <c r="B1511" s="138">
        <f>'Expenditures 15-22'!K280</f>
        <v>5126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445259</v>
      </c>
      <c r="C1517" s="2" t="s">
        <v>594</v>
      </c>
      <c r="D1517" s="2" t="str">
        <f t="shared" si="22"/>
        <v>Error?</v>
      </c>
    </row>
    <row r="1518" spans="1:4" x14ac:dyDescent="0.2">
      <c r="A1518" s="5">
        <v>1457</v>
      </c>
      <c r="B1518" s="138">
        <f>'Expenditures 15-22'!K296</f>
        <v>-69959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31381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31381</v>
      </c>
      <c r="C1547" s="2" t="s">
        <v>594</v>
      </c>
      <c r="D1547" s="2" t="str">
        <f t="shared" si="23"/>
        <v>Error?</v>
      </c>
    </row>
    <row r="1548" spans="1:4" x14ac:dyDescent="0.2">
      <c r="A1548" s="5">
        <v>1487</v>
      </c>
      <c r="B1548" s="138">
        <f>'Expenditures 15-22'!G312</f>
        <v>31381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31381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31381</v>
      </c>
      <c r="C1559" s="2" t="s">
        <v>594</v>
      </c>
      <c r="D1559" s="2" t="str">
        <f t="shared" si="23"/>
        <v>Error?</v>
      </c>
    </row>
    <row r="1560" spans="1:4" x14ac:dyDescent="0.2">
      <c r="A1560" s="5">
        <v>1499</v>
      </c>
      <c r="B1560" s="138">
        <f>'Expenditures 15-22'!K312</f>
        <v>31381</v>
      </c>
      <c r="C1560" s="2" t="s">
        <v>594</v>
      </c>
      <c r="D1560" s="2" t="str">
        <f t="shared" si="23"/>
        <v>Error?</v>
      </c>
    </row>
    <row r="1561" spans="1:4" x14ac:dyDescent="0.2">
      <c r="A1561" s="5">
        <v>1500</v>
      </c>
      <c r="B1561" s="138">
        <f>'Expenditures 15-22'!K313</f>
        <v>17911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993844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1879548</v>
      </c>
      <c r="C1630" s="2" t="s">
        <v>594</v>
      </c>
      <c r="D1630" s="2" t="str">
        <f t="shared" si="24"/>
        <v>Error?</v>
      </c>
    </row>
    <row r="1631" spans="1:4" x14ac:dyDescent="0.2">
      <c r="A1631" s="5">
        <v>1570</v>
      </c>
      <c r="B1631" s="138">
        <f>'Acct Summary 7-8'!D79</f>
        <v>770870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667223</v>
      </c>
      <c r="C1644" s="2" t="s">
        <v>594</v>
      </c>
      <c r="D1644" s="2" t="str">
        <f t="shared" si="24"/>
        <v>Error?</v>
      </c>
    </row>
    <row r="1645" spans="1:4" x14ac:dyDescent="0.2">
      <c r="A1645" s="5">
        <v>1584</v>
      </c>
      <c r="B1645" s="138">
        <f>'Acct Summary 7-8'!E79</f>
        <v>685134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690778</v>
      </c>
      <c r="C1658" s="2" t="s">
        <v>594</v>
      </c>
      <c r="D1658" s="2" t="str">
        <f t="shared" si="24"/>
        <v>Error?</v>
      </c>
    </row>
    <row r="1659" spans="1:4" x14ac:dyDescent="0.2">
      <c r="A1659" s="5">
        <v>1598</v>
      </c>
      <c r="B1659" s="138">
        <f>'Acct Summary 7-8'!F79</f>
        <v>206673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311067</v>
      </c>
      <c r="C1672" s="2" t="s">
        <v>594</v>
      </c>
      <c r="D1672" s="2" t="str">
        <f t="shared" si="25"/>
        <v>Error?</v>
      </c>
    </row>
    <row r="1673" spans="1:4" x14ac:dyDescent="0.2">
      <c r="A1673" s="5">
        <v>1612</v>
      </c>
      <c r="B1673" s="138">
        <f>'Acct Summary 7-8'!G79</f>
        <v>222575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152616</v>
      </c>
      <c r="C1686" s="2" t="s">
        <v>594</v>
      </c>
      <c r="D1686" s="2" t="str">
        <f t="shared" si="25"/>
        <v>Error?</v>
      </c>
    </row>
    <row r="1687" spans="1:4" x14ac:dyDescent="0.2">
      <c r="A1687" s="5">
        <v>1626</v>
      </c>
      <c r="B1687" s="138">
        <f>'Acct Summary 7-8'!H79</f>
        <v>129526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147437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2121735</v>
      </c>
      <c r="C1744" s="2" t="s">
        <v>594</v>
      </c>
      <c r="D1744" s="2" t="str">
        <f t="shared" si="26"/>
        <v>Error?</v>
      </c>
    </row>
    <row r="1745" spans="1:5" x14ac:dyDescent="0.2">
      <c r="A1745" s="5">
        <v>1684</v>
      </c>
      <c r="B1745" s="138">
        <f>'Tax Sched 23'!B5</f>
        <v>576557</v>
      </c>
      <c r="C1745" s="2" t="s">
        <v>594</v>
      </c>
      <c r="D1745" s="2" t="str">
        <f t="shared" si="26"/>
        <v>Error?</v>
      </c>
    </row>
    <row r="1746" spans="1:5" x14ac:dyDescent="0.2">
      <c r="A1746" s="5">
        <v>1685</v>
      </c>
      <c r="B1746" s="138">
        <f>'Tax Sched 23'!B6</f>
        <v>831430</v>
      </c>
      <c r="C1746" s="2" t="s">
        <v>594</v>
      </c>
      <c r="D1746" s="2" t="str">
        <f t="shared" si="26"/>
        <v>Error?</v>
      </c>
    </row>
    <row r="1747" spans="1:5" x14ac:dyDescent="0.2">
      <c r="A1747" s="5">
        <v>1686</v>
      </c>
      <c r="B1747" s="138">
        <f>'Tax Sched 23'!B7</f>
        <v>230624</v>
      </c>
      <c r="C1747" s="2" t="s">
        <v>594</v>
      </c>
      <c r="D1747" s="2" t="str">
        <f t="shared" si="26"/>
        <v>Error?</v>
      </c>
    </row>
    <row r="1748" spans="1:5" x14ac:dyDescent="0.2">
      <c r="A1748" s="5">
        <v>1687</v>
      </c>
      <c r="B1748" s="138">
        <f>'Tax Sched 23'!B8</f>
        <v>209901</v>
      </c>
      <c r="C1748" s="2" t="s">
        <v>594</v>
      </c>
      <c r="D1748" s="2" t="str">
        <f t="shared" si="26"/>
        <v>Error?</v>
      </c>
    </row>
    <row r="1749" spans="1:5" x14ac:dyDescent="0.2">
      <c r="A1749" s="5">
        <v>1688</v>
      </c>
      <c r="B1749" s="138">
        <f>'Tax Sched 23'!B10</f>
        <v>57655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424797</v>
      </c>
      <c r="C1752" s="2" t="s">
        <v>594</v>
      </c>
      <c r="D1752" s="2" t="str">
        <f t="shared" si="26"/>
        <v>Error?</v>
      </c>
    </row>
    <row r="1753" spans="1:5" x14ac:dyDescent="0.2">
      <c r="A1753" s="5">
        <v>1692</v>
      </c>
      <c r="B1753" s="138">
        <f>'Tax Sched 23'!B12</f>
        <v>57655</v>
      </c>
      <c r="C1753" s="2" t="s">
        <v>594</v>
      </c>
      <c r="D1753" s="2" t="str">
        <f t="shared" si="26"/>
        <v>Error?</v>
      </c>
    </row>
    <row r="1754" spans="1:5" x14ac:dyDescent="0.2">
      <c r="A1754" s="5">
        <v>1693</v>
      </c>
      <c r="B1754" s="138">
        <f>'Tax Sched 23'!B14</f>
        <v>46127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4744072</v>
      </c>
      <c r="C1759" s="2" t="s">
        <v>594</v>
      </c>
      <c r="D1759" s="2" t="str">
        <f t="shared" si="26"/>
        <v>Error?</v>
      </c>
    </row>
    <row r="1760" spans="1:5" x14ac:dyDescent="0.2">
      <c r="A1760" s="5">
        <v>1699</v>
      </c>
      <c r="B1760" s="138">
        <f>'Tax Sched 23'!D4</f>
        <v>2121735</v>
      </c>
      <c r="C1760" s="2" t="s">
        <v>594</v>
      </c>
      <c r="D1760" s="2" t="str">
        <f t="shared" si="26"/>
        <v>Error?</v>
      </c>
    </row>
    <row r="1761" spans="1:5" x14ac:dyDescent="0.2">
      <c r="A1761" s="5">
        <v>1700</v>
      </c>
      <c r="B1761" s="138">
        <f>'Tax Sched 23'!D5</f>
        <v>576557</v>
      </c>
      <c r="C1761" s="2" t="s">
        <v>594</v>
      </c>
      <c r="D1761" s="2" t="str">
        <f t="shared" si="26"/>
        <v>Error?</v>
      </c>
    </row>
    <row r="1762" spans="1:5" s="8" customFormat="1" x14ac:dyDescent="0.2">
      <c r="A1762" s="5">
        <v>1701</v>
      </c>
      <c r="B1762" s="138">
        <f>'Tax Sched 23'!D6</f>
        <v>831430</v>
      </c>
      <c r="C1762" s="2" t="s">
        <v>594</v>
      </c>
      <c r="D1762" s="2" t="str">
        <f t="shared" si="26"/>
        <v>Error?</v>
      </c>
      <c r="E1762" s="9"/>
    </row>
    <row r="1763" spans="1:5" x14ac:dyDescent="0.2">
      <c r="A1763" s="5">
        <v>1702</v>
      </c>
      <c r="B1763" s="138">
        <f>'Tax Sched 23'!D7</f>
        <v>230624</v>
      </c>
      <c r="C1763" s="2" t="s">
        <v>594</v>
      </c>
      <c r="D1763" s="2" t="str">
        <f t="shared" si="26"/>
        <v>Error?</v>
      </c>
    </row>
    <row r="1764" spans="1:5" x14ac:dyDescent="0.2">
      <c r="A1764" s="5">
        <v>1703</v>
      </c>
      <c r="B1764" s="138">
        <f>'Tax Sched 23'!D8</f>
        <v>209901</v>
      </c>
      <c r="C1764" s="2" t="s">
        <v>594</v>
      </c>
      <c r="D1764" s="2" t="str">
        <f t="shared" si="26"/>
        <v>Error?</v>
      </c>
    </row>
    <row r="1765" spans="1:5" x14ac:dyDescent="0.2">
      <c r="A1765" s="5">
        <v>1704</v>
      </c>
      <c r="B1765" s="138">
        <f>'Tax Sched 23'!D10</f>
        <v>57655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424797</v>
      </c>
      <c r="C1768" s="2" t="s">
        <v>594</v>
      </c>
      <c r="D1768" s="2" t="str">
        <f t="shared" si="26"/>
        <v>Error?</v>
      </c>
    </row>
    <row r="1769" spans="1:5" x14ac:dyDescent="0.2">
      <c r="A1769" s="5">
        <v>1708</v>
      </c>
      <c r="B1769" s="138">
        <f>'Tax Sched 23'!D12</f>
        <v>57655</v>
      </c>
      <c r="C1769" s="2" t="s">
        <v>594</v>
      </c>
      <c r="D1769" s="2" t="str">
        <f t="shared" si="26"/>
        <v>Error?</v>
      </c>
    </row>
    <row r="1770" spans="1:5" x14ac:dyDescent="0.2">
      <c r="A1770" s="5">
        <v>1709</v>
      </c>
      <c r="B1770" s="138">
        <f>'Tax Sched 23'!D14</f>
        <v>46127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4744072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2171498</v>
      </c>
      <c r="C1792" s="2" t="s">
        <v>594</v>
      </c>
      <c r="D1792" s="2" t="str">
        <f t="shared" si="27"/>
        <v>Error?</v>
      </c>
    </row>
    <row r="1793" spans="1:4" x14ac:dyDescent="0.2">
      <c r="A1793" s="5">
        <v>1732</v>
      </c>
      <c r="B1793" s="138">
        <f>'Tax Sched 23'!F5</f>
        <v>589996</v>
      </c>
      <c r="C1793" s="2" t="s">
        <v>594</v>
      </c>
      <c r="D1793" s="2" t="str">
        <f t="shared" si="27"/>
        <v>Error?</v>
      </c>
    </row>
    <row r="1794" spans="1:4" x14ac:dyDescent="0.2">
      <c r="A1794" s="5">
        <v>1733</v>
      </c>
      <c r="B1794" s="138">
        <f>'Tax Sched 23'!F6</f>
        <v>557680</v>
      </c>
      <c r="C1794" s="2" t="s">
        <v>594</v>
      </c>
      <c r="D1794" s="2" t="str">
        <f t="shared" si="27"/>
        <v>Error?</v>
      </c>
    </row>
    <row r="1795" spans="1:4" x14ac:dyDescent="0.2">
      <c r="A1795" s="5">
        <v>1734</v>
      </c>
      <c r="B1795" s="138">
        <f>'Tax Sched 23'!F7</f>
        <v>236003</v>
      </c>
      <c r="C1795" s="2" t="s">
        <v>594</v>
      </c>
      <c r="D1795" s="2" t="str">
        <f t="shared" si="27"/>
        <v>Error?</v>
      </c>
    </row>
    <row r="1796" spans="1:4" x14ac:dyDescent="0.2">
      <c r="A1796" s="5">
        <v>1735</v>
      </c>
      <c r="B1796" s="138">
        <f>'Tax Sched 23'!F8</f>
        <v>200002</v>
      </c>
      <c r="C1796" s="2" t="s">
        <v>594</v>
      </c>
      <c r="D1796" s="2" t="str">
        <f t="shared" si="27"/>
        <v>Error?</v>
      </c>
    </row>
    <row r="1797" spans="1:4" x14ac:dyDescent="0.2">
      <c r="A1797" s="5">
        <v>1736</v>
      </c>
      <c r="B1797" s="138">
        <f>'Tax Sched 23'!F10</f>
        <v>58995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450001</v>
      </c>
      <c r="C1800" s="2" t="s">
        <v>594</v>
      </c>
      <c r="D1800" s="2" t="str">
        <f t="shared" si="27"/>
        <v>Error?</v>
      </c>
    </row>
    <row r="1801" spans="1:4" x14ac:dyDescent="0.2">
      <c r="A1801" s="5">
        <v>1740</v>
      </c>
      <c r="B1801" s="138">
        <f>'Tax Sched 23'!F12</f>
        <v>58995</v>
      </c>
      <c r="C1801" s="2" t="s">
        <v>594</v>
      </c>
      <c r="D1801" s="2" t="str">
        <f t="shared" si="27"/>
        <v>Error?</v>
      </c>
    </row>
    <row r="1802" spans="1:4" x14ac:dyDescent="0.2">
      <c r="A1802" s="5">
        <v>1741</v>
      </c>
      <c r="B1802" s="138">
        <f>'Tax Sched 23'!F14</f>
        <v>47504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4679668</v>
      </c>
      <c r="C1807" s="2" t="s">
        <v>594</v>
      </c>
      <c r="D1807" s="2" t="str">
        <f t="shared" si="27"/>
        <v>Error?</v>
      </c>
    </row>
    <row r="1808" spans="1:4" x14ac:dyDescent="0.2">
      <c r="A1808" s="5">
        <v>1747</v>
      </c>
      <c r="B1808" s="138">
        <f>'Tax Sched 23'!E4</f>
        <v>2171498</v>
      </c>
      <c r="D1808" s="2" t="str">
        <f t="shared" si="27"/>
        <v>Error?</v>
      </c>
    </row>
    <row r="1809" spans="1:4" x14ac:dyDescent="0.2">
      <c r="A1809" s="5">
        <v>1748</v>
      </c>
      <c r="B1809" s="138">
        <f>'Tax Sched 23'!E5</f>
        <v>589996</v>
      </c>
      <c r="D1809" s="2" t="str">
        <f t="shared" si="27"/>
        <v>Error?</v>
      </c>
    </row>
    <row r="1810" spans="1:4" x14ac:dyDescent="0.2">
      <c r="A1810" s="5">
        <v>1749</v>
      </c>
      <c r="B1810" s="138">
        <f>'Tax Sched 23'!E6</f>
        <v>557680</v>
      </c>
      <c r="D1810" s="2" t="str">
        <f t="shared" si="27"/>
        <v>Error?</v>
      </c>
    </row>
    <row r="1811" spans="1:4" x14ac:dyDescent="0.2">
      <c r="A1811" s="5">
        <v>1750</v>
      </c>
      <c r="B1811" s="138">
        <f>'Tax Sched 23'!E7</f>
        <v>236003</v>
      </c>
      <c r="D1811" s="2" t="str">
        <f t="shared" si="27"/>
        <v>Error?</v>
      </c>
    </row>
    <row r="1812" spans="1:4" x14ac:dyDescent="0.2">
      <c r="A1812" s="5">
        <v>1751</v>
      </c>
      <c r="B1812" s="138">
        <f>'Tax Sched 23'!E8</f>
        <v>200002</v>
      </c>
      <c r="D1812" s="2" t="str">
        <f t="shared" si="27"/>
        <v>Error?</v>
      </c>
    </row>
    <row r="1813" spans="1:4" x14ac:dyDescent="0.2">
      <c r="A1813" s="5">
        <v>1752</v>
      </c>
      <c r="B1813" s="138">
        <f>'Tax Sched 23'!E10</f>
        <v>58995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450001</v>
      </c>
      <c r="D1816" s="2" t="str">
        <f t="shared" si="27"/>
        <v>Error?</v>
      </c>
    </row>
    <row r="1817" spans="1:4" x14ac:dyDescent="0.2">
      <c r="A1817" s="5">
        <v>1756</v>
      </c>
      <c r="B1817" s="138">
        <f>'Tax Sched 23'!E12</f>
        <v>58995</v>
      </c>
      <c r="D1817" s="2" t="str">
        <f t="shared" si="27"/>
        <v>Error?</v>
      </c>
    </row>
    <row r="1818" spans="1:4" x14ac:dyDescent="0.2">
      <c r="A1818" s="5">
        <v>1757</v>
      </c>
      <c r="B1818" s="138">
        <f>'Tax Sched 23'!E14</f>
        <v>47504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4679668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4848731</v>
      </c>
      <c r="C1939" s="2" t="s">
        <v>594</v>
      </c>
      <c r="D1939" s="2" t="str">
        <f t="shared" si="29"/>
        <v>Error?</v>
      </c>
    </row>
    <row r="1940" spans="1:5" x14ac:dyDescent="0.2">
      <c r="A1940" s="5">
        <v>1879</v>
      </c>
      <c r="B1940" s="138">
        <f>'Short-Term Long-Term Debt 24'!F49</f>
        <v>281153</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46127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46127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46127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250735</v>
      </c>
      <c r="D2008" s="2" t="str">
        <f t="shared" si="30"/>
        <v>Error?</v>
      </c>
    </row>
    <row r="2009" spans="1:4" x14ac:dyDescent="0.2">
      <c r="A2009" s="5">
        <v>1948</v>
      </c>
      <c r="B2009" s="138">
        <f>'Cap Outlay Deprec 26'!C8</f>
        <v>23965416</v>
      </c>
      <c r="D2009" s="2" t="str">
        <f t="shared" si="30"/>
        <v>Error?</v>
      </c>
    </row>
    <row r="2010" spans="1:4" x14ac:dyDescent="0.2">
      <c r="A2010" s="5">
        <v>1949</v>
      </c>
      <c r="B2010" s="138">
        <f>'Cap Outlay Deprec 26'!C10</f>
        <v>929850</v>
      </c>
      <c r="D2010" s="2" t="str">
        <f t="shared" si="30"/>
        <v>Error?</v>
      </c>
    </row>
    <row r="2011" spans="1:4" x14ac:dyDescent="0.2">
      <c r="A2011" s="5">
        <v>1950</v>
      </c>
      <c r="B2011" s="138">
        <f>'Cap Outlay Deprec 26'!C12</f>
        <v>991687</v>
      </c>
      <c r="D2011" s="2" t="str">
        <f t="shared" si="30"/>
        <v>Error?</v>
      </c>
    </row>
    <row r="2012" spans="1:4" x14ac:dyDescent="0.2">
      <c r="A2012" s="5">
        <v>1951</v>
      </c>
      <c r="B2012" s="138">
        <f>'Cap Outlay Deprec 26'!C13</f>
        <v>1607055</v>
      </c>
      <c r="D2012" s="2" t="str">
        <f t="shared" si="30"/>
        <v>Error?</v>
      </c>
    </row>
    <row r="2013" spans="1:4" x14ac:dyDescent="0.2">
      <c r="A2013" s="5">
        <v>1952</v>
      </c>
      <c r="B2013" s="138">
        <f>'Cap Outlay Deprec 26'!C16</f>
        <v>27744743</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161684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69330</v>
      </c>
      <c r="D2017" s="2" t="str">
        <f t="shared" si="30"/>
        <v>Error?</v>
      </c>
    </row>
    <row r="2018" spans="1:4" x14ac:dyDescent="0.2">
      <c r="A2018" s="5">
        <v>1957</v>
      </c>
      <c r="B2018" s="138">
        <f>'Cap Outlay Deprec 26'!D13</f>
        <v>303552</v>
      </c>
      <c r="D2018" s="2" t="str">
        <f t="shared" si="30"/>
        <v>Error?</v>
      </c>
    </row>
    <row r="2019" spans="1:4" x14ac:dyDescent="0.2">
      <c r="A2019" s="5">
        <v>1958</v>
      </c>
      <c r="B2019" s="138">
        <f>'Cap Outlay Deprec 26'!D16</f>
        <v>534566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250735</v>
      </c>
      <c r="C2026" s="2" t="s">
        <v>594</v>
      </c>
      <c r="D2026" s="2" t="str">
        <f t="shared" si="30"/>
        <v>Error?</v>
      </c>
    </row>
    <row r="2027" spans="1:4" x14ac:dyDescent="0.2">
      <c r="A2027" s="5">
        <v>1966</v>
      </c>
      <c r="B2027" s="138">
        <f>'Cap Outlay Deprec 26'!F8</f>
        <v>24127100</v>
      </c>
      <c r="C2027" s="2" t="s">
        <v>594</v>
      </c>
      <c r="D2027" s="2" t="str">
        <f t="shared" si="30"/>
        <v>Error?</v>
      </c>
    </row>
    <row r="2028" spans="1:4" x14ac:dyDescent="0.2">
      <c r="A2028" s="5">
        <v>1967</v>
      </c>
      <c r="B2028" s="138">
        <f>'Cap Outlay Deprec 26'!F10</f>
        <v>929850</v>
      </c>
      <c r="C2028" s="2" t="s">
        <v>594</v>
      </c>
      <c r="D2028" s="2" t="str">
        <f t="shared" si="30"/>
        <v>Error?</v>
      </c>
    </row>
    <row r="2029" spans="1:4" x14ac:dyDescent="0.2">
      <c r="A2029" s="5">
        <v>1968</v>
      </c>
      <c r="B2029" s="138">
        <f>'Cap Outlay Deprec 26'!F12</f>
        <v>1061017</v>
      </c>
      <c r="C2029" s="2" t="s">
        <v>594</v>
      </c>
      <c r="D2029" s="2" t="str">
        <f t="shared" si="30"/>
        <v>Error?</v>
      </c>
    </row>
    <row r="2030" spans="1:4" x14ac:dyDescent="0.2">
      <c r="A2030" s="5">
        <v>1969</v>
      </c>
      <c r="B2030" s="138">
        <f>'Cap Outlay Deprec 26'!F13</f>
        <v>1910607</v>
      </c>
      <c r="C2030" s="2" t="s">
        <v>594</v>
      </c>
      <c r="D2030" s="2" t="str">
        <f t="shared" si="30"/>
        <v>Error?</v>
      </c>
    </row>
    <row r="2031" spans="1:4" x14ac:dyDescent="0.2">
      <c r="A2031" s="5">
        <v>1970</v>
      </c>
      <c r="B2031" s="138">
        <f>'Cap Outlay Deprec 26'!F16</f>
        <v>28279309</v>
      </c>
      <c r="C2031" s="2" t="s">
        <v>594</v>
      </c>
      <c r="D2031" s="2" t="str">
        <f t="shared" si="30"/>
        <v>Error?</v>
      </c>
    </row>
    <row r="2032" spans="1:4" x14ac:dyDescent="0.2">
      <c r="A2032" s="10">
        <v>1971</v>
      </c>
      <c r="D2032" s="2" t="str">
        <f t="shared" si="30"/>
        <v>OK</v>
      </c>
    </row>
    <row r="2033" spans="1:4" x14ac:dyDescent="0.2">
      <c r="A2033" s="5">
        <v>1972</v>
      </c>
      <c r="B2033" s="138">
        <f>'Cap Outlay Deprec 26'!H8</f>
        <v>8121605</v>
      </c>
      <c r="D2033" s="2" t="str">
        <f t="shared" si="30"/>
        <v>Error?</v>
      </c>
    </row>
    <row r="2034" spans="1:4" x14ac:dyDescent="0.2">
      <c r="A2034" s="5">
        <v>1973</v>
      </c>
      <c r="B2034" s="138">
        <f>'Cap Outlay Deprec 26'!H10</f>
        <v>592427</v>
      </c>
      <c r="D2034" s="2" t="str">
        <f t="shared" si="30"/>
        <v>Error?</v>
      </c>
    </row>
    <row r="2035" spans="1:4" x14ac:dyDescent="0.2">
      <c r="A2035" s="5">
        <v>1974</v>
      </c>
      <c r="B2035" s="138">
        <f>'Cap Outlay Deprec 26'!H12</f>
        <v>561958</v>
      </c>
      <c r="D2035" s="2" t="str">
        <f t="shared" si="30"/>
        <v>Error?</v>
      </c>
    </row>
    <row r="2036" spans="1:4" x14ac:dyDescent="0.2">
      <c r="A2036" s="5">
        <v>1975</v>
      </c>
      <c r="B2036" s="138">
        <f>'Cap Outlay Deprec 26'!H13</f>
        <v>1350553</v>
      </c>
      <c r="D2036" s="2" t="str">
        <f t="shared" si="30"/>
        <v>Error?</v>
      </c>
    </row>
    <row r="2037" spans="1:4" x14ac:dyDescent="0.2">
      <c r="A2037" s="5">
        <v>1976</v>
      </c>
      <c r="B2037" s="138">
        <f>'Cap Outlay Deprec 26'!H16</f>
        <v>10626543</v>
      </c>
      <c r="C2037" s="2" t="s">
        <v>594</v>
      </c>
      <c r="D2037" s="2" t="str">
        <f t="shared" si="30"/>
        <v>Error?</v>
      </c>
    </row>
    <row r="2038" spans="1:4" x14ac:dyDescent="0.2">
      <c r="A2038" s="10">
        <v>1977</v>
      </c>
      <c r="D2038" s="2" t="str">
        <f t="shared" si="30"/>
        <v>OK</v>
      </c>
    </row>
    <row r="2039" spans="1:4" x14ac:dyDescent="0.2">
      <c r="A2039" s="5">
        <v>1978</v>
      </c>
      <c r="B2039" s="138">
        <f>'Cap Outlay Deprec 26'!I8</f>
        <v>480426</v>
      </c>
      <c r="D2039" s="2" t="str">
        <f t="shared" si="30"/>
        <v>Error?</v>
      </c>
    </row>
    <row r="2040" spans="1:4" x14ac:dyDescent="0.2">
      <c r="A2040" s="5">
        <v>1979</v>
      </c>
      <c r="B2040" s="138">
        <f>'Cap Outlay Deprec 26'!I10</f>
        <v>46490</v>
      </c>
      <c r="D2040" s="2" t="str">
        <f t="shared" si="30"/>
        <v>Error?</v>
      </c>
    </row>
    <row r="2041" spans="1:4" x14ac:dyDescent="0.2">
      <c r="A2041" s="5">
        <v>1980</v>
      </c>
      <c r="B2041" s="138">
        <f>'Cap Outlay Deprec 26'!I12</f>
        <v>90173</v>
      </c>
      <c r="D2041" s="2" t="str">
        <f t="shared" si="30"/>
        <v>Error?</v>
      </c>
    </row>
    <row r="2042" spans="1:4" x14ac:dyDescent="0.2">
      <c r="A2042" s="5">
        <v>1981</v>
      </c>
      <c r="B2042" s="138">
        <f>'Cap Outlay Deprec 26'!I13</f>
        <v>76445</v>
      </c>
      <c r="D2042" s="2" t="str">
        <f t="shared" si="30"/>
        <v>Error?</v>
      </c>
    </row>
    <row r="2043" spans="1:4" x14ac:dyDescent="0.2">
      <c r="A2043" s="5">
        <v>1982</v>
      </c>
      <c r="B2043" s="138">
        <f>'Cap Outlay Deprec 26'!I16</f>
        <v>693534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8602031</v>
      </c>
      <c r="C2051" s="2" t="s">
        <v>594</v>
      </c>
      <c r="D2051" s="2" t="str">
        <f t="shared" si="31"/>
        <v>Error?</v>
      </c>
    </row>
    <row r="2052" spans="1:4" x14ac:dyDescent="0.2">
      <c r="A2052" s="5">
        <v>1991</v>
      </c>
      <c r="B2052" s="138">
        <f>'Cap Outlay Deprec 26'!K10</f>
        <v>638917</v>
      </c>
      <c r="C2052" s="2" t="s">
        <v>594</v>
      </c>
      <c r="D2052" s="2" t="str">
        <f t="shared" si="31"/>
        <v>Error?</v>
      </c>
    </row>
    <row r="2053" spans="1:4" x14ac:dyDescent="0.2">
      <c r="A2053" s="5">
        <v>1992</v>
      </c>
      <c r="B2053" s="138">
        <f>'Cap Outlay Deprec 26'!K12</f>
        <v>652131</v>
      </c>
      <c r="C2053" s="2" t="s">
        <v>594</v>
      </c>
      <c r="D2053" s="2" t="str">
        <f t="shared" si="31"/>
        <v>Error?</v>
      </c>
    </row>
    <row r="2054" spans="1:4" x14ac:dyDescent="0.2">
      <c r="A2054" s="5">
        <v>1993</v>
      </c>
      <c r="B2054" s="138">
        <f>'Cap Outlay Deprec 26'!K13</f>
        <v>1426998</v>
      </c>
      <c r="C2054" s="2" t="s">
        <v>594</v>
      </c>
      <c r="D2054" s="2" t="str">
        <f t="shared" si="31"/>
        <v>Error?</v>
      </c>
    </row>
    <row r="2055" spans="1:4" x14ac:dyDescent="0.2">
      <c r="A2055" s="5">
        <v>1994</v>
      </c>
      <c r="B2055" s="138">
        <f>'Cap Outlay Deprec 26'!K16</f>
        <v>11320077</v>
      </c>
      <c r="C2055" s="2" t="s">
        <v>594</v>
      </c>
      <c r="D2055" s="2" t="str">
        <f t="shared" si="31"/>
        <v>Error?</v>
      </c>
    </row>
    <row r="2056" spans="1:4" x14ac:dyDescent="0.2">
      <c r="A2056" s="5">
        <v>1995</v>
      </c>
      <c r="B2056" s="138">
        <f>'Cap Outlay Deprec 26'!L5</f>
        <v>250735</v>
      </c>
      <c r="C2056" s="2" t="s">
        <v>594</v>
      </c>
      <c r="D2056" s="2" t="str">
        <f t="shared" si="31"/>
        <v>Error?</v>
      </c>
    </row>
    <row r="2057" spans="1:4" x14ac:dyDescent="0.2">
      <c r="A2057" s="5">
        <v>1996</v>
      </c>
      <c r="B2057" s="138">
        <f>'Cap Outlay Deprec 26'!L8</f>
        <v>15525069</v>
      </c>
      <c r="C2057" s="2" t="s">
        <v>594</v>
      </c>
      <c r="D2057" s="2" t="str">
        <f t="shared" si="31"/>
        <v>Error?</v>
      </c>
    </row>
    <row r="2058" spans="1:4" x14ac:dyDescent="0.2">
      <c r="A2058" s="5">
        <v>1997</v>
      </c>
      <c r="B2058" s="138">
        <f>'Cap Outlay Deprec 26'!L10</f>
        <v>290933</v>
      </c>
      <c r="C2058" s="2" t="s">
        <v>594</v>
      </c>
      <c r="D2058" s="2" t="str">
        <f t="shared" si="31"/>
        <v>Error?</v>
      </c>
    </row>
    <row r="2059" spans="1:4" x14ac:dyDescent="0.2">
      <c r="A2059" s="5">
        <v>1998</v>
      </c>
      <c r="B2059" s="138">
        <f>'Cap Outlay Deprec 26'!L12</f>
        <v>408886</v>
      </c>
      <c r="C2059" s="2" t="s">
        <v>594</v>
      </c>
      <c r="D2059" s="2" t="str">
        <f t="shared" si="31"/>
        <v>Error?</v>
      </c>
    </row>
    <row r="2060" spans="1:4" x14ac:dyDescent="0.2">
      <c r="A2060" s="5">
        <v>1999</v>
      </c>
      <c r="B2060" s="138">
        <f>'Cap Outlay Deprec 26'!L13</f>
        <v>483609</v>
      </c>
      <c r="C2060" s="2" t="s">
        <v>594</v>
      </c>
      <c r="D2060" s="2" t="str">
        <f t="shared" si="31"/>
        <v>Error?</v>
      </c>
    </row>
    <row r="2061" spans="1:4" x14ac:dyDescent="0.2">
      <c r="A2061" s="5">
        <v>2000</v>
      </c>
      <c r="B2061" s="138">
        <f>'Cap Outlay Deprec 26'!L16</f>
        <v>16959232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470168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100000</v>
      </c>
      <c r="C2105" s="2" t="s">
        <v>594</v>
      </c>
      <c r="D2105" s="2" t="str">
        <f t="shared" si="31"/>
        <v>Error?</v>
      </c>
    </row>
    <row r="2106" spans="1:4" x14ac:dyDescent="0.2">
      <c r="A2106" s="5">
        <v>2045</v>
      </c>
      <c r="B2106" s="138">
        <f>'Acct Summary 7-8'!I48</f>
        <v>3366</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72493</v>
      </c>
      <c r="D2435" s="2" t="str">
        <f t="shared" si="37"/>
        <v>Error?</v>
      </c>
    </row>
    <row r="2436" spans="1:4" x14ac:dyDescent="0.2">
      <c r="A2436" s="10">
        <v>2375</v>
      </c>
      <c r="D2436" s="2" t="str">
        <f t="shared" si="37"/>
        <v>OK</v>
      </c>
    </row>
    <row r="2437" spans="1:4" x14ac:dyDescent="0.2">
      <c r="A2437" s="5">
        <v>2376</v>
      </c>
      <c r="B2437" s="138">
        <f>'Assets-Liab 5-6'!D38</f>
        <v>76289</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13346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16466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3039020</v>
      </c>
      <c r="C2551" s="2" t="s">
        <v>594</v>
      </c>
      <c r="D2551" s="2" t="str">
        <f t="shared" si="38"/>
        <v>Error?</v>
      </c>
    </row>
    <row r="2552" spans="1:4" x14ac:dyDescent="0.2">
      <c r="A2552" s="10">
        <v>2491</v>
      </c>
      <c r="D2552" s="2" t="str">
        <f t="shared" si="38"/>
        <v>OK</v>
      </c>
    </row>
    <row r="2553" spans="1:4" x14ac:dyDescent="0.2">
      <c r="A2553" s="5">
        <v>2492</v>
      </c>
      <c r="B2553" s="138">
        <f>'Acct Summary 7-8'!C6</f>
        <v>5777408</v>
      </c>
      <c r="C2553" s="2" t="s">
        <v>594</v>
      </c>
      <c r="D2553" s="2" t="str">
        <f t="shared" si="38"/>
        <v>Error?</v>
      </c>
    </row>
    <row r="2554" spans="1:4" x14ac:dyDescent="0.2">
      <c r="A2554" s="5">
        <v>2493</v>
      </c>
      <c r="B2554" s="138">
        <f>'Acct Summary 7-8'!C7</f>
        <v>1089010</v>
      </c>
      <c r="C2554" s="2" t="s">
        <v>594</v>
      </c>
      <c r="D2554" s="2" t="str">
        <f t="shared" si="38"/>
        <v>Error?</v>
      </c>
    </row>
    <row r="2555" spans="1:4" x14ac:dyDescent="0.2">
      <c r="A2555" s="5">
        <v>2494</v>
      </c>
      <c r="B2555" s="138">
        <f>'Acct Summary 7-8'!C8</f>
        <v>9905438</v>
      </c>
      <c r="C2555" s="2" t="s">
        <v>594</v>
      </c>
      <c r="D2555" s="2" t="str">
        <f t="shared" si="38"/>
        <v>Error?</v>
      </c>
    </row>
    <row r="2556" spans="1:4" x14ac:dyDescent="0.2">
      <c r="A2556" s="5">
        <v>2495</v>
      </c>
      <c r="B2556" s="138">
        <f>'Acct Summary 7-8'!C12</f>
        <v>6139033</v>
      </c>
      <c r="C2556" s="2" t="s">
        <v>594</v>
      </c>
      <c r="D2556" s="2" t="str">
        <f t="shared" si="38"/>
        <v>Error?</v>
      </c>
    </row>
    <row r="2557" spans="1:4" x14ac:dyDescent="0.2">
      <c r="A2557" s="5">
        <v>2496</v>
      </c>
      <c r="B2557" s="138">
        <f>'Acct Summary 7-8'!C13</f>
        <v>2352118</v>
      </c>
      <c r="C2557" s="2" t="s">
        <v>594</v>
      </c>
      <c r="D2557" s="2" t="str">
        <f t="shared" si="38"/>
        <v>Error?</v>
      </c>
    </row>
    <row r="2558" spans="1:4" x14ac:dyDescent="0.2">
      <c r="A2558" s="5">
        <v>2497</v>
      </c>
      <c r="B2558" s="138">
        <f>'Acct Summary 7-8'!C14</f>
        <v>39344</v>
      </c>
      <c r="C2558" s="2" t="s">
        <v>594</v>
      </c>
      <c r="D2558" s="2" t="str">
        <f t="shared" si="38"/>
        <v>Error?</v>
      </c>
    </row>
    <row r="2559" spans="1:4" x14ac:dyDescent="0.2">
      <c r="A2559" s="5">
        <v>2498</v>
      </c>
      <c r="B2559" s="138">
        <f>'Acct Summary 7-8'!C15</f>
        <v>470168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9000663</v>
      </c>
      <c r="C2561" s="2" t="s">
        <v>594</v>
      </c>
      <c r="D2561" s="2" t="str">
        <f t="shared" si="39"/>
        <v>Error?</v>
      </c>
    </row>
    <row r="2562" spans="1:4" x14ac:dyDescent="0.2">
      <c r="A2562" s="5">
        <v>2501</v>
      </c>
      <c r="B2562" s="138">
        <f>'Acct Summary 7-8'!C20</f>
        <v>904775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604375</v>
      </c>
      <c r="C2564" s="2" t="s">
        <v>594</v>
      </c>
      <c r="D2564" s="2" t="str">
        <f t="shared" si="39"/>
        <v>Error?</v>
      </c>
    </row>
    <row r="2565" spans="1:4" x14ac:dyDescent="0.2">
      <c r="A2565" s="10">
        <v>2504</v>
      </c>
      <c r="D2565" s="2" t="str">
        <f t="shared" si="39"/>
        <v>OK</v>
      </c>
    </row>
    <row r="2566" spans="1:4" x14ac:dyDescent="0.2">
      <c r="A2566" s="5">
        <v>2505</v>
      </c>
      <c r="B2566" s="138">
        <f>'Acct Summary 7-8'!D6</f>
        <v>10025</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614400</v>
      </c>
      <c r="C2568" s="2" t="s">
        <v>594</v>
      </c>
      <c r="D2568" s="2" t="str">
        <f t="shared" si="39"/>
        <v>Error?</v>
      </c>
    </row>
    <row r="2569" spans="1:4" x14ac:dyDescent="0.2">
      <c r="A2569" s="5">
        <v>2508</v>
      </c>
      <c r="B2569" s="138">
        <f>'Acct Summary 7-8'!D13</f>
        <v>718047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718047</v>
      </c>
      <c r="C2573" s="2" t="s">
        <v>594</v>
      </c>
      <c r="D2573" s="2" t="str">
        <f t="shared" si="39"/>
        <v>Error?</v>
      </c>
    </row>
    <row r="2574" spans="1:4" x14ac:dyDescent="0.2">
      <c r="A2574" s="5">
        <v>2513</v>
      </c>
      <c r="B2574" s="138">
        <f>'Acct Summary 7-8'!D20</f>
        <v>-103647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238622</v>
      </c>
      <c r="C2591" s="2" t="s">
        <v>594</v>
      </c>
      <c r="D2591" s="2" t="str">
        <f t="shared" si="39"/>
        <v>Error?</v>
      </c>
    </row>
    <row r="2592" spans="1:4" x14ac:dyDescent="0.2">
      <c r="A2592" s="10">
        <v>2531</v>
      </c>
      <c r="D2592" s="2" t="str">
        <f t="shared" si="39"/>
        <v>OK</v>
      </c>
    </row>
    <row r="2593" spans="1:4" x14ac:dyDescent="0.2">
      <c r="A2593" s="5">
        <v>2532</v>
      </c>
      <c r="B2593" s="138">
        <f>'Acct Summary 7-8'!F6</f>
        <v>726943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965565</v>
      </c>
      <c r="C2595" s="2" t="s">
        <v>594</v>
      </c>
      <c r="D2595" s="2" t="str">
        <f t="shared" si="39"/>
        <v>Error?</v>
      </c>
    </row>
    <row r="2596" spans="1:4" x14ac:dyDescent="0.2">
      <c r="A2596" s="5">
        <v>2535</v>
      </c>
      <c r="B2596" s="138">
        <f>'Acct Summary 7-8'!F13</f>
        <v>1127600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79779</v>
      </c>
      <c r="C2599" s="2" t="s">
        <v>594</v>
      </c>
      <c r="D2599" s="2" t="str">
        <f t="shared" si="39"/>
        <v>Error?</v>
      </c>
    </row>
    <row r="2600" spans="1:4" x14ac:dyDescent="0.2">
      <c r="A2600" s="5">
        <v>2539</v>
      </c>
      <c r="B2600" s="138">
        <f>'Acct Summary 7-8'!F17</f>
        <v>1207379</v>
      </c>
      <c r="C2600" s="2" t="s">
        <v>594</v>
      </c>
      <c r="D2600" s="2" t="str">
        <f t="shared" si="39"/>
        <v>Error?</v>
      </c>
    </row>
    <row r="2601" spans="1:4" x14ac:dyDescent="0.2">
      <c r="A2601" s="5">
        <v>2540</v>
      </c>
      <c r="B2601" s="138">
        <f>'Acct Summary 7-8'!F20</f>
        <v>-241814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375300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375300</v>
      </c>
      <c r="C2606" s="2" t="s">
        <v>594</v>
      </c>
      <c r="D2606" s="2" t="str">
        <f t="shared" si="39"/>
        <v>Error?</v>
      </c>
    </row>
    <row r="2607" spans="1:4" x14ac:dyDescent="0.2">
      <c r="A2607" s="5">
        <v>2546</v>
      </c>
      <c r="B2607" s="138">
        <f>'Acct Summary 7-8'!G12</f>
        <v>138533</v>
      </c>
      <c r="C2607" s="2" t="s">
        <v>594</v>
      </c>
      <c r="D2607" s="2" t="str">
        <f t="shared" si="39"/>
        <v>Error?</v>
      </c>
    </row>
    <row r="2608" spans="1:4" x14ac:dyDescent="0.2">
      <c r="A2608" s="5">
        <v>2547</v>
      </c>
      <c r="B2608" s="138">
        <f>'Acct Summary 7-8'!G13</f>
        <v>301600</v>
      </c>
      <c r="C2608" s="2" t="s">
        <v>594</v>
      </c>
      <c r="D2608" s="2" t="str">
        <f t="shared" si="39"/>
        <v>Error?</v>
      </c>
    </row>
    <row r="2609" spans="1:4" x14ac:dyDescent="0.2">
      <c r="A2609" s="5">
        <v>2548</v>
      </c>
      <c r="B2609" s="138">
        <f>'Acct Summary 7-8'!G14</f>
        <v>5126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445259</v>
      </c>
      <c r="C2612" s="2" t="s">
        <v>594</v>
      </c>
      <c r="D2612" s="2" t="str">
        <f t="shared" si="39"/>
        <v>Error?</v>
      </c>
    </row>
    <row r="2613" spans="1:4" x14ac:dyDescent="0.2">
      <c r="A2613" s="5">
        <v>2552</v>
      </c>
      <c r="B2613" s="138">
        <f>'Acct Summary 7-8'!G20</f>
        <v>-69959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1258681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1258681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1310419</v>
      </c>
      <c r="C2634" s="2" t="s">
        <v>594</v>
      </c>
      <c r="D2634" s="2" t="str">
        <f t="shared" si="40"/>
        <v>Error?</v>
      </c>
    </row>
    <row r="2635" spans="1:4" x14ac:dyDescent="0.2">
      <c r="A2635" s="5">
        <v>2574</v>
      </c>
      <c r="B2635" s="138">
        <f>'Acct Summary 7-8'!E17</f>
        <v>1310419</v>
      </c>
      <c r="C2635" s="2" t="s">
        <v>594</v>
      </c>
      <c r="D2635" s="2" t="str">
        <f t="shared" si="40"/>
        <v>Error?</v>
      </c>
    </row>
    <row r="2636" spans="1:4" x14ac:dyDescent="0.2">
      <c r="A2636" s="5">
        <v>2575</v>
      </c>
      <c r="B2636" s="138">
        <f>'Acct Summary 7-8'!E20</f>
        <v>-51738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49292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49292</v>
      </c>
      <c r="C2658" s="2" t="s">
        <v>594</v>
      </c>
      <c r="D2658" s="2" t="str">
        <f t="shared" si="40"/>
        <v>Error?</v>
      </c>
    </row>
    <row r="2659" spans="1:4" x14ac:dyDescent="0.2">
      <c r="A2659" s="5">
        <v>2598</v>
      </c>
      <c r="B2659" s="138">
        <f>'Acct Summary 7-8'!H13</f>
        <v>31381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31381</v>
      </c>
      <c r="C2661" s="2" t="s">
        <v>594</v>
      </c>
      <c r="D2661" s="2" t="str">
        <f t="shared" si="40"/>
        <v>Error?</v>
      </c>
    </row>
    <row r="2662" spans="1:4" x14ac:dyDescent="0.2">
      <c r="A2662" s="5">
        <v>2601</v>
      </c>
      <c r="B2662" s="138">
        <f>'Acct Summary 7-8'!H20</f>
        <v>17911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3366</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200394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339347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121718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506538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339347</v>
      </c>
      <c r="D2912" s="2" t="str">
        <f t="shared" si="44"/>
        <v>Error?</v>
      </c>
    </row>
    <row r="2913" spans="1:4" x14ac:dyDescent="0.2">
      <c r="A2913" s="5">
        <v>2852</v>
      </c>
      <c r="B2913" s="138">
        <f>'Assets-Liab 5-6'!I41</f>
        <v>339347</v>
      </c>
      <c r="C2913" s="2" t="s">
        <v>594</v>
      </c>
      <c r="D2913" s="2" t="str">
        <f t="shared" si="44"/>
        <v>Error?</v>
      </c>
    </row>
    <row r="2914" spans="1:4" x14ac:dyDescent="0.2">
      <c r="A2914" s="5">
        <v>2853</v>
      </c>
      <c r="B2914" s="138">
        <f>'Assets-Liab 5-6'!L33</f>
        <v>506538</v>
      </c>
      <c r="D2914" s="2" t="str">
        <f t="shared" si="44"/>
        <v>Error?</v>
      </c>
    </row>
    <row r="2915" spans="1:4" x14ac:dyDescent="0.2">
      <c r="A2915" s="10">
        <v>2854</v>
      </c>
      <c r="D2915" s="2" t="str">
        <f t="shared" si="44"/>
        <v>OK</v>
      </c>
    </row>
    <row r="2916" spans="1:4" x14ac:dyDescent="0.2">
      <c r="A2916" s="5">
        <v>2855</v>
      </c>
      <c r="B2916" s="138">
        <f>'Assets-Liab 5-6'!L34</f>
        <v>506538</v>
      </c>
      <c r="C2916" s="2" t="s">
        <v>594</v>
      </c>
      <c r="D2916" s="2" t="str">
        <f t="shared" si="44"/>
        <v>Error?</v>
      </c>
    </row>
    <row r="2917" spans="1:4" x14ac:dyDescent="0.2">
      <c r="A2917" s="5">
        <v>2856</v>
      </c>
      <c r="B2917" s="138">
        <f>'Assets-Liab 5-6'!L41</f>
        <v>506538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279066</v>
      </c>
      <c r="D3055" s="2" t="str">
        <f t="shared" si="46"/>
        <v>Error?</v>
      </c>
    </row>
    <row r="3056" spans="1:4" x14ac:dyDescent="0.2">
      <c r="A3056" s="5">
        <v>2995</v>
      </c>
      <c r="B3056" s="138">
        <f>'Expenditures 15-22'!D10</f>
        <v>103945</v>
      </c>
      <c r="D3056" s="2" t="str">
        <f t="shared" si="46"/>
        <v>Error?</v>
      </c>
    </row>
    <row r="3057" spans="1:4" x14ac:dyDescent="0.2">
      <c r="A3057" s="5">
        <v>2996</v>
      </c>
      <c r="B3057" s="138">
        <f>'Expenditures 15-22'!E10</f>
        <v>8922</v>
      </c>
      <c r="D3057" s="2" t="str">
        <f t="shared" si="46"/>
        <v>Error?</v>
      </c>
    </row>
    <row r="3058" spans="1:4" x14ac:dyDescent="0.2">
      <c r="A3058" s="5">
        <v>2997</v>
      </c>
      <c r="B3058" s="138">
        <f>'Expenditures 15-22'!F10</f>
        <v>2793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394726</v>
      </c>
      <c r="C3062" s="2" t="s">
        <v>594</v>
      </c>
      <c r="D3062" s="2" t="str">
        <f t="shared" si="46"/>
        <v>Error?</v>
      </c>
    </row>
    <row r="3063" spans="1:4" x14ac:dyDescent="0.2">
      <c r="A3063" s="10">
        <v>3002</v>
      </c>
      <c r="D3063" s="2" t="str">
        <f t="shared" si="46"/>
        <v>OK</v>
      </c>
    </row>
    <row r="3064" spans="1:4" x14ac:dyDescent="0.2">
      <c r="A3064" s="5">
        <v>3003</v>
      </c>
      <c r="B3064" s="138">
        <f>'Expenditures 15-22'!D219</f>
        <v>3057</v>
      </c>
      <c r="D3064" s="2" t="str">
        <f t="shared" si="46"/>
        <v>Error?</v>
      </c>
    </row>
    <row r="3065" spans="1:4" x14ac:dyDescent="0.2">
      <c r="A3065" s="5">
        <v>3004</v>
      </c>
      <c r="B3065" s="138">
        <f>'Expenditures 15-22'!K219</f>
        <v>3057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242842</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61020</v>
      </c>
      <c r="C3225" s="2" t="s">
        <v>594</v>
      </c>
      <c r="D3225" s="2" t="str">
        <f t="shared" si="49"/>
        <v>Error?</v>
      </c>
    </row>
    <row r="3226" spans="1:4" x14ac:dyDescent="0.2">
      <c r="A3226" s="5">
        <v>3165</v>
      </c>
      <c r="B3226" s="138">
        <f>'Acct Summary 7-8'!I8</f>
        <v>61020</v>
      </c>
      <c r="C3226" s="2" t="s">
        <v>594</v>
      </c>
      <c r="D3226" s="2" t="str">
        <f t="shared" si="49"/>
        <v>Error?</v>
      </c>
    </row>
    <row r="3227" spans="1:4" x14ac:dyDescent="0.2">
      <c r="A3227" s="5">
        <v>3166</v>
      </c>
      <c r="B3227" s="138">
        <f>'Acct Summary 7-8'!I20</f>
        <v>61020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38311</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57382</v>
      </c>
      <c r="C3231" s="2" t="s">
        <v>594</v>
      </c>
      <c r="D3231" s="2" t="str">
        <f t="shared" si="49"/>
        <v>Error?</v>
      </c>
    </row>
    <row r="3232" spans="1:4" x14ac:dyDescent="0.2">
      <c r="A3232" s="5">
        <v>3171</v>
      </c>
      <c r="B3232" s="138">
        <f>'Acct Summary 7-8'!C77</f>
        <v>-19071</v>
      </c>
      <c r="C3232" s="2" t="s">
        <v>594</v>
      </c>
      <c r="D3232" s="2" t="str">
        <f t="shared" si="49"/>
        <v>Error?</v>
      </c>
    </row>
    <row r="3233" spans="1:4" x14ac:dyDescent="0.2">
      <c r="A3233" s="5">
        <v>3172</v>
      </c>
      <c r="B3233" s="138">
        <f>'Acct Summary 7-8'!C78</f>
        <v>885704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-103647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346208</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346208</v>
      </c>
      <c r="C3255" s="2" t="s">
        <v>594</v>
      </c>
      <c r="D3255" s="2" t="str">
        <f t="shared" si="49"/>
        <v>Error?</v>
      </c>
    </row>
    <row r="3256" spans="1:4" x14ac:dyDescent="0.2">
      <c r="A3256" s="5">
        <v>3195</v>
      </c>
      <c r="B3256" s="138">
        <f>'Acct Summary 7-8'!F78</f>
        <v>104394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-69959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57382</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57382</v>
      </c>
      <c r="C3277" s="2" t="s">
        <v>594</v>
      </c>
      <c r="D3277" s="2" t="str">
        <f t="shared" si="50"/>
        <v>Error?</v>
      </c>
    </row>
    <row r="3278" spans="1:4" x14ac:dyDescent="0.2">
      <c r="A3278" s="5">
        <v>3217</v>
      </c>
      <c r="B3278" s="138">
        <f>'Acct Summary 7-8'!E78</f>
        <v>5644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17911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103366</v>
      </c>
      <c r="C3318" s="2" t="s">
        <v>594</v>
      </c>
      <c r="D3318" s="2" t="str">
        <f t="shared" si="50"/>
        <v>Error?</v>
      </c>
    </row>
    <row r="3319" spans="1:4" x14ac:dyDescent="0.2">
      <c r="A3319" s="5">
        <v>3258</v>
      </c>
      <c r="B3319" s="138">
        <f>'Acct Summary 7-8'!I77</f>
        <v>-103366</v>
      </c>
      <c r="C3319" s="2" t="s">
        <v>594</v>
      </c>
      <c r="D3319" s="2" t="str">
        <f t="shared" si="50"/>
        <v>Error?</v>
      </c>
    </row>
    <row r="3320" spans="1:4" x14ac:dyDescent="0.2">
      <c r="A3320" s="5">
        <v>3259</v>
      </c>
      <c r="B3320" s="138">
        <f>'Acct Summary 7-8'!I78</f>
        <v>-42346</v>
      </c>
      <c r="C3320" s="2" t="s">
        <v>594</v>
      </c>
      <c r="D3320" s="2" t="str">
        <f t="shared" si="50"/>
        <v>Error?</v>
      </c>
    </row>
    <row r="3321" spans="1:4" x14ac:dyDescent="0.2">
      <c r="A3321" s="5">
        <v>3260</v>
      </c>
      <c r="B3321" s="138">
        <f>'Acct Summary 7-8'!I79</f>
        <v>381693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339347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1054675</v>
      </c>
      <c r="D3366" s="2" t="str">
        <f t="shared" si="51"/>
        <v>Error?</v>
      </c>
    </row>
    <row r="3367" spans="1:4" x14ac:dyDescent="0.2">
      <c r="A3367" s="5">
        <v>3306</v>
      </c>
      <c r="B3367" s="138">
        <f>'Expenditures 15-22'!C19</f>
        <v>81789</v>
      </c>
      <c r="D3367" s="2" t="str">
        <f t="shared" si="51"/>
        <v>Error?</v>
      </c>
    </row>
    <row r="3368" spans="1:4" x14ac:dyDescent="0.2">
      <c r="A3368" s="5">
        <v>3307</v>
      </c>
      <c r="B3368" s="138">
        <f>'Expenditures 15-22'!D8</f>
        <v>292025</v>
      </c>
      <c r="D3368" s="2" t="str">
        <f t="shared" si="51"/>
        <v>Error?</v>
      </c>
    </row>
    <row r="3369" spans="1:4" x14ac:dyDescent="0.2">
      <c r="A3369" s="5">
        <v>3308</v>
      </c>
      <c r="B3369" s="138">
        <f>'Expenditures 15-22'!D19</f>
        <v>26769</v>
      </c>
      <c r="D3369" s="2" t="str">
        <f t="shared" si="51"/>
        <v>Error?</v>
      </c>
    </row>
    <row r="3370" spans="1:4" x14ac:dyDescent="0.2">
      <c r="A3370" s="5">
        <v>3309</v>
      </c>
      <c r="B3370" s="138">
        <f>'Expenditures 15-22'!E8</f>
        <v>10221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4669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1366657</v>
      </c>
      <c r="C3380" s="2" t="s">
        <v>594</v>
      </c>
      <c r="D3380" s="2" t="str">
        <f t="shared" si="51"/>
        <v>Error?</v>
      </c>
    </row>
    <row r="3381" spans="1:4" x14ac:dyDescent="0.2">
      <c r="A3381" s="5">
        <v>3320</v>
      </c>
      <c r="B3381" s="138">
        <f>'Expenditures 15-22'!K19</f>
        <v>108558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35029</v>
      </c>
      <c r="D3387" s="2" t="str">
        <f t="shared" si="51"/>
        <v>Error?</v>
      </c>
    </row>
    <row r="3388" spans="1:4" x14ac:dyDescent="0.2">
      <c r="A3388" s="5">
        <v>3327</v>
      </c>
      <c r="B3388" s="138">
        <f>'Expenditures 15-22'!D217</f>
        <v>76476</v>
      </c>
      <c r="D3388" s="2" t="str">
        <f t="shared" si="51"/>
        <v>Error?</v>
      </c>
    </row>
    <row r="3389" spans="1:4" x14ac:dyDescent="0.2">
      <c r="A3389" s="5">
        <v>3328</v>
      </c>
      <c r="B3389" s="138">
        <f>'Expenditures 15-22'!D228</f>
        <v>3979</v>
      </c>
      <c r="D3389" s="2" t="str">
        <f t="shared" si="51"/>
        <v>Error?</v>
      </c>
    </row>
    <row r="3390" spans="1:4" x14ac:dyDescent="0.2">
      <c r="A3390" s="5">
        <v>3329</v>
      </c>
      <c r="B3390" s="138">
        <f>'Expenditures 15-22'!K215</f>
        <v>35029</v>
      </c>
      <c r="C3390" s="2" t="s">
        <v>594</v>
      </c>
      <c r="D3390" s="2" t="str">
        <f t="shared" si="51"/>
        <v>Error?</v>
      </c>
    </row>
    <row r="3391" spans="1:4" x14ac:dyDescent="0.2">
      <c r="A3391" s="5">
        <v>3330</v>
      </c>
      <c r="B3391" s="138">
        <f>'Expenditures 15-22'!K217</f>
        <v>76476</v>
      </c>
      <c r="C3391" s="2" t="s">
        <v>594</v>
      </c>
      <c r="D3391" s="2" t="str">
        <f t="shared" ref="D3391:D3454" si="52">IF(ISBLANK(B3391),"OK",IF(A3391-B3391=0,"OK","Error?"))</f>
        <v>Error?</v>
      </c>
    </row>
    <row r="3392" spans="1:4" x14ac:dyDescent="0.2">
      <c r="A3392" s="5">
        <v>3331</v>
      </c>
      <c r="B3392" s="138">
        <f>'Expenditures 15-22'!K228</f>
        <v>3979</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1478105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560321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435732</v>
      </c>
      <c r="D3417" s="2" t="str">
        <f t="shared" si="52"/>
        <v>Error?</v>
      </c>
    </row>
    <row r="3418" spans="1:4" x14ac:dyDescent="0.2">
      <c r="A3418" s="10">
        <v>3357</v>
      </c>
      <c r="D3418" s="2" t="str">
        <f t="shared" si="52"/>
        <v>OK</v>
      </c>
    </row>
    <row r="3419" spans="1:4" x14ac:dyDescent="0.2">
      <c r="A3419" s="5">
        <v>3358</v>
      </c>
      <c r="B3419" s="138">
        <f>'Assets-Liab 5-6'!F4</f>
        <v>311067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152616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147437</v>
      </c>
      <c r="D3425" s="2" t="str">
        <f t="shared" si="52"/>
        <v>Error?</v>
      </c>
    </row>
    <row r="3426" spans="1:4" x14ac:dyDescent="0.2">
      <c r="A3426" s="10">
        <v>3365</v>
      </c>
      <c r="D3426" s="2" t="str">
        <f t="shared" si="52"/>
        <v>OK</v>
      </c>
    </row>
    <row r="3427" spans="1:4" x14ac:dyDescent="0.2">
      <c r="A3427" s="5">
        <v>3366</v>
      </c>
      <c r="B3427" s="138">
        <f>'Assets-Liab 5-6'!I4</f>
        <v>138953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384820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129936</v>
      </c>
      <c r="C3446" s="2" t="s">
        <v>594</v>
      </c>
      <c r="D3446" s="2" t="str">
        <f t="shared" si="52"/>
        <v>Error?</v>
      </c>
    </row>
    <row r="3447" spans="1:4" x14ac:dyDescent="0.2">
      <c r="A3447" s="5">
        <v>3386</v>
      </c>
      <c r="B3447" s="138">
        <f>'Tax Sched 23'!D16</f>
        <v>129936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249999</v>
      </c>
      <c r="C3449" s="2" t="s">
        <v>594</v>
      </c>
      <c r="D3449" s="2" t="str">
        <f t="shared" si="52"/>
        <v>Error?</v>
      </c>
    </row>
    <row r="3450" spans="1:4" x14ac:dyDescent="0.2">
      <c r="A3450" s="5">
        <v>3389</v>
      </c>
      <c r="B3450" s="138">
        <f>'Tax Sched 23'!E16</f>
        <v>249999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440685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440685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440685</v>
      </c>
      <c r="D3567" s="2" t="str">
        <f t="shared" si="54"/>
        <v>Error?</v>
      </c>
    </row>
    <row r="3568" spans="1:4" x14ac:dyDescent="0.2">
      <c r="A3568" s="5">
        <v>3507</v>
      </c>
      <c r="B3568" s="138">
        <f>'Assets-Liab 5-6'!K41</f>
        <v>440685</v>
      </c>
      <c r="C3568" s="2" t="s">
        <v>594</v>
      </c>
      <c r="D3568" s="2" t="str">
        <f t="shared" si="54"/>
        <v>Error?</v>
      </c>
    </row>
    <row r="3569" spans="1:4" x14ac:dyDescent="0.2">
      <c r="A3569" s="5">
        <v>3508</v>
      </c>
      <c r="B3569" s="138">
        <f>'Acct Summary 7-8'!K4</f>
        <v>63133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63133</v>
      </c>
      <c r="C3571" s="2" t="s">
        <v>594</v>
      </c>
      <c r="D3571" s="2" t="str">
        <f t="shared" si="54"/>
        <v>Error?</v>
      </c>
    </row>
    <row r="3572" spans="1:4" x14ac:dyDescent="0.2">
      <c r="A3572" s="5">
        <v>3511</v>
      </c>
      <c r="B3572" s="138">
        <f>'Acct Summary 7-8'!K13</f>
        <v>76374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76374</v>
      </c>
      <c r="C3575" s="2" t="s">
        <v>594</v>
      </c>
      <c r="D3575" s="2" t="str">
        <f t="shared" si="54"/>
        <v>Error?</v>
      </c>
    </row>
    <row r="3576" spans="1:4" x14ac:dyDescent="0.2">
      <c r="A3576" s="5">
        <v>3515</v>
      </c>
      <c r="B3576" s="138">
        <f>'Acct Summary 7-8'!K20</f>
        <v>-13241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-13241</v>
      </c>
      <c r="C3588" s="2" t="s">
        <v>594</v>
      </c>
      <c r="D3588" s="2" t="str">
        <f t="shared" si="55"/>
        <v>Error?</v>
      </c>
    </row>
    <row r="3589" spans="1:4" x14ac:dyDescent="0.2">
      <c r="A3589" s="5">
        <v>3528</v>
      </c>
      <c r="B3589" s="138">
        <f>'Acct Summary 7-8'!K79</f>
        <v>453926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440685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10801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10801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10801</v>
      </c>
      <c r="C3635" s="2" t="s">
        <v>594</v>
      </c>
      <c r="D3635" s="2" t="str">
        <f t="shared" si="55"/>
        <v>Error?</v>
      </c>
    </row>
    <row r="3636" spans="1:4" x14ac:dyDescent="0.2">
      <c r="A3636" s="5">
        <v>3575</v>
      </c>
      <c r="B3636" s="138">
        <f>'Expenditures 15-22'!E367</f>
        <v>10801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65573</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65573</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65573</v>
      </c>
      <c r="C3649" s="2" t="s">
        <v>594</v>
      </c>
      <c r="D3649" s="2" t="str">
        <f t="shared" si="56"/>
        <v>Error?</v>
      </c>
    </row>
    <row r="3650" spans="1:4" x14ac:dyDescent="0.2">
      <c r="A3650" s="5">
        <v>3589</v>
      </c>
      <c r="B3650" s="138">
        <f>'Expenditures 15-22'!G367</f>
        <v>65573</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76374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76374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76374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76374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-13241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57655</v>
      </c>
      <c r="C3725" s="2" t="s">
        <v>594</v>
      </c>
      <c r="D3725" s="2" t="str">
        <f t="shared" si="57"/>
        <v>Error?</v>
      </c>
    </row>
    <row r="3726" spans="1:4" x14ac:dyDescent="0.2">
      <c r="A3726" s="5">
        <v>3665</v>
      </c>
      <c r="B3726" s="138">
        <f>'Tax Sched 23'!D13</f>
        <v>57655</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58995</v>
      </c>
      <c r="C3728" s="2" t="s">
        <v>594</v>
      </c>
      <c r="D3728" s="2" t="str">
        <f t="shared" si="57"/>
        <v>Error?</v>
      </c>
    </row>
    <row r="3729" spans="1:4" x14ac:dyDescent="0.2">
      <c r="A3729" s="5">
        <v>3668</v>
      </c>
      <c r="B3729" s="138">
        <f>'Tax Sched 23'!E13</f>
        <v>58995</v>
      </c>
      <c r="D3729" s="2" t="str">
        <f t="shared" si="57"/>
        <v>Error?</v>
      </c>
    </row>
    <row r="3730" spans="1:4" x14ac:dyDescent="0.2">
      <c r="A3730" s="5">
        <v>3669</v>
      </c>
      <c r="B3730" s="138">
        <f>'ICR Computation 30'!E10</f>
        <v>243145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3754074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13659512</v>
      </c>
      <c r="C4122" s="2" t="s">
        <v>594</v>
      </c>
      <c r="D4122" s="2" t="str">
        <f t="shared" si="63"/>
        <v>Error?</v>
      </c>
    </row>
    <row r="4123" spans="1:4" x14ac:dyDescent="0.2">
      <c r="A4123" s="5">
        <v>4062</v>
      </c>
      <c r="B4123" s="138">
        <f>'Acct Summary 7-8'!D10</f>
        <v>614400</v>
      </c>
      <c r="C4123" s="2" t="s">
        <v>594</v>
      </c>
      <c r="D4123" s="2" t="str">
        <f t="shared" si="63"/>
        <v>Error?</v>
      </c>
    </row>
    <row r="4124" spans="1:4" x14ac:dyDescent="0.2">
      <c r="A4124" s="5">
        <v>4063</v>
      </c>
      <c r="B4124" s="138">
        <f>'Acct Summary 7-8'!E10</f>
        <v>1258681</v>
      </c>
      <c r="C4124" s="2" t="s">
        <v>594</v>
      </c>
      <c r="D4124" s="2" t="str">
        <f t="shared" si="63"/>
        <v>Error?</v>
      </c>
    </row>
    <row r="4125" spans="1:4" x14ac:dyDescent="0.2">
      <c r="A4125" s="5">
        <v>4064</v>
      </c>
      <c r="B4125" s="138">
        <f>'Acct Summary 7-8'!F10</f>
        <v>965565</v>
      </c>
      <c r="C4125" s="2" t="s">
        <v>594</v>
      </c>
      <c r="D4125" s="2" t="str">
        <f t="shared" si="63"/>
        <v>Error?</v>
      </c>
    </row>
    <row r="4126" spans="1:4" x14ac:dyDescent="0.2">
      <c r="A4126" s="5">
        <v>4065</v>
      </c>
      <c r="B4126" s="138">
        <f>'Acct Summary 7-8'!G10</f>
        <v>375300</v>
      </c>
      <c r="C4126" s="2" t="s">
        <v>594</v>
      </c>
      <c r="D4126" s="2" t="str">
        <f t="shared" si="63"/>
        <v>Error?</v>
      </c>
    </row>
    <row r="4127" spans="1:4" x14ac:dyDescent="0.2">
      <c r="A4127" s="5">
        <v>4066</v>
      </c>
      <c r="B4127" s="138">
        <f>'Acct Summary 7-8'!H10</f>
        <v>49292</v>
      </c>
      <c r="C4127" s="2" t="s">
        <v>594</v>
      </c>
      <c r="D4127" s="2" t="str">
        <f t="shared" si="63"/>
        <v>Error?</v>
      </c>
    </row>
    <row r="4128" spans="1:4" x14ac:dyDescent="0.2">
      <c r="A4128" s="5">
        <v>4067</v>
      </c>
      <c r="B4128" s="138">
        <f>'Acct Summary 7-8'!I10</f>
        <v>61020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63133</v>
      </c>
      <c r="C4130" s="2" t="s">
        <v>594</v>
      </c>
      <c r="D4130" s="2" t="str">
        <f t="shared" si="63"/>
        <v>Error?</v>
      </c>
    </row>
    <row r="4131" spans="1:4" x14ac:dyDescent="0.2">
      <c r="A4131" s="5">
        <v>4070</v>
      </c>
      <c r="B4131" s="138">
        <f>'Acct Summary 7-8'!C18</f>
        <v>3754074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12754737</v>
      </c>
      <c r="C4136" s="2" t="s">
        <v>594</v>
      </c>
      <c r="D4136" s="2" t="str">
        <f t="shared" si="63"/>
        <v>Error?</v>
      </c>
    </row>
    <row r="4137" spans="1:4" x14ac:dyDescent="0.2">
      <c r="A4137" s="5">
        <v>4076</v>
      </c>
      <c r="B4137" s="138">
        <f>'Acct Summary 7-8'!D19</f>
        <v>718047</v>
      </c>
      <c r="C4137" s="2" t="s">
        <v>594</v>
      </c>
      <c r="D4137" s="2" t="str">
        <f t="shared" si="63"/>
        <v>Error?</v>
      </c>
    </row>
    <row r="4138" spans="1:4" x14ac:dyDescent="0.2">
      <c r="A4138" s="5">
        <v>4077</v>
      </c>
      <c r="B4138" s="138">
        <f>'Acct Summary 7-8'!E19</f>
        <v>1310419</v>
      </c>
      <c r="C4138" s="2" t="s">
        <v>594</v>
      </c>
      <c r="D4138" s="2" t="str">
        <f t="shared" si="63"/>
        <v>Error?</v>
      </c>
    </row>
    <row r="4139" spans="1:4" x14ac:dyDescent="0.2">
      <c r="A4139" s="5">
        <v>4078</v>
      </c>
      <c r="B4139" s="138">
        <f>'Acct Summary 7-8'!F19</f>
        <v>1207379</v>
      </c>
      <c r="C4139" s="2" t="s">
        <v>594</v>
      </c>
      <c r="D4139" s="2" t="str">
        <f t="shared" si="63"/>
        <v>Error?</v>
      </c>
    </row>
    <row r="4140" spans="1:4" x14ac:dyDescent="0.2">
      <c r="A4140" s="5">
        <v>4079</v>
      </c>
      <c r="B4140" s="138">
        <f>'Acct Summary 7-8'!G19</f>
        <v>445259</v>
      </c>
      <c r="C4140" s="2" t="s">
        <v>594</v>
      </c>
      <c r="D4140" s="2" t="str">
        <f t="shared" si="63"/>
        <v>Error?</v>
      </c>
    </row>
    <row r="4141" spans="1:4" x14ac:dyDescent="0.2">
      <c r="A4141" s="5">
        <v>4080</v>
      </c>
      <c r="B4141" s="138">
        <f>'Acct Summary 7-8'!H19</f>
        <v>31381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76374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4424695</v>
      </c>
      <c r="C4171" s="2" t="s">
        <v>594</v>
      </c>
      <c r="D4171" s="2" t="str">
        <f t="shared" si="64"/>
        <v>Error?</v>
      </c>
    </row>
    <row r="4172" spans="1:4" x14ac:dyDescent="0.2">
      <c r="A4172" s="5">
        <v>4111</v>
      </c>
      <c r="B4172" s="138">
        <f>'Short-Term Long-Term Debt 24'!J49</f>
        <v>3733917</v>
      </c>
      <c r="C4172" s="2" t="s">
        <v>594</v>
      </c>
      <c r="D4172" s="2" t="str">
        <f t="shared" si="64"/>
        <v>Error?</v>
      </c>
    </row>
    <row r="4173" spans="1:4" x14ac:dyDescent="0.2">
      <c r="A4173" s="5">
        <v>4112</v>
      </c>
      <c r="B4173" s="138">
        <f>'Short-Term Long-Term Debt 24'!H49</f>
        <v>705189</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73499</v>
      </c>
      <c r="D4210" s="2" t="str">
        <f t="shared" si="64"/>
        <v>Error?</v>
      </c>
    </row>
    <row r="4211" spans="1:4" x14ac:dyDescent="0.2">
      <c r="A4211" s="5">
        <v>4150</v>
      </c>
      <c r="B4211" s="138">
        <f>'Expenditures 15-22'!K206</f>
        <v>73499</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1802.8700000000001</v>
      </c>
      <c r="C4265" s="2" t="s">
        <v>594</v>
      </c>
      <c r="D4265" s="2" t="str">
        <f t="shared" si="65"/>
        <v>Error?</v>
      </c>
      <c r="E4265" s="128"/>
    </row>
    <row r="4266" spans="1:5" x14ac:dyDescent="0.2">
      <c r="A4266" s="12">
        <v>4205</v>
      </c>
      <c r="B4266" s="138">
        <f>('FP Info 3'!F10)*100000</f>
        <v>489.84</v>
      </c>
      <c r="C4266" s="2" t="s">
        <v>594</v>
      </c>
      <c r="D4266" s="2" t="str">
        <f t="shared" si="65"/>
        <v>Error?</v>
      </c>
      <c r="E4266" s="128"/>
    </row>
    <row r="4267" spans="1:5" x14ac:dyDescent="0.2">
      <c r="A4267" s="12">
        <v>4206</v>
      </c>
      <c r="B4267" s="138">
        <f>('FP Info 3'!H10)*100000</f>
        <v>195.94</v>
      </c>
      <c r="C4267" s="2" t="s">
        <v>594</v>
      </c>
      <c r="D4267" s="2" t="str">
        <f t="shared" si="65"/>
        <v>Error?</v>
      </c>
      <c r="E4267" s="128"/>
    </row>
    <row r="4268" spans="1:5" x14ac:dyDescent="0.2">
      <c r="A4268" s="12">
        <v>4207</v>
      </c>
      <c r="B4268" s="138">
        <f>('FP Info 3'!J10)*100000</f>
        <v>2489</v>
      </c>
      <c r="C4268" s="2" t="s">
        <v>594</v>
      </c>
      <c r="D4268" s="2" t="str">
        <f t="shared" si="65"/>
        <v>Error?</v>
      </c>
    </row>
    <row r="4269" spans="1:5" x14ac:dyDescent="0.2">
      <c r="A4269" s="12">
        <v>4208</v>
      </c>
      <c r="B4269" s="138">
        <f>'FP Info 3'!J16</f>
        <v>3197185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26798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51694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23057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23057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11784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68226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47830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1681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127089900</v>
      </c>
      <c r="D4995" s="2" t="str">
        <f t="shared" si="77"/>
        <v>Error?</v>
      </c>
    </row>
    <row r="4996" spans="1:4" x14ac:dyDescent="0.2">
      <c r="A4996" s="12">
        <v>4935</v>
      </c>
      <c r="B4996" s="138">
        <f>'FP Info 3'!H31</f>
        <v>17538406.200000003</v>
      </c>
      <c r="D4996" s="2" t="str">
        <f t="shared" si="77"/>
        <v>Error?</v>
      </c>
    </row>
    <row r="4997" spans="1:4" x14ac:dyDescent="0.2">
      <c r="A4997" s="12">
        <v>4936</v>
      </c>
      <c r="B4997" s="138">
        <f>'FP Info 3'!H37</f>
        <v>4424695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57655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2121735</v>
      </c>
      <c r="D5061" s="2" t="str">
        <f t="shared" si="78"/>
        <v>Error?</v>
      </c>
    </row>
    <row r="5062" spans="1:4" x14ac:dyDescent="0.2">
      <c r="A5062" s="10">
        <v>5001</v>
      </c>
      <c r="D5062" s="2" t="str">
        <f t="shared" si="78"/>
        <v>OK</v>
      </c>
    </row>
    <row r="5063" spans="1:4" x14ac:dyDescent="0.2">
      <c r="A5063" s="5">
        <v>5002</v>
      </c>
      <c r="B5063" s="138">
        <f>'Revenues 9-14'!C7</f>
        <v>46127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2225517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147785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147785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44924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44924</v>
      </c>
      <c r="C5087" s="2" t="s">
        <v>594</v>
      </c>
      <c r="D5087" s="2" t="str">
        <f t="shared" si="78"/>
        <v>Error?</v>
      </c>
    </row>
    <row r="5088" spans="1:4" x14ac:dyDescent="0.2">
      <c r="A5088" s="5">
        <v>5027</v>
      </c>
      <c r="B5088" s="138">
        <f>'Revenues 9-14'!C65</f>
        <v>22600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22600</v>
      </c>
      <c r="C5090" s="2" t="s">
        <v>594</v>
      </c>
      <c r="D5090" s="2" t="str">
        <f t="shared" si="78"/>
        <v>Error?</v>
      </c>
    </row>
    <row r="5091" spans="1:4" x14ac:dyDescent="0.2">
      <c r="A5091" s="5">
        <v>5030</v>
      </c>
      <c r="B5091" s="138">
        <f>'Revenues 9-14'!C70</f>
        <v>2915</v>
      </c>
      <c r="D5091" s="2" t="str">
        <f t="shared" si="78"/>
        <v>Error?</v>
      </c>
    </row>
    <row r="5092" spans="1:4" x14ac:dyDescent="0.2">
      <c r="A5092" s="5">
        <v>5031</v>
      </c>
      <c r="B5092" s="138">
        <f>'Revenues 9-14'!C71</f>
        <v>23467</v>
      </c>
      <c r="D5092" s="2" t="str">
        <f t="shared" si="78"/>
        <v>Error?</v>
      </c>
    </row>
    <row r="5093" spans="1:4" x14ac:dyDescent="0.2">
      <c r="A5093" s="5">
        <v>5032</v>
      </c>
      <c r="B5093" s="138">
        <f>'Revenues 9-14'!C72</f>
        <v>3183</v>
      </c>
      <c r="D5093" s="2" t="str">
        <f t="shared" si="78"/>
        <v>Error?</v>
      </c>
    </row>
    <row r="5094" spans="1:4" x14ac:dyDescent="0.2">
      <c r="A5094" s="5">
        <v>5033</v>
      </c>
      <c r="B5094" s="138">
        <f>'Revenues 9-14'!C73</f>
        <v>10071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204886</v>
      </c>
      <c r="C5096" s="2" t="s">
        <v>594</v>
      </c>
      <c r="D5096" s="2" t="str">
        <f t="shared" si="78"/>
        <v>Error?</v>
      </c>
    </row>
    <row r="5097" spans="1:4" x14ac:dyDescent="0.2">
      <c r="A5097" s="5">
        <v>5036</v>
      </c>
      <c r="B5097" s="138">
        <f>'Revenues 9-14'!C77</f>
        <v>46557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46557</v>
      </c>
      <c r="C5102" s="2" t="s">
        <v>594</v>
      </c>
      <c r="D5102" s="2" t="str">
        <f t="shared" si="78"/>
        <v>Error?</v>
      </c>
    </row>
    <row r="5103" spans="1:4" x14ac:dyDescent="0.2">
      <c r="A5103" s="5">
        <v>5042</v>
      </c>
      <c r="B5103" s="138">
        <f>'Revenues 9-14'!C84</f>
        <v>35670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35670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229384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5265</v>
      </c>
      <c r="D5117" s="2" t="str">
        <f t="shared" si="78"/>
        <v>Error?</v>
      </c>
    </row>
    <row r="5118" spans="1:4" x14ac:dyDescent="0.2">
      <c r="A5118" s="5">
        <v>5057</v>
      </c>
      <c r="B5118" s="138">
        <f>'Revenues 9-14'!C106</f>
        <v>8089</v>
      </c>
      <c r="D5118" s="2" t="str">
        <f t="shared" si="78"/>
        <v>Error?</v>
      </c>
    </row>
    <row r="5119" spans="1:4" x14ac:dyDescent="0.2">
      <c r="A5119" s="5">
        <v>5058</v>
      </c>
      <c r="B5119" s="138">
        <f>'Revenues 9-14'!C107</f>
        <v>8243</v>
      </c>
      <c r="D5119" s="2" t="str">
        <f t="shared" ref="D5119:D5182" si="79">IF(ISBLANK(B5119),"OK",IF(A5119-B5119=0,"OK","Error?"))</f>
        <v>Error?</v>
      </c>
    </row>
    <row r="5120" spans="1:4" x14ac:dyDescent="0.2">
      <c r="A5120" s="5">
        <v>5059</v>
      </c>
      <c r="B5120" s="138">
        <f>'Revenues 9-14'!C108</f>
        <v>311081</v>
      </c>
      <c r="C5120" s="2" t="s">
        <v>594</v>
      </c>
      <c r="D5120" s="2" t="str">
        <f t="shared" si="79"/>
        <v>Error?</v>
      </c>
    </row>
    <row r="5121" spans="1:4" x14ac:dyDescent="0.2">
      <c r="A5121" s="5">
        <v>5060</v>
      </c>
      <c r="B5121" s="138">
        <f>'Revenues 9-14'!C109</f>
        <v>3039020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5077389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5077389</v>
      </c>
      <c r="C5132" s="2" t="s">
        <v>594</v>
      </c>
      <c r="D5132" s="2" t="str">
        <f t="shared" si="79"/>
        <v>Error?</v>
      </c>
    </row>
    <row r="5133" spans="1:4" x14ac:dyDescent="0.2">
      <c r="A5133" s="5">
        <v>5072</v>
      </c>
      <c r="B5133" s="138">
        <f>'Revenues 9-14'!C124</f>
        <v>12610</v>
      </c>
      <c r="D5133" s="2" t="str">
        <f t="shared" si="79"/>
        <v>Error?</v>
      </c>
    </row>
    <row r="5134" spans="1:4" x14ac:dyDescent="0.2">
      <c r="A5134" s="5">
        <v>5073</v>
      </c>
      <c r="B5134" s="138">
        <f>'Revenues 9-14'!C125</f>
        <v>85180</v>
      </c>
      <c r="D5134" s="2" t="str">
        <f t="shared" si="79"/>
        <v>Error?</v>
      </c>
    </row>
    <row r="5135" spans="1:4" x14ac:dyDescent="0.2">
      <c r="A5135" s="5">
        <v>5074</v>
      </c>
      <c r="B5135" s="138">
        <f>'Revenues 9-14'!C126</f>
        <v>143558</v>
      </c>
      <c r="D5135" s="2" t="str">
        <f t="shared" si="79"/>
        <v>Error?</v>
      </c>
    </row>
    <row r="5136" spans="1:4" x14ac:dyDescent="0.2">
      <c r="A5136" s="10">
        <v>5075</v>
      </c>
      <c r="D5136" s="2" t="str">
        <f t="shared" si="79"/>
        <v>OK</v>
      </c>
    </row>
    <row r="5137" spans="1:4" x14ac:dyDescent="0.2">
      <c r="A5137" s="5">
        <v>5076</v>
      </c>
      <c r="B5137" s="138">
        <f>'Revenues 9-14'!C127</f>
        <v>50375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291883</v>
      </c>
      <c r="C5147" s="2" t="s">
        <v>594</v>
      </c>
      <c r="D5147" s="2" t="str">
        <f t="shared" si="79"/>
        <v>Error?</v>
      </c>
    </row>
    <row r="5148" spans="1:4" x14ac:dyDescent="0.2">
      <c r="A5148" s="5">
        <v>5087</v>
      </c>
      <c r="B5148" s="138">
        <f>'Revenues 9-14'!C133</f>
        <v>43976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55925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6331</v>
      </c>
      <c r="D5167" s="2" t="str">
        <f t="shared" si="79"/>
        <v>Error?</v>
      </c>
    </row>
    <row r="5168" spans="1:4" x14ac:dyDescent="0.2">
      <c r="A5168" s="5">
        <v>5107</v>
      </c>
      <c r="B5168" s="138">
        <f>'Revenues 9-14'!C147</f>
        <v>19061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52355</v>
      </c>
      <c r="D5194" s="2" t="str">
        <f t="shared" si="80"/>
        <v>Error?</v>
      </c>
    </row>
    <row r="5195" spans="1:4" x14ac:dyDescent="0.2">
      <c r="A5195" s="10">
        <v>5134</v>
      </c>
      <c r="D5195" s="2" t="str">
        <f t="shared" si="80"/>
        <v>OK</v>
      </c>
    </row>
    <row r="5196" spans="1:4" x14ac:dyDescent="0.2">
      <c r="A5196" s="5">
        <v>5135</v>
      </c>
      <c r="B5196" s="138">
        <f>'Revenues 9-14'!C158</f>
        <v>272783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700019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5777408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262399</v>
      </c>
      <c r="D5239" s="2" t="str">
        <f t="shared" si="80"/>
        <v>Error?</v>
      </c>
    </row>
    <row r="5240" spans="1:4" x14ac:dyDescent="0.2">
      <c r="A5240" s="5">
        <v>5179</v>
      </c>
      <c r="B5240" s="138">
        <f>'Revenues 9-14'!C195</f>
        <v>1266</v>
      </c>
      <c r="D5240" s="2" t="str">
        <f t="shared" si="80"/>
        <v>Error?</v>
      </c>
    </row>
    <row r="5241" spans="1:4" x14ac:dyDescent="0.2">
      <c r="A5241" s="5">
        <v>5180</v>
      </c>
      <c r="B5241" s="138">
        <f>'Revenues 9-14'!C196</f>
        <v>124322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387987</v>
      </c>
      <c r="C5246" s="2" t="s">
        <v>594</v>
      </c>
      <c r="D5246" s="2" t="str">
        <f t="shared" si="80"/>
        <v>Error?</v>
      </c>
    </row>
    <row r="5247" spans="1:4" x14ac:dyDescent="0.2">
      <c r="A5247" s="5">
        <v>5186</v>
      </c>
      <c r="B5247" s="138">
        <f>'Revenues 9-14'!C203</f>
        <v>398653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11784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398653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120811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120811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1089010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1089010</v>
      </c>
      <c r="C5326" s="2" t="s">
        <v>594</v>
      </c>
      <c r="D5326" s="2" t="str">
        <f t="shared" si="82"/>
        <v>Error?</v>
      </c>
    </row>
    <row r="5327" spans="1:4" x14ac:dyDescent="0.2">
      <c r="A5327" s="5">
        <v>5266</v>
      </c>
      <c r="B5327" s="138">
        <f>'Revenues 9-14'!C275</f>
        <v>9905438</v>
      </c>
      <c r="C5327" s="2" t="s">
        <v>594</v>
      </c>
      <c r="D5327" s="2" t="str">
        <f t="shared" si="82"/>
        <v>Error?</v>
      </c>
    </row>
    <row r="5328" spans="1:4" x14ac:dyDescent="0.2">
      <c r="A5328" s="5">
        <v>5267</v>
      </c>
      <c r="B5328" s="138">
        <f>'Revenues 9-14'!D5</f>
        <v>576557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576557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10501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10501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3731</v>
      </c>
      <c r="D5349" s="2" t="str">
        <f t="shared" si="82"/>
        <v>Error?</v>
      </c>
    </row>
    <row r="5350" spans="1:4" x14ac:dyDescent="0.2">
      <c r="A5350" s="5">
        <v>5289</v>
      </c>
      <c r="B5350" s="138">
        <f>'Revenues 9-14'!D96</f>
        <v>13090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496</v>
      </c>
      <c r="D5354" s="2" t="str">
        <f t="shared" si="82"/>
        <v>Error?</v>
      </c>
    </row>
    <row r="5355" spans="1:4" x14ac:dyDescent="0.2">
      <c r="A5355" s="5">
        <v>5294</v>
      </c>
      <c r="B5355" s="138">
        <f>'Revenues 9-14'!D108</f>
        <v>17317</v>
      </c>
      <c r="C5355" s="2" t="s">
        <v>594</v>
      </c>
      <c r="D5355" s="2" t="str">
        <f t="shared" si="82"/>
        <v>Error?</v>
      </c>
    </row>
    <row r="5356" spans="1:4" x14ac:dyDescent="0.2">
      <c r="A5356" s="5">
        <v>5295</v>
      </c>
      <c r="B5356" s="138">
        <f>'Revenues 9-14'!D109</f>
        <v>604375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10025</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10025</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10025</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614400</v>
      </c>
      <c r="C5508" s="2" t="s">
        <v>594</v>
      </c>
      <c r="D5508" s="2" t="str">
        <f t="shared" si="85"/>
        <v>Error?</v>
      </c>
    </row>
    <row r="5509" spans="1:4" x14ac:dyDescent="0.2">
      <c r="A5509" s="5">
        <v>5448</v>
      </c>
      <c r="B5509" s="138">
        <f>'Revenues 9-14'!E5</f>
        <v>831430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831430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8089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8089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419162</v>
      </c>
      <c r="C5526" s="2" t="s">
        <v>594</v>
      </c>
      <c r="D5526" s="2" t="str">
        <f t="shared" si="85"/>
        <v>Error?</v>
      </c>
    </row>
    <row r="5527" spans="1:4" x14ac:dyDescent="0.2">
      <c r="A5527" s="5">
        <v>5466</v>
      </c>
      <c r="B5527" s="138">
        <f>'Revenues 9-14'!E109</f>
        <v>1258681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1258681</v>
      </c>
      <c r="C5552" s="2" t="s">
        <v>594</v>
      </c>
      <c r="D5552" s="2" t="str">
        <f t="shared" si="85"/>
        <v>Error?</v>
      </c>
    </row>
    <row r="5553" spans="1:4" x14ac:dyDescent="0.2">
      <c r="A5553" s="5">
        <v>5492</v>
      </c>
      <c r="B5553" s="138">
        <f>'Revenues 9-14'!F5</f>
        <v>230624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230624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2982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1486</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4468</v>
      </c>
      <c r="C5579" s="2" t="s">
        <v>594</v>
      </c>
      <c r="D5579" s="2" t="str">
        <f t="shared" si="86"/>
        <v>Error?</v>
      </c>
    </row>
    <row r="5580" spans="1:4" x14ac:dyDescent="0.2">
      <c r="A5580" s="5">
        <v>5519</v>
      </c>
      <c r="B5580" s="138">
        <f>'Revenues 9-14'!F65</f>
        <v>3530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3530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238622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80000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80000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393520</v>
      </c>
      <c r="D5615" s="2" t="str">
        <f t="shared" si="86"/>
        <v>Error?</v>
      </c>
    </row>
    <row r="5616" spans="1:4" x14ac:dyDescent="0.2">
      <c r="A5616" s="10">
        <v>5555</v>
      </c>
      <c r="D5616" s="2" t="str">
        <f t="shared" si="86"/>
        <v>OK</v>
      </c>
    </row>
    <row r="5617" spans="1:4" x14ac:dyDescent="0.2">
      <c r="A5617" s="5">
        <v>5556</v>
      </c>
      <c r="B5617" s="138">
        <f>'Revenues 9-14'!F152</f>
        <v>182028</v>
      </c>
      <c r="D5617" s="2" t="str">
        <f t="shared" si="86"/>
        <v>Error?</v>
      </c>
    </row>
    <row r="5618" spans="1:4" x14ac:dyDescent="0.2">
      <c r="A5618" s="5">
        <v>5557</v>
      </c>
      <c r="B5618" s="138">
        <f>'Revenues 9-14'!F154</f>
        <v>575548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71395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646943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726943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965565</v>
      </c>
      <c r="C5720" s="2" t="s">
        <v>594</v>
      </c>
      <c r="D5720" s="2" t="str">
        <f t="shared" si="88"/>
        <v>Error?</v>
      </c>
    </row>
    <row r="5721" spans="1:4" x14ac:dyDescent="0.2">
      <c r="A5721" s="5">
        <v>5660</v>
      </c>
      <c r="B5721" s="138">
        <f>'Revenues 9-14'!G5</f>
        <v>209901</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129936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339837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32098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32098</v>
      </c>
      <c r="C5730" s="2" t="s">
        <v>594</v>
      </c>
      <c r="D5730" s="2" t="str">
        <f t="shared" si="88"/>
        <v>Error?</v>
      </c>
    </row>
    <row r="5731" spans="1:4" x14ac:dyDescent="0.2">
      <c r="A5731" s="5">
        <v>5670</v>
      </c>
      <c r="B5731" s="138">
        <f>'Revenues 9-14'!G65</f>
        <v>3365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3365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375300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1445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1445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47847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49292</v>
      </c>
      <c r="C5915" s="2" t="s">
        <v>594</v>
      </c>
      <c r="D5915" s="2" t="str">
        <f t="shared" si="91"/>
        <v>Error?</v>
      </c>
    </row>
    <row r="5916" spans="1:4" x14ac:dyDescent="0.2">
      <c r="A5916" s="5">
        <v>5855</v>
      </c>
      <c r="B5916" s="138">
        <f>'Revenues 9-14'!I5</f>
        <v>57655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57655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3365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3365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61020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57655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57655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5478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5478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63133</v>
      </c>
      <c r="C6023" s="2" t="s">
        <v>594</v>
      </c>
      <c r="D6023" s="2" t="str">
        <f t="shared" si="93"/>
        <v>Error?</v>
      </c>
    </row>
    <row r="6024" spans="1:5" x14ac:dyDescent="0.2">
      <c r="A6024" s="5">
        <v>5963</v>
      </c>
      <c r="B6024" s="138">
        <f>'Revenues 9-14'!G109</f>
        <v>375300</v>
      </c>
      <c r="C6024" s="2" t="s">
        <v>594</v>
      </c>
      <c r="D6024" s="2" t="str">
        <f t="shared" si="93"/>
        <v>Error?</v>
      </c>
    </row>
    <row r="6025" spans="1:5" x14ac:dyDescent="0.2">
      <c r="A6025" s="5">
        <v>5964</v>
      </c>
      <c r="B6025" s="138">
        <f>'Revenues 9-14'!H109</f>
        <v>49292</v>
      </c>
      <c r="C6025" s="2" t="s">
        <v>594</v>
      </c>
      <c r="D6025" s="2" t="str">
        <f t="shared" si="93"/>
        <v>Error?</v>
      </c>
    </row>
    <row r="6026" spans="1:5" x14ac:dyDescent="0.2">
      <c r="A6026" s="5">
        <v>5965</v>
      </c>
      <c r="B6026" s="138">
        <f>'Revenues 9-14'!I109</f>
        <v>61020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63133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165250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44946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1137.9000000000001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209114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209114</v>
      </c>
      <c r="D6215" s="2" t="str">
        <f t="shared" si="96"/>
        <v>Error?</v>
      </c>
      <c r="E6215" s="2" t="s">
        <v>199</v>
      </c>
    </row>
    <row r="6216" spans="1:5" x14ac:dyDescent="0.2">
      <c r="A6216">
        <v>6155</v>
      </c>
      <c r="B6216" s="138">
        <f>'Assets-Liab 5-6'!J41</f>
        <v>209114</v>
      </c>
      <c r="D6216" s="2" t="str">
        <f t="shared" si="96"/>
        <v>Error?</v>
      </c>
      <c r="E6216" s="2" t="s">
        <v>199</v>
      </c>
    </row>
    <row r="6217" spans="1:5" x14ac:dyDescent="0.2">
      <c r="A6217">
        <v>6156</v>
      </c>
      <c r="B6217" s="138">
        <f>'Assets-Liab 5-6'!J4</f>
        <v>209114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427943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427943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427943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399586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399586</v>
      </c>
      <c r="D6229" s="2" t="str">
        <f t="shared" si="96"/>
        <v>Error?</v>
      </c>
      <c r="E6229" s="2" t="s">
        <v>199</v>
      </c>
    </row>
    <row r="6230" spans="1:5" x14ac:dyDescent="0.2">
      <c r="A6230">
        <v>6169</v>
      </c>
      <c r="B6230" s="138">
        <f>'Acct Summary 7-8'!J20</f>
        <v>28357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57382</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28357</v>
      </c>
      <c r="D6263" s="2" t="str">
        <f t="shared" si="96"/>
        <v>Error?</v>
      </c>
      <c r="E6263" s="2" t="s">
        <v>199</v>
      </c>
    </row>
    <row r="6264" spans="1:5" x14ac:dyDescent="0.2">
      <c r="A6264">
        <v>6203</v>
      </c>
      <c r="B6264" s="138">
        <f>'Acct Summary 7-8'!J79</f>
        <v>180757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209114</v>
      </c>
      <c r="D6266" s="2" t="str">
        <f t="shared" si="96"/>
        <v>Error?</v>
      </c>
      <c r="E6266" s="2" t="s">
        <v>199</v>
      </c>
    </row>
    <row r="6267" spans="1:5" x14ac:dyDescent="0.2">
      <c r="A6267">
        <v>6206</v>
      </c>
      <c r="B6267" s="138">
        <f>'Acct Summary 7-8'!C82</f>
        <v>885704</v>
      </c>
      <c r="D6267" s="2" t="str">
        <f t="shared" si="96"/>
        <v>Error?</v>
      </c>
      <c r="E6267" s="2" t="s">
        <v>199</v>
      </c>
    </row>
    <row r="6268" spans="1:5" x14ac:dyDescent="0.2">
      <c r="A6268">
        <v>6207</v>
      </c>
      <c r="B6268" s="138">
        <f>'Acct Summary 7-8'!D82</f>
        <v>-103647</v>
      </c>
      <c r="D6268" s="2" t="str">
        <f t="shared" si="96"/>
        <v>Error?</v>
      </c>
      <c r="E6268" s="2" t="s">
        <v>199</v>
      </c>
    </row>
    <row r="6269" spans="1:5" x14ac:dyDescent="0.2">
      <c r="A6269">
        <v>6208</v>
      </c>
      <c r="B6269" s="138">
        <f>'Acct Summary 7-8'!E82</f>
        <v>5644</v>
      </c>
      <c r="D6269" s="2" t="str">
        <f t="shared" si="96"/>
        <v>Error?</v>
      </c>
      <c r="E6269" s="2" t="s">
        <v>199</v>
      </c>
    </row>
    <row r="6270" spans="1:5" x14ac:dyDescent="0.2">
      <c r="A6270">
        <v>6209</v>
      </c>
      <c r="B6270" s="138">
        <f>'Acct Summary 7-8'!F82</f>
        <v>104394</v>
      </c>
      <c r="D6270" s="2" t="str">
        <f t="shared" si="96"/>
        <v>Error?</v>
      </c>
      <c r="E6270" s="2" t="s">
        <v>199</v>
      </c>
    </row>
    <row r="6271" spans="1:5" x14ac:dyDescent="0.2">
      <c r="A6271">
        <v>6210</v>
      </c>
      <c r="B6271" s="138">
        <f>'Acct Summary 7-8'!G82</f>
        <v>-69959</v>
      </c>
      <c r="D6271" s="2" t="str">
        <f t="shared" ref="D6271:D6334" si="97">IF(ISBLANK(B6271),"OK",IF(A6271-B6271=0,"OK","Error?"))</f>
        <v>Error?</v>
      </c>
      <c r="E6271" s="2" t="s">
        <v>199</v>
      </c>
    </row>
    <row r="6272" spans="1:5" x14ac:dyDescent="0.2">
      <c r="A6272">
        <v>6211</v>
      </c>
      <c r="B6272" s="138">
        <f>'Acct Summary 7-8'!H82</f>
        <v>17911</v>
      </c>
      <c r="D6272" s="2" t="str">
        <f t="shared" si="97"/>
        <v>Error?</v>
      </c>
      <c r="E6272" s="2" t="s">
        <v>199</v>
      </c>
    </row>
    <row r="6273" spans="1:5" x14ac:dyDescent="0.2">
      <c r="A6273">
        <v>6212</v>
      </c>
      <c r="B6273" s="138">
        <f>'Acct Summary 7-8'!I82</f>
        <v>-42346</v>
      </c>
      <c r="D6273" s="2" t="str">
        <f t="shared" si="97"/>
        <v>Error?</v>
      </c>
      <c r="E6273" s="2" t="s">
        <v>199</v>
      </c>
    </row>
    <row r="6274" spans="1:5" x14ac:dyDescent="0.2">
      <c r="A6274">
        <v>6213</v>
      </c>
      <c r="B6274" s="138">
        <f>'Acct Summary 7-8'!J82</f>
        <v>28357</v>
      </c>
      <c r="D6274" s="2" t="str">
        <f t="shared" si="97"/>
        <v>Error?</v>
      </c>
      <c r="E6274" s="2" t="s">
        <v>199</v>
      </c>
    </row>
    <row r="6275" spans="1:5" x14ac:dyDescent="0.2">
      <c r="A6275">
        <v>6214</v>
      </c>
      <c r="B6275" s="138">
        <f>'Acct Summary 7-8'!K82</f>
        <v>-13241</v>
      </c>
      <c r="D6275" s="2" t="str">
        <f t="shared" si="97"/>
        <v>Error?</v>
      </c>
      <c r="E6275" s="2" t="s">
        <v>199</v>
      </c>
    </row>
    <row r="6276" spans="1:5" x14ac:dyDescent="0.2">
      <c r="A6276">
        <v>6215</v>
      </c>
      <c r="B6276" s="138">
        <f>'Acct Summary 7-8'!C83</f>
        <v>0.47123244524747437</v>
      </c>
      <c r="D6276" s="2" t="str">
        <f t="shared" si="97"/>
        <v>Error?</v>
      </c>
      <c r="E6276" s="2" t="s">
        <v>199</v>
      </c>
    </row>
    <row r="6277" spans="1:5" x14ac:dyDescent="0.2">
      <c r="A6277">
        <v>6216</v>
      </c>
      <c r="B6277" s="138">
        <f>'Acct Summary 7-8'!D83</f>
        <v>-0.15534086804561592</v>
      </c>
      <c r="D6277" s="2" t="str">
        <f t="shared" si="97"/>
        <v>Error?</v>
      </c>
      <c r="E6277" s="2" t="s">
        <v>199</v>
      </c>
    </row>
    <row r="6278" spans="1:5" x14ac:dyDescent="0.2">
      <c r="A6278">
        <v>6217</v>
      </c>
      <c r="B6278" s="138">
        <f>'Acct Summary 7-8'!E83</f>
        <v>8.1704976128365407E-3</v>
      </c>
      <c r="D6278" s="2" t="str">
        <f t="shared" si="97"/>
        <v>Error?</v>
      </c>
      <c r="E6278" s="2" t="s">
        <v>199</v>
      </c>
    </row>
    <row r="6279" spans="1:5" x14ac:dyDescent="0.2">
      <c r="A6279">
        <v>6218</v>
      </c>
      <c r="B6279" s="138">
        <f>'Acct Summary 7-8'!F83</f>
        <v>0.33559972610402261</v>
      </c>
      <c r="D6279" s="2" t="str">
        <f t="shared" si="97"/>
        <v>Error?</v>
      </c>
      <c r="E6279" s="2" t="s">
        <v>199</v>
      </c>
    </row>
    <row r="6280" spans="1:5" x14ac:dyDescent="0.2">
      <c r="A6280">
        <v>6219</v>
      </c>
      <c r="B6280" s="138">
        <f>'Acct Summary 7-8'!G83</f>
        <v>-0.45839885726267232</v>
      </c>
      <c r="D6280" s="2" t="str">
        <f t="shared" si="97"/>
        <v>Error?</v>
      </c>
      <c r="E6280" s="2" t="s">
        <v>199</v>
      </c>
    </row>
    <row r="6281" spans="1:5" x14ac:dyDescent="0.2">
      <c r="A6281">
        <v>6220</v>
      </c>
      <c r="B6281" s="138">
        <f>'Acct Summary 7-8'!H83</f>
        <v>0.12148239587077871</v>
      </c>
      <c r="D6281" s="2" t="str">
        <f t="shared" si="97"/>
        <v>Error?</v>
      </c>
      <c r="E6281" s="2" t="s">
        <v>199</v>
      </c>
    </row>
    <row r="6282" spans="1:5" x14ac:dyDescent="0.2">
      <c r="A6282">
        <v>6221</v>
      </c>
      <c r="B6282" s="138">
        <f>'Acct Summary 7-8'!I83</f>
        <v>-0.12478672273513543</v>
      </c>
      <c r="D6282" s="2" t="str">
        <f t="shared" si="97"/>
        <v>Error?</v>
      </c>
      <c r="E6282" s="2" t="s">
        <v>199</v>
      </c>
    </row>
    <row r="6283" spans="1:5" x14ac:dyDescent="0.2">
      <c r="A6283">
        <v>6222</v>
      </c>
      <c r="B6283" s="138">
        <f>'Acct Summary 7-8'!J83</f>
        <v>0.13560545922319883</v>
      </c>
      <c r="D6283" s="2" t="str">
        <f t="shared" si="97"/>
        <v>Error?</v>
      </c>
      <c r="E6283" s="2" t="s">
        <v>199</v>
      </c>
    </row>
    <row r="6284" spans="1:5" x14ac:dyDescent="0.2">
      <c r="A6284">
        <v>6223</v>
      </c>
      <c r="B6284" s="138">
        <f>'Acct Summary 7-8'!K83</f>
        <v>-3.004640502853512E-2</v>
      </c>
      <c r="D6284" s="2" t="str">
        <f t="shared" si="97"/>
        <v>Error?</v>
      </c>
      <c r="E6284" s="2" t="s">
        <v>199</v>
      </c>
    </row>
    <row r="6285" spans="1:5" x14ac:dyDescent="0.2">
      <c r="A6285">
        <v>6224</v>
      </c>
      <c r="B6285" s="138">
        <f>'Acct Summary 7-8'!E37</f>
        <v>57382</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424797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424797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3146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3146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12270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427943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11063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886</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120827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171397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65450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470168</v>
      </c>
      <c r="D6983" s="2" t="str">
        <f t="shared" si="108"/>
        <v>Error?</v>
      </c>
    </row>
    <row r="6984" spans="1:4" x14ac:dyDescent="0.2">
      <c r="A6984">
        <v>6923</v>
      </c>
      <c r="B6984" s="138">
        <f>'Expenditures 15-22'!K86</f>
        <v>470168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470168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399586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427943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6280</v>
      </c>
      <c r="D7067" s="2" t="str">
        <f t="shared" si="109"/>
        <v>Error?</v>
      </c>
    </row>
    <row r="7068" spans="1:4" x14ac:dyDescent="0.2">
      <c r="A7068">
        <v>7007</v>
      </c>
      <c r="B7068" s="138">
        <f>'Expenditures 15-22'!K205</f>
        <v>6280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10206</v>
      </c>
      <c r="D7073" s="2" t="str">
        <f t="shared" si="109"/>
        <v>Error?</v>
      </c>
    </row>
    <row r="7074" spans="1:4" x14ac:dyDescent="0.2">
      <c r="A7074">
        <v>7013</v>
      </c>
      <c r="B7074" s="138">
        <f>'Expenditures 15-22'!K216</f>
        <v>10206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707</v>
      </c>
      <c r="D7079" s="2" t="str">
        <f t="shared" si="109"/>
        <v>Error?</v>
      </c>
    </row>
    <row r="7080" spans="1:4" x14ac:dyDescent="0.2">
      <c r="A7080">
        <v>7019</v>
      </c>
      <c r="B7080" s="138">
        <f>'Expenditures 15-22'!K226</f>
        <v>707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15449</v>
      </c>
      <c r="D7093" s="2" t="str">
        <f t="shared" si="109"/>
        <v>Error?</v>
      </c>
    </row>
    <row r="7094" spans="1:4" x14ac:dyDescent="0.2">
      <c r="A7094">
        <v>7033</v>
      </c>
      <c r="B7094" s="138">
        <f>'Expenditures 15-22'!K254</f>
        <v>15449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58184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58184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12371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12371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96337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96337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156289</v>
      </c>
      <c r="D7172" s="2" t="str">
        <f t="shared" si="111"/>
        <v>Error?</v>
      </c>
    </row>
    <row r="7173" spans="1:4" x14ac:dyDescent="0.2">
      <c r="A7173">
        <v>7112</v>
      </c>
      <c r="B7173" s="138">
        <f>'Expenditures 15-22'!D325</f>
        <v>16856</v>
      </c>
      <c r="D7173" s="2" t="str">
        <f t="shared" si="111"/>
        <v>Error?</v>
      </c>
    </row>
    <row r="7174" spans="1:4" x14ac:dyDescent="0.2">
      <c r="A7174">
        <v>7113</v>
      </c>
      <c r="B7174" s="138">
        <f>'Expenditures 15-22'!E325</f>
        <v>49399</v>
      </c>
      <c r="D7174" s="2" t="str">
        <f t="shared" si="111"/>
        <v>Error?</v>
      </c>
    </row>
    <row r="7175" spans="1:4" x14ac:dyDescent="0.2">
      <c r="A7175">
        <v>7114</v>
      </c>
      <c r="B7175" s="138">
        <f>'Expenditures 15-22'!F325</f>
        <v>7857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2293</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232694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156289</v>
      </c>
      <c r="D7199" s="2" t="str">
        <f t="shared" si="111"/>
        <v>Error?</v>
      </c>
    </row>
    <row r="7200" spans="1:4" x14ac:dyDescent="0.2">
      <c r="A7200">
        <v>7139</v>
      </c>
      <c r="B7200" s="138">
        <f>'Expenditures 15-22'!D330</f>
        <v>16856</v>
      </c>
      <c r="D7200" s="2" t="str">
        <f t="shared" si="111"/>
        <v>Error?</v>
      </c>
    </row>
    <row r="7201" spans="1:4" x14ac:dyDescent="0.2">
      <c r="A7201">
        <v>7140</v>
      </c>
      <c r="B7201" s="138">
        <f>'Expenditures 15-22'!E330</f>
        <v>216291</v>
      </c>
      <c r="D7201" s="2" t="str">
        <f t="shared" si="111"/>
        <v>Error?</v>
      </c>
    </row>
    <row r="7202" spans="1:4" x14ac:dyDescent="0.2">
      <c r="A7202">
        <v>7141</v>
      </c>
      <c r="B7202" s="138">
        <f>'Expenditures 15-22'!F330</f>
        <v>7857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2293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399586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156289</v>
      </c>
      <c r="D7216" s="2" t="str">
        <f t="shared" si="111"/>
        <v>Error?</v>
      </c>
    </row>
    <row r="7217" spans="1:4" x14ac:dyDescent="0.2">
      <c r="A7217">
        <v>7156</v>
      </c>
      <c r="B7217" s="138">
        <f>'Expenditures 15-22'!D342</f>
        <v>16856</v>
      </c>
      <c r="D7217" s="2" t="str">
        <f t="shared" si="111"/>
        <v>Error?</v>
      </c>
    </row>
    <row r="7218" spans="1:4" x14ac:dyDescent="0.2">
      <c r="A7218">
        <v>7157</v>
      </c>
      <c r="B7218" s="138">
        <f>'Expenditures 15-22'!E342</f>
        <v>216291</v>
      </c>
      <c r="D7218" s="2" t="str">
        <f t="shared" si="111"/>
        <v>Error?</v>
      </c>
    </row>
    <row r="7219" spans="1:4" x14ac:dyDescent="0.2">
      <c r="A7219">
        <v>7158</v>
      </c>
      <c r="B7219" s="138">
        <f>'Expenditures 15-22'!F342</f>
        <v>7857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2293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399586</v>
      </c>
      <c r="D7224" s="2" t="str">
        <f t="shared" si="111"/>
        <v>Error?</v>
      </c>
    </row>
    <row r="7225" spans="1:4" x14ac:dyDescent="0.2">
      <c r="A7225">
        <v>7164</v>
      </c>
      <c r="B7225" s="138">
        <f>'Expenditures 15-22'!K343</f>
        <v>28357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32886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17684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49134</v>
      </c>
      <c r="D7263" s="2" t="str">
        <f t="shared" si="112"/>
        <v>Error?</v>
      </c>
    </row>
    <row r="7264" spans="1:4" x14ac:dyDescent="0.2">
      <c r="A7264">
        <f t="shared" si="113"/>
        <v>7203</v>
      </c>
      <c r="B7264" s="138">
        <f>'Expenditures 15-22'!D17</f>
        <v>12328</v>
      </c>
      <c r="D7264" s="2" t="str">
        <f t="shared" si="112"/>
        <v>Error?</v>
      </c>
    </row>
    <row r="7265" spans="1:5" x14ac:dyDescent="0.2">
      <c r="A7265">
        <f t="shared" si="113"/>
        <v>7204</v>
      </c>
      <c r="B7265" s="138">
        <f>'Expenditures 15-22'!E17</f>
        <v>3933</v>
      </c>
      <c r="D7265" s="2" t="str">
        <f t="shared" si="112"/>
        <v>Error?</v>
      </c>
    </row>
    <row r="7266" spans="1:5" x14ac:dyDescent="0.2">
      <c r="A7266">
        <f t="shared" si="113"/>
        <v>7205</v>
      </c>
      <c r="B7266" s="138">
        <f>'Expenditures 15-22'!F17</f>
        <v>55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693534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12270</v>
      </c>
      <c r="D7712" s="2" t="str">
        <f t="shared" si="126"/>
        <v>Error?</v>
      </c>
      <c r="E7712" s="2" t="s">
        <v>881</v>
      </c>
    </row>
    <row r="7713" spans="1:6" x14ac:dyDescent="0.2">
      <c r="A7713">
        <v>7652</v>
      </c>
      <c r="B7713" s="138">
        <f>'Rest Tax Levies-Tort Im 25'!J8</f>
        <v>467009</v>
      </c>
      <c r="D7713" s="2" t="str">
        <f t="shared" si="126"/>
        <v>Error?</v>
      </c>
      <c r="E7713" s="2" t="s">
        <v>881</v>
      </c>
    </row>
    <row r="7714" spans="1:6" x14ac:dyDescent="0.2">
      <c r="A7714">
        <v>7653</v>
      </c>
      <c r="B7714" s="138">
        <f>'Rest Tax Levies-Tort Im 25'!K9</f>
        <v>19061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467009</v>
      </c>
      <c r="D7718" s="2" t="str">
        <f t="shared" si="126"/>
        <v>Error?</v>
      </c>
      <c r="E7718" s="2" t="s">
        <v>881</v>
      </c>
    </row>
    <row r="7719" spans="1:6" x14ac:dyDescent="0.2">
      <c r="A7719">
        <v>7658</v>
      </c>
      <c r="B7719" s="138">
        <f>'Rest Tax Levies-Tort Im 25'!K12</f>
        <v>31331</v>
      </c>
      <c r="D7719" s="2" t="str">
        <f t="shared" si="126"/>
        <v>Error?</v>
      </c>
      <c r="E7719" s="2" t="s">
        <v>881</v>
      </c>
    </row>
    <row r="7720" spans="1:6" x14ac:dyDescent="0.2">
      <c r="A7720">
        <v>7659</v>
      </c>
      <c r="B7720" s="138">
        <f>'Rest Tax Levies-Tort Im 25'!H14</f>
        <v>46127</v>
      </c>
      <c r="D7720" s="2" t="str">
        <f t="shared" si="126"/>
        <v>Error?</v>
      </c>
      <c r="E7720" s="2" t="s">
        <v>881</v>
      </c>
    </row>
    <row r="7721" spans="1:6" x14ac:dyDescent="0.2">
      <c r="A7721">
        <v>7660</v>
      </c>
      <c r="B7721" s="138">
        <f>'Rest Tax Levies-Tort Im 25'!K14</f>
        <v>31331</v>
      </c>
      <c r="D7721" s="2" t="str">
        <f t="shared" si="126"/>
        <v>Error?</v>
      </c>
      <c r="E7721" s="2" t="s">
        <v>881</v>
      </c>
    </row>
    <row r="7722" spans="1:6" x14ac:dyDescent="0.2">
      <c r="A7722">
        <v>7661</v>
      </c>
      <c r="B7722" s="138">
        <f>'Rest Tax Levies-Tort Im 25'!J15</f>
        <v>31381</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419162</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419162</v>
      </c>
      <c r="D7727" s="2" t="str">
        <f t="shared" si="126"/>
        <v>Error?</v>
      </c>
      <c r="E7727" s="2" t="s">
        <v>881</v>
      </c>
    </row>
    <row r="7728" spans="1:6" x14ac:dyDescent="0.2">
      <c r="A7728">
        <v>7667</v>
      </c>
      <c r="B7728" s="138">
        <f>'Revenues 9-14'!E103</f>
        <v>419162</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450543</v>
      </c>
      <c r="D7730" s="2" t="str">
        <f t="shared" si="126"/>
        <v>Error?</v>
      </c>
      <c r="E7730" s="2" t="s">
        <v>881</v>
      </c>
    </row>
    <row r="7731" spans="1:6" x14ac:dyDescent="0.2">
      <c r="A7731">
        <v>7670</v>
      </c>
      <c r="B7731" s="138">
        <f>'Revenues 9-14'!H103</f>
        <v>47847</v>
      </c>
      <c r="D7731" s="2" t="str">
        <f t="shared" si="126"/>
        <v>Error?</v>
      </c>
      <c r="E7731" s="2" t="s">
        <v>881</v>
      </c>
    </row>
    <row r="7732" spans="1:6" x14ac:dyDescent="0.2">
      <c r="A7732">
        <v>7671</v>
      </c>
      <c r="B7732" s="138">
        <f>'Rest Tax Levies-Tort Im 25'!J24</f>
        <v>16466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16466</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100000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54695</v>
      </c>
      <c r="D7797" s="2" t="str">
        <f t="shared" si="127"/>
        <v>Error?</v>
      </c>
      <c r="E7797" s="4" t="s">
        <v>2015</v>
      </c>
    </row>
    <row r="7798" spans="1:5" x14ac:dyDescent="0.2">
      <c r="A7798">
        <v>7737</v>
      </c>
      <c r="B7798" s="138">
        <f>'Contracts Paid in CY 29'!F141</f>
        <v>25000</v>
      </c>
      <c r="D7798" s="2" t="str">
        <f t="shared" si="127"/>
        <v>Error?</v>
      </c>
      <c r="E7798" s="4" t="s">
        <v>2015</v>
      </c>
    </row>
    <row r="7799" spans="1:5" x14ac:dyDescent="0.2">
      <c r="A7799">
        <v>7738</v>
      </c>
      <c r="B7799" s="138">
        <f>'Contracts Paid in CY 29'!G141</f>
        <v>29695</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0" t="s">
        <v>1253</v>
      </c>
      <c r="B2" s="2420"/>
      <c r="C2" s="2420"/>
      <c r="D2" s="2420"/>
      <c r="E2" s="2420"/>
      <c r="F2" s="2420"/>
      <c r="G2" s="2420"/>
      <c r="H2" s="2420"/>
      <c r="I2" s="2420"/>
      <c r="J2" s="2420"/>
      <c r="K2" s="2420"/>
      <c r="L2" s="2420"/>
    </row>
    <row r="3" spans="1:29" ht="13.5" customHeight="1" x14ac:dyDescent="0.2">
      <c r="A3" s="2451" t="s">
        <v>1252</v>
      </c>
      <c r="B3" s="2451"/>
      <c r="C3" s="2451"/>
      <c r="D3" s="2451"/>
      <c r="E3" s="2451"/>
      <c r="F3" s="2451"/>
      <c r="G3" s="2451"/>
      <c r="H3" s="2451"/>
      <c r="I3" s="2451"/>
      <c r="J3" s="2451"/>
      <c r="K3" s="2451"/>
      <c r="L3" s="2451"/>
    </row>
    <row r="4" spans="1:29" ht="13.5" customHeight="1" x14ac:dyDescent="0.2">
      <c r="A4" s="2420" t="s">
        <v>1799</v>
      </c>
      <c r="B4" s="2441"/>
      <c r="C4" s="2441"/>
      <c r="D4" s="2441"/>
      <c r="E4" s="2441"/>
      <c r="F4" s="2441"/>
      <c r="G4" s="2441"/>
      <c r="H4" s="2441"/>
      <c r="I4" s="2441"/>
      <c r="J4" s="2441"/>
      <c r="K4" s="2441"/>
      <c r="L4" s="244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42" t="str">
        <f>COVER!A17</f>
        <v>Pikeland CUSD 10</v>
      </c>
      <c r="B7" s="2443"/>
      <c r="C7" s="2443"/>
      <c r="D7" s="2444"/>
      <c r="E7" s="2445">
        <f>COVER!A13</f>
        <v>1075010026</v>
      </c>
      <c r="F7" s="2446"/>
      <c r="G7" s="2452" t="str">
        <f>COVER!T23</f>
        <v>066-004993</v>
      </c>
      <c r="H7" s="2453"/>
      <c r="I7" s="2453"/>
      <c r="J7" s="2453"/>
      <c r="K7" s="2453"/>
      <c r="L7" s="245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5"/>
      <c r="B9" s="2456"/>
      <c r="C9" s="2456"/>
      <c r="D9" s="2456"/>
      <c r="E9" s="2456"/>
      <c r="F9" s="2457"/>
      <c r="G9" s="2426" t="str">
        <f>COVER!T13</f>
        <v>Zumbahlen, Eyth, Surratt, Foote &amp; Flynn, Ltd.</v>
      </c>
      <c r="H9" s="2458"/>
      <c r="I9" s="2458"/>
      <c r="J9" s="2458"/>
      <c r="K9" s="2458"/>
      <c r="L9" s="2459"/>
    </row>
    <row r="10" spans="1:29" ht="13.5" customHeight="1" x14ac:dyDescent="0.2">
      <c r="A10" s="2432" t="str">
        <f>COVER!A38</f>
        <v>Paula Hawley</v>
      </c>
      <c r="B10" s="2433"/>
      <c r="C10" s="2433"/>
      <c r="D10" s="2433"/>
      <c r="E10" s="2433"/>
      <c r="F10" s="2434"/>
      <c r="G10" s="2426" t="str">
        <f>COVER!T17</f>
        <v>1395 Lincoln Ave.</v>
      </c>
      <c r="H10" s="2427"/>
      <c r="I10" s="2427"/>
      <c r="J10" s="2427"/>
      <c r="K10" s="2427"/>
      <c r="L10" s="2428"/>
    </row>
    <row r="11" spans="1:29" ht="13.5" customHeight="1" x14ac:dyDescent="0.2">
      <c r="A11" s="1185" t="s">
        <v>1599</v>
      </c>
      <c r="B11" s="1186"/>
      <c r="C11" s="1187"/>
      <c r="D11" s="1192"/>
      <c r="E11" s="1187"/>
      <c r="F11" s="1191"/>
      <c r="G11" s="2426" t="str">
        <f>COVER!T19</f>
        <v>Jacksonville</v>
      </c>
      <c r="H11" s="2427"/>
      <c r="I11" s="2427"/>
      <c r="J11" s="2427"/>
      <c r="K11" s="2427"/>
      <c r="L11" s="2428"/>
    </row>
    <row r="12" spans="1:29" ht="13.5" customHeight="1" x14ac:dyDescent="0.2">
      <c r="A12" s="2435" t="s">
        <v>1598</v>
      </c>
      <c r="B12" s="2436"/>
      <c r="C12" s="2436"/>
      <c r="D12" s="2436"/>
      <c r="E12" s="2436"/>
      <c r="F12" s="2437"/>
      <c r="G12" s="2429"/>
      <c r="H12" s="2430"/>
      <c r="I12" s="2430"/>
      <c r="J12" s="2430"/>
      <c r="K12" s="2430"/>
      <c r="L12" s="2431"/>
    </row>
    <row r="13" spans="1:29" ht="13.5" customHeight="1" x14ac:dyDescent="0.2">
      <c r="A13" s="2426"/>
      <c r="B13" s="2427"/>
      <c r="C13" s="2427"/>
      <c r="D13" s="2427"/>
      <c r="E13" s="2427"/>
      <c r="F13" s="2428"/>
      <c r="G13" s="2421" t="s">
        <v>1600</v>
      </c>
      <c r="H13" s="2422"/>
      <c r="I13" s="2438" t="str">
        <f>COVER!T25</f>
        <v>awithee@zescpa.com</v>
      </c>
      <c r="J13" s="2439"/>
      <c r="K13" s="2439"/>
      <c r="L13" s="2440"/>
    </row>
    <row r="14" spans="1:29" ht="13.5" customHeight="1" x14ac:dyDescent="0.2">
      <c r="A14" s="2426" t="str">
        <f>COVER!A19</f>
        <v>512 S. Madison St.</v>
      </c>
      <c r="B14" s="2427"/>
      <c r="C14" s="2427"/>
      <c r="D14" s="2427"/>
      <c r="E14" s="2427"/>
      <c r="F14" s="2428"/>
      <c r="G14" s="1196" t="s">
        <v>1247</v>
      </c>
      <c r="H14" s="1194"/>
      <c r="I14" s="1194"/>
      <c r="J14" s="1194"/>
      <c r="K14" s="1194"/>
      <c r="L14" s="1195"/>
    </row>
    <row r="15" spans="1:29" ht="13.5" customHeight="1" x14ac:dyDescent="0.2">
      <c r="A15" s="2426" t="str">
        <f>COVER!A21</f>
        <v>Pittsfield</v>
      </c>
      <c r="B15" s="2427"/>
      <c r="C15" s="2427"/>
      <c r="D15" s="2427"/>
      <c r="E15" s="2427"/>
      <c r="F15" s="2428"/>
      <c r="G15" s="2423" t="str">
        <f>COVER!T15</f>
        <v>Adam Withee</v>
      </c>
      <c r="H15" s="2424"/>
      <c r="I15" s="2424"/>
      <c r="J15" s="2424"/>
      <c r="K15" s="2424"/>
      <c r="L15" s="2425"/>
    </row>
    <row r="16" spans="1:29" ht="12.2" customHeight="1" x14ac:dyDescent="0.2">
      <c r="A16" s="2448">
        <f>COVER!A25</f>
        <v>62363</v>
      </c>
      <c r="B16" s="2449"/>
      <c r="C16" s="2449"/>
      <c r="D16" s="2449"/>
      <c r="E16" s="2449"/>
      <c r="F16" s="2450"/>
      <c r="G16" s="2460"/>
      <c r="H16" s="2461"/>
      <c r="I16" s="2461"/>
      <c r="J16" s="2461"/>
      <c r="K16" s="2461"/>
      <c r="L16" s="2462"/>
    </row>
    <row r="17" spans="1:13" ht="12.2" customHeight="1" x14ac:dyDescent="0.2">
      <c r="A17" s="2463"/>
      <c r="B17" s="2449"/>
      <c r="C17" s="2449"/>
      <c r="D17" s="2449"/>
      <c r="E17" s="2449"/>
      <c r="F17" s="2450"/>
      <c r="G17" s="1196" t="s">
        <v>1246</v>
      </c>
      <c r="H17" s="1194"/>
      <c r="I17" s="1194"/>
      <c r="J17" s="1194"/>
      <c r="K17" s="1198" t="s">
        <v>1245</v>
      </c>
      <c r="L17" s="1191"/>
      <c r="M17" s="1184"/>
    </row>
    <row r="18" spans="1:13" ht="12.2" customHeight="1" x14ac:dyDescent="0.2">
      <c r="A18" s="2432"/>
      <c r="B18" s="2433"/>
      <c r="C18" s="2433"/>
      <c r="D18" s="2433"/>
      <c r="E18" s="2433"/>
      <c r="F18" s="2434"/>
      <c r="G18" s="2442" t="str">
        <f>COVER!T21</f>
        <v>217-245-5121</v>
      </c>
      <c r="H18" s="2443"/>
      <c r="I18" s="2443"/>
      <c r="J18" s="2443"/>
      <c r="K18" s="2442" t="str">
        <f>COVER!X21</f>
        <v>217-243-3356</v>
      </c>
      <c r="L18" s="244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7" sqref="A7:D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4" t="str">
        <f>'Single Audit Cover'!A7</f>
        <v>Pikeland CUSD 10</v>
      </c>
      <c r="B1" s="2441"/>
      <c r="C1" s="2441"/>
      <c r="D1" s="2441"/>
    </row>
    <row r="2" spans="1:11" s="1215" customFormat="1" ht="12.75" x14ac:dyDescent="0.2">
      <c r="A2" s="2465">
        <f>'Single Audit Cover'!E7</f>
        <v>1075010026</v>
      </c>
      <c r="B2" s="2466"/>
      <c r="C2" s="2466"/>
      <c r="D2" s="2466"/>
    </row>
    <row r="3" spans="1:11" s="1215" customFormat="1" ht="12.75" x14ac:dyDescent="0.2">
      <c r="A3" s="2464" t="s">
        <v>1593</v>
      </c>
      <c r="B3" s="2441"/>
      <c r="C3" s="2441"/>
      <c r="D3" s="244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2073</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2073</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2073</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2073</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2073</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2073</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2073</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2073</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2073</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2141</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2141</v>
      </c>
      <c r="C42" s="1232">
        <v>11</v>
      </c>
      <c r="D42" s="1243" t="s">
        <v>1655</v>
      </c>
      <c r="E42" s="312"/>
    </row>
    <row r="43" spans="1:5" ht="3" customHeight="1" x14ac:dyDescent="0.2">
      <c r="A43" s="1222"/>
      <c r="B43" s="1239"/>
      <c r="C43" s="1240"/>
      <c r="D43" s="1221"/>
    </row>
    <row r="44" spans="1:5" x14ac:dyDescent="0.2">
      <c r="A44" s="1222"/>
      <c r="B44" s="1225" t="s">
        <v>2073</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2073</v>
      </c>
      <c r="C48" s="1226">
        <f>C44+1</f>
        <v>13</v>
      </c>
      <c r="D48" s="1237" t="s">
        <v>1656</v>
      </c>
    </row>
    <row r="49" spans="1:4" ht="3" customHeight="1" x14ac:dyDescent="0.2">
      <c r="A49" s="1222"/>
      <c r="B49" s="1229"/>
      <c r="C49" s="1226"/>
      <c r="D49" s="1237"/>
    </row>
    <row r="50" spans="1:4" x14ac:dyDescent="0.2">
      <c r="A50" s="1222"/>
      <c r="B50" s="1225" t="s">
        <v>2073</v>
      </c>
      <c r="C50" s="1226">
        <f>C48+1</f>
        <v>14</v>
      </c>
      <c r="D50" s="1237" t="s">
        <v>1274</v>
      </c>
    </row>
    <row r="51" spans="1:4" ht="3" customHeight="1" x14ac:dyDescent="0.2">
      <c r="A51" s="1222"/>
      <c r="B51" s="1229"/>
      <c r="C51" s="1226"/>
      <c r="D51" s="1237"/>
    </row>
    <row r="52" spans="1:4" x14ac:dyDescent="0.2">
      <c r="A52" s="1222"/>
      <c r="B52" s="1225" t="s">
        <v>2073</v>
      </c>
      <c r="C52" s="1226">
        <f>C50+1</f>
        <v>15</v>
      </c>
      <c r="D52" s="1237" t="s">
        <v>1273</v>
      </c>
    </row>
    <row r="53" spans="1:4" ht="3" customHeight="1" x14ac:dyDescent="0.2">
      <c r="A53" s="1222"/>
      <c r="B53" s="1229"/>
      <c r="C53" s="1226"/>
      <c r="D53" s="1237"/>
    </row>
    <row r="54" spans="1:4" x14ac:dyDescent="0.2">
      <c r="A54" s="1222"/>
      <c r="B54" s="1225" t="s">
        <v>2141</v>
      </c>
      <c r="C54" s="1226">
        <f>C52+1</f>
        <v>16</v>
      </c>
      <c r="D54" s="1237" t="s">
        <v>1272</v>
      </c>
    </row>
    <row r="55" spans="1:4" ht="3" customHeight="1" x14ac:dyDescent="0.2">
      <c r="A55" s="1222"/>
      <c r="B55" s="1229"/>
      <c r="C55" s="1226"/>
      <c r="D55" s="1237"/>
    </row>
    <row r="56" spans="1:4" x14ac:dyDescent="0.2">
      <c r="A56" s="1222"/>
      <c r="B56" s="1225" t="s">
        <v>2073</v>
      </c>
      <c r="C56" s="1226">
        <f>C54+1</f>
        <v>17</v>
      </c>
      <c r="D56" s="1221" t="s">
        <v>1811</v>
      </c>
    </row>
    <row r="57" spans="1:4" ht="10.5" customHeight="1" x14ac:dyDescent="0.2">
      <c r="A57" s="1222"/>
      <c r="D57" s="1237" t="s">
        <v>1812</v>
      </c>
    </row>
    <row r="58" spans="1:4" x14ac:dyDescent="0.2">
      <c r="A58" s="1222"/>
      <c r="C58" s="1244" t="s">
        <v>2073</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2141</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2141</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2141</v>
      </c>
      <c r="D69" s="1237" t="s">
        <v>1816</v>
      </c>
    </row>
    <row r="70" spans="1:4" x14ac:dyDescent="0.2">
      <c r="A70" s="1222"/>
      <c r="D70" s="1246" t="s">
        <v>1268</v>
      </c>
    </row>
    <row r="71" spans="1:4" ht="3" customHeight="1" x14ac:dyDescent="0.2">
      <c r="A71" s="1222"/>
      <c r="D71" s="1221"/>
    </row>
    <row r="72" spans="1:4" x14ac:dyDescent="0.2">
      <c r="A72" s="1222"/>
      <c r="B72" s="1225" t="s">
        <v>2073</v>
      </c>
      <c r="C72" s="1226">
        <f>C56+1</f>
        <v>18</v>
      </c>
      <c r="D72" s="1247" t="s">
        <v>1817</v>
      </c>
    </row>
    <row r="73" spans="1:4" ht="3" customHeight="1" x14ac:dyDescent="0.2">
      <c r="A73" s="1222"/>
      <c r="B73" s="1229"/>
      <c r="C73" s="1226"/>
      <c r="D73" s="1247"/>
    </row>
    <row r="74" spans="1:4" x14ac:dyDescent="0.2">
      <c r="A74" s="1222"/>
      <c r="B74" s="1225" t="s">
        <v>2073</v>
      </c>
      <c r="C74" s="1226">
        <f>C72+1</f>
        <v>19</v>
      </c>
      <c r="D74" s="1237" t="s">
        <v>1267</v>
      </c>
    </row>
    <row r="75" spans="1:4" ht="3" customHeight="1" x14ac:dyDescent="0.2">
      <c r="A75" s="1222"/>
      <c r="B75" s="1229"/>
      <c r="C75" s="1226"/>
      <c r="D75" s="1237"/>
    </row>
    <row r="76" spans="1:4" x14ac:dyDescent="0.2">
      <c r="A76" s="1222"/>
      <c r="B76" s="1225" t="s">
        <v>2073</v>
      </c>
      <c r="C76" s="1226">
        <f>C74+1</f>
        <v>20</v>
      </c>
      <c r="D76" s="1248" t="s">
        <v>1818</v>
      </c>
    </row>
    <row r="77" spans="1:4" ht="3" customHeight="1" x14ac:dyDescent="0.2">
      <c r="A77" s="1222"/>
      <c r="B77" s="1229"/>
      <c r="C77" s="1226"/>
      <c r="D77" s="1248"/>
    </row>
    <row r="78" spans="1:4" x14ac:dyDescent="0.2">
      <c r="A78" s="1222"/>
      <c r="B78" s="1225" t="s">
        <v>2073</v>
      </c>
      <c r="C78" s="1226">
        <f>C76+1</f>
        <v>21</v>
      </c>
      <c r="D78" s="1221" t="s">
        <v>1819</v>
      </c>
    </row>
    <row r="79" spans="1:4" ht="3" customHeight="1" x14ac:dyDescent="0.2">
      <c r="A79" s="1222"/>
      <c r="B79" s="1229"/>
      <c r="C79" s="1226"/>
      <c r="D79" s="1221"/>
    </row>
    <row r="80" spans="1:4" x14ac:dyDescent="0.2">
      <c r="A80" s="1222"/>
      <c r="B80" s="1225" t="s">
        <v>2073</v>
      </c>
      <c r="C80" s="1226">
        <f>C78+1</f>
        <v>22</v>
      </c>
      <c r="D80" s="1249" t="s">
        <v>1820</v>
      </c>
    </row>
    <row r="81" spans="1:4" ht="3" customHeight="1" x14ac:dyDescent="0.2">
      <c r="A81" s="1222"/>
      <c r="B81" s="1229"/>
      <c r="C81" s="1226"/>
      <c r="D81" s="1249"/>
    </row>
    <row r="82" spans="1:4" x14ac:dyDescent="0.2">
      <c r="A82" s="1222"/>
      <c r="B82" s="1225" t="s">
        <v>2073</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2073</v>
      </c>
      <c r="C85" s="1226">
        <f>C82+1</f>
        <v>24</v>
      </c>
      <c r="D85" s="1237" t="s">
        <v>1265</v>
      </c>
    </row>
    <row r="86" spans="1:4" ht="3" customHeight="1" x14ac:dyDescent="0.2">
      <c r="A86" s="1222"/>
      <c r="B86" s="1229"/>
      <c r="C86" s="1226"/>
      <c r="D86" s="1237"/>
    </row>
    <row r="87" spans="1:4" x14ac:dyDescent="0.2">
      <c r="A87" s="1222"/>
      <c r="B87" s="1225" t="s">
        <v>2073</v>
      </c>
      <c r="C87" s="1226">
        <f>C85+1</f>
        <v>25</v>
      </c>
      <c r="D87" s="1237" t="s">
        <v>1264</v>
      </c>
    </row>
    <row r="88" spans="1:4" ht="3" customHeight="1" x14ac:dyDescent="0.2">
      <c r="A88" s="1222"/>
      <c r="B88" s="1229"/>
      <c r="C88" s="1226"/>
      <c r="D88" s="1237"/>
    </row>
    <row r="89" spans="1:4" x14ac:dyDescent="0.2">
      <c r="A89" s="1222"/>
      <c r="B89" s="1225" t="s">
        <v>2073</v>
      </c>
      <c r="C89" s="1226">
        <f>C87+1</f>
        <v>26</v>
      </c>
      <c r="D89" s="1237" t="s">
        <v>1263</v>
      </c>
    </row>
    <row r="90" spans="1:4" ht="3" customHeight="1" x14ac:dyDescent="0.2">
      <c r="A90" s="1222"/>
      <c r="B90" s="1229"/>
      <c r="C90" s="1226"/>
      <c r="D90" s="1237"/>
    </row>
    <row r="91" spans="1:4" x14ac:dyDescent="0.2">
      <c r="A91" s="1222"/>
      <c r="B91" s="1225" t="s">
        <v>2141</v>
      </c>
      <c r="C91" s="1226">
        <f>C89+1</f>
        <v>27</v>
      </c>
      <c r="D91" s="1237" t="s">
        <v>1822</v>
      </c>
    </row>
    <row r="92" spans="1:4" x14ac:dyDescent="0.2">
      <c r="A92" s="1222"/>
      <c r="B92" s="1250"/>
      <c r="C92" s="1244" t="s">
        <v>2141</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2073</v>
      </c>
      <c r="C96" s="1226">
        <f>C91+1</f>
        <v>28</v>
      </c>
      <c r="D96" s="1237" t="s">
        <v>1823</v>
      </c>
    </row>
    <row r="97" spans="1:4" ht="3" customHeight="1" x14ac:dyDescent="0.2">
      <c r="A97" s="1222"/>
      <c r="B97" s="1229"/>
      <c r="C97" s="1226"/>
      <c r="D97" s="1237"/>
    </row>
    <row r="98" spans="1:4" x14ac:dyDescent="0.2">
      <c r="A98" s="1222"/>
      <c r="B98" s="1225" t="s">
        <v>2073</v>
      </c>
      <c r="C98" s="1226">
        <f>C96+1</f>
        <v>29</v>
      </c>
      <c r="D98" s="1251" t="s">
        <v>1824</v>
      </c>
    </row>
    <row r="99" spans="1:4" ht="3" customHeight="1" x14ac:dyDescent="0.2">
      <c r="A99" s="1222"/>
      <c r="B99" s="1229"/>
      <c r="C99" s="1226"/>
      <c r="D99" s="1251"/>
    </row>
    <row r="100" spans="1:4" x14ac:dyDescent="0.2">
      <c r="A100" s="1222"/>
      <c r="B100" s="1225" t="s">
        <v>2073</v>
      </c>
      <c r="C100" s="1226">
        <f>C98+1</f>
        <v>30</v>
      </c>
      <c r="D100" s="1237" t="s">
        <v>1825</v>
      </c>
    </row>
    <row r="101" spans="1:4" ht="3" customHeight="1" x14ac:dyDescent="0.2">
      <c r="A101" s="1222"/>
      <c r="B101" s="1229"/>
      <c r="C101" s="1226"/>
      <c r="D101" s="1252"/>
    </row>
    <row r="102" spans="1:4" x14ac:dyDescent="0.2">
      <c r="A102" s="1222"/>
      <c r="B102" s="1225" t="s">
        <v>2073</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2073</v>
      </c>
      <c r="C106" s="1226">
        <f>C102+1</f>
        <v>32</v>
      </c>
      <c r="D106" s="1221" t="s">
        <v>1661</v>
      </c>
    </row>
    <row r="107" spans="1:4" ht="3" customHeight="1" x14ac:dyDescent="0.2">
      <c r="A107" s="1222"/>
      <c r="B107" s="1229"/>
      <c r="C107" s="1226"/>
      <c r="D107" s="1221"/>
    </row>
    <row r="108" spans="1:4" x14ac:dyDescent="0.2">
      <c r="A108" s="1222"/>
      <c r="B108" s="1225" t="s">
        <v>2073</v>
      </c>
      <c r="C108" s="1226">
        <v>33</v>
      </c>
      <c r="D108" s="1221" t="s">
        <v>1826</v>
      </c>
    </row>
    <row r="109" spans="1:4" ht="3" customHeight="1" x14ac:dyDescent="0.2">
      <c r="A109" s="1222"/>
      <c r="B109" s="1229"/>
      <c r="C109" s="1226"/>
      <c r="D109" s="1221"/>
    </row>
    <row r="110" spans="1:4" x14ac:dyDescent="0.2">
      <c r="A110" s="1222"/>
      <c r="B110" s="1225" t="s">
        <v>2141</v>
      </c>
      <c r="C110" s="1226">
        <f>C108+1</f>
        <v>34</v>
      </c>
      <c r="D110" s="1221" t="s">
        <v>1260</v>
      </c>
    </row>
    <row r="111" spans="1:4" ht="3" customHeight="1" x14ac:dyDescent="0.2">
      <c r="A111" s="1222"/>
      <c r="B111" s="1229"/>
      <c r="C111" s="1226"/>
      <c r="D111" s="1221"/>
    </row>
    <row r="112" spans="1:4" x14ac:dyDescent="0.2">
      <c r="A112" s="1222"/>
      <c r="B112" s="1225" t="s">
        <v>2141</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2141</v>
      </c>
      <c r="C115" s="1226">
        <f>C112+1</f>
        <v>36</v>
      </c>
      <c r="D115" s="1237" t="s">
        <v>1257</v>
      </c>
    </row>
    <row r="116" spans="1:4" ht="3" customHeight="1" x14ac:dyDescent="0.2">
      <c r="A116" s="1222"/>
      <c r="B116" s="1229"/>
      <c r="C116" s="1226"/>
      <c r="D116" s="1237"/>
    </row>
    <row r="117" spans="1:4" x14ac:dyDescent="0.2">
      <c r="A117" s="1222"/>
      <c r="B117" s="1225" t="s">
        <v>2141</v>
      </c>
      <c r="C117" s="1226">
        <f>C115+1</f>
        <v>37</v>
      </c>
      <c r="D117" s="1237" t="s">
        <v>1827</v>
      </c>
    </row>
    <row r="118" spans="1:4" ht="3" customHeight="1" x14ac:dyDescent="0.2">
      <c r="A118" s="1222"/>
      <c r="B118" s="1229"/>
      <c r="C118" s="1226"/>
      <c r="D118" s="1237"/>
    </row>
    <row r="119" spans="1:4" x14ac:dyDescent="0.2">
      <c r="A119" s="1222"/>
      <c r="B119" s="1225" t="s">
        <v>2141</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2073</v>
      </c>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D7"/>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8" t="str">
        <f>'Single Audit Cover'!A7</f>
        <v>Pikeland CUSD 10</v>
      </c>
      <c r="B1" s="2468"/>
      <c r="C1" s="2468"/>
      <c r="D1" s="2468"/>
      <c r="E1" s="2468"/>
    </row>
    <row r="2" spans="1:5" x14ac:dyDescent="0.2">
      <c r="A2" s="2469">
        <f>'Single Audit Cover'!E7</f>
        <v>1075010026</v>
      </c>
      <c r="B2" s="2469"/>
      <c r="C2" s="2469"/>
      <c r="D2" s="2469"/>
      <c r="E2" s="2469"/>
    </row>
    <row r="3" spans="1:5" ht="4.5" customHeight="1" x14ac:dyDescent="0.2"/>
    <row r="4" spans="1:5" x14ac:dyDescent="0.2">
      <c r="A4" s="2468" t="s">
        <v>1307</v>
      </c>
      <c r="B4" s="2468"/>
      <c r="C4" s="2468"/>
      <c r="D4" s="2468"/>
      <c r="E4" s="2468"/>
    </row>
    <row r="5" spans="1:5" x14ac:dyDescent="0.2">
      <c r="A5" s="2471" t="str">
        <f>'Single Audit Cover'!A4</f>
        <v>Year Ending June 30, 2018</v>
      </c>
      <c r="B5" s="2471"/>
      <c r="C5" s="2471"/>
      <c r="D5" s="2471"/>
      <c r="E5" s="2471"/>
    </row>
    <row r="6" spans="1:5" x14ac:dyDescent="0.2">
      <c r="A6" s="2468" t="s">
        <v>1306</v>
      </c>
      <c r="B6" s="2468"/>
      <c r="C6" s="2468"/>
      <c r="D6" s="2468"/>
      <c r="E6" s="2468"/>
    </row>
    <row r="8" spans="1:5" x14ac:dyDescent="0.2">
      <c r="A8" s="1260" t="s">
        <v>1305</v>
      </c>
    </row>
    <row r="10" spans="1:5" x14ac:dyDescent="0.2">
      <c r="A10" s="1261" t="s">
        <v>1304</v>
      </c>
      <c r="B10" s="1262" t="s">
        <v>1303</v>
      </c>
      <c r="C10" s="1262"/>
      <c r="D10" s="1263">
        <f>SUM('Acct Summary 7-8'!C7:K7)</f>
        <v>1089010</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44946</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-51694</v>
      </c>
    </row>
    <row r="19" spans="1:4" ht="13.5" thickBot="1" x14ac:dyDescent="0.25">
      <c r="A19" s="1265" t="s">
        <v>1297</v>
      </c>
      <c r="D19" s="1266">
        <f>SUM(D10:D17)</f>
        <v>1082262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0" t="s">
        <v>2142</v>
      </c>
      <c r="B24" s="2470"/>
      <c r="D24" s="1268">
        <v>1116</v>
      </c>
    </row>
    <row r="25" spans="1:4" x14ac:dyDescent="0.2">
      <c r="A25" s="2467"/>
      <c r="B25" s="2467"/>
      <c r="D25" s="1268"/>
    </row>
    <row r="26" spans="1:4" x14ac:dyDescent="0.2">
      <c r="A26" s="2467"/>
      <c r="B26" s="2467"/>
      <c r="D26" s="1268"/>
    </row>
    <row r="27" spans="1:4" x14ac:dyDescent="0.2">
      <c r="A27" s="2467"/>
      <c r="B27" s="2467"/>
      <c r="D27" s="1268"/>
    </row>
    <row r="28" spans="1:4" x14ac:dyDescent="0.2">
      <c r="A28" s="2467"/>
      <c r="B28" s="2467"/>
      <c r="D28" s="1268"/>
    </row>
    <row r="29" spans="1:4" x14ac:dyDescent="0.2">
      <c r="A29" s="2467"/>
      <c r="B29" s="2467"/>
      <c r="D29" s="1268"/>
    </row>
    <row r="30" spans="1:4" x14ac:dyDescent="0.2">
      <c r="A30" s="2467"/>
      <c r="B30" s="2467"/>
      <c r="D30" s="1268"/>
    </row>
    <row r="32" spans="1:4" x14ac:dyDescent="0.2">
      <c r="A32" s="1260" t="s">
        <v>1295</v>
      </c>
      <c r="D32" s="1263">
        <f>SUM(D19:D30)</f>
        <v>1083378</v>
      </c>
    </row>
    <row r="33" spans="1:4" x14ac:dyDescent="0.2">
      <c r="D33" s="1269"/>
    </row>
    <row r="34" spans="1:4" x14ac:dyDescent="0.2">
      <c r="A34" s="317" t="s">
        <v>1294</v>
      </c>
    </row>
    <row r="35" spans="1:4" x14ac:dyDescent="0.2">
      <c r="A35" s="317" t="s">
        <v>1293</v>
      </c>
      <c r="B35" s="1258" t="s">
        <v>1292</v>
      </c>
      <c r="D35" s="1270">
        <v>1083378</v>
      </c>
    </row>
    <row r="37" spans="1:4" x14ac:dyDescent="0.2">
      <c r="A37" s="1260" t="s">
        <v>1291</v>
      </c>
    </row>
    <row r="39" spans="1:4" ht="13.35" customHeight="1" x14ac:dyDescent="0.2">
      <c r="A39" s="1267" t="s">
        <v>1290</v>
      </c>
    </row>
    <row r="40" spans="1:4" x14ac:dyDescent="0.2">
      <c r="A40" s="2467"/>
      <c r="B40" s="2467"/>
      <c r="D40" s="1268"/>
    </row>
    <row r="41" spans="1:4" x14ac:dyDescent="0.2">
      <c r="A41" s="2467"/>
      <c r="B41" s="2467"/>
      <c r="D41" s="1271"/>
    </row>
    <row r="42" spans="1:4" x14ac:dyDescent="0.2">
      <c r="A42" s="2467"/>
      <c r="B42" s="2467"/>
      <c r="D42" s="1271"/>
    </row>
    <row r="43" spans="1:4" x14ac:dyDescent="0.2">
      <c r="A43" s="2467"/>
      <c r="B43" s="2467"/>
      <c r="D43" s="1271"/>
    </row>
    <row r="44" spans="1:4" x14ac:dyDescent="0.2">
      <c r="A44" s="2467"/>
      <c r="B44" s="2467"/>
      <c r="D44" s="1271"/>
    </row>
    <row r="45" spans="1:4" x14ac:dyDescent="0.2">
      <c r="A45" s="2467"/>
      <c r="B45" s="2467"/>
      <c r="D45" s="1271"/>
    </row>
    <row r="47" spans="1:4" x14ac:dyDescent="0.2">
      <c r="B47" s="1272" t="s">
        <v>1289</v>
      </c>
      <c r="C47" s="1272"/>
      <c r="D47" s="1273">
        <f>SUM(D35:D45)</f>
        <v>1083378</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6"/>
  <sheetViews>
    <sheetView showGridLines="0" topLeftCell="A10" zoomScale="110" zoomScaleNormal="110" workbookViewId="0">
      <selection activeCell="A7" sqref="A7:D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1" t="str">
        <f>'Single Audit Cover'!A7</f>
        <v>Pikeland CUSD 10</v>
      </c>
      <c r="C1" s="2472"/>
      <c r="D1" s="2472"/>
      <c r="E1" s="2472"/>
      <c r="F1" s="2472"/>
      <c r="G1" s="2472"/>
      <c r="H1" s="2472"/>
      <c r="I1" s="2472"/>
      <c r="J1" s="2472"/>
      <c r="K1" s="2472"/>
      <c r="L1" s="2472"/>
      <c r="M1" s="2472"/>
    </row>
    <row r="2" spans="2:14" ht="15" x14ac:dyDescent="0.2">
      <c r="B2" s="2473">
        <f>'Single Audit Cover'!E7</f>
        <v>1075010026</v>
      </c>
      <c r="C2" s="2473"/>
      <c r="D2" s="2473"/>
      <c r="E2" s="2473"/>
      <c r="F2" s="2473"/>
      <c r="G2" s="2473"/>
      <c r="H2" s="2473"/>
      <c r="I2" s="2473"/>
      <c r="J2" s="2473"/>
      <c r="K2" s="2473"/>
      <c r="L2" s="2473"/>
      <c r="M2" s="2473"/>
      <c r="N2" s="1302"/>
    </row>
    <row r="3" spans="2:14" ht="15" x14ac:dyDescent="0.2">
      <c r="B3" s="2474" t="s">
        <v>1281</v>
      </c>
      <c r="C3" s="2474"/>
      <c r="D3" s="2474"/>
      <c r="E3" s="2474"/>
      <c r="F3" s="2474"/>
      <c r="G3" s="2474"/>
      <c r="H3" s="2474"/>
      <c r="I3" s="2474"/>
      <c r="J3" s="2474"/>
      <c r="K3" s="2474"/>
      <c r="L3" s="2474"/>
      <c r="M3" s="2474"/>
      <c r="N3" s="1302"/>
    </row>
    <row r="4" spans="2:14" ht="15" x14ac:dyDescent="0.2">
      <c r="B4" s="2475" t="str">
        <f>'Single Audit Cover'!A4</f>
        <v>Year Ending June 30, 2018</v>
      </c>
      <c r="C4" s="2475"/>
      <c r="D4" s="2475"/>
      <c r="E4" s="2475"/>
      <c r="F4" s="2475"/>
      <c r="G4" s="2475"/>
      <c r="H4" s="2475"/>
      <c r="I4" s="2475"/>
      <c r="J4" s="2475"/>
      <c r="K4" s="2475"/>
      <c r="L4" s="2475"/>
      <c r="M4" s="247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45" customHeight="1" x14ac:dyDescent="0.2">
      <c r="B11" s="1337" t="s">
        <v>2089</v>
      </c>
      <c r="C11" s="1338"/>
      <c r="D11" s="1339"/>
      <c r="E11" s="1340"/>
      <c r="F11" s="1340"/>
      <c r="G11" s="1340"/>
      <c r="H11" s="1340"/>
      <c r="I11" s="1340"/>
      <c r="J11" s="1340"/>
      <c r="K11" s="1340"/>
      <c r="L11" s="1340"/>
      <c r="M11" s="1340"/>
    </row>
    <row r="12" spans="2:14" ht="16.899999999999999" customHeight="1" x14ac:dyDescent="0.2">
      <c r="B12" s="1337" t="s">
        <v>974</v>
      </c>
      <c r="C12" s="1341" t="s">
        <v>2091</v>
      </c>
      <c r="D12" s="1342" t="s">
        <v>2115</v>
      </c>
      <c r="E12" s="1343">
        <v>338635</v>
      </c>
      <c r="F12" s="1343">
        <v>73835</v>
      </c>
      <c r="G12" s="1343">
        <v>365804</v>
      </c>
      <c r="H12" s="1343"/>
      <c r="I12" s="1343">
        <f>412470-G12</f>
        <v>46666</v>
      </c>
      <c r="J12" s="1343"/>
      <c r="K12" s="1343"/>
      <c r="L12" s="1340">
        <f t="shared" ref="L12:L29" si="0">+G12+I12+K12</f>
        <v>412470</v>
      </c>
      <c r="M12" s="1343">
        <v>429621</v>
      </c>
    </row>
    <row r="13" spans="2:14" ht="16.899999999999999" customHeight="1" x14ac:dyDescent="0.2">
      <c r="B13" s="1337" t="s">
        <v>974</v>
      </c>
      <c r="C13" s="1341" t="s">
        <v>2091</v>
      </c>
      <c r="D13" s="1342" t="s">
        <v>2116</v>
      </c>
      <c r="E13" s="1343"/>
      <c r="F13" s="1343">
        <v>324818</v>
      </c>
      <c r="G13" s="1343"/>
      <c r="H13" s="1343"/>
      <c r="I13" s="1343">
        <v>354293</v>
      </c>
      <c r="J13" s="1343"/>
      <c r="K13" s="1343">
        <v>25531</v>
      </c>
      <c r="L13" s="1340">
        <f>+G13+I13+K13</f>
        <v>379824</v>
      </c>
      <c r="M13" s="1343">
        <v>401452</v>
      </c>
    </row>
    <row r="14" spans="2:14" ht="16.899999999999999" customHeight="1" x14ac:dyDescent="0.2">
      <c r="B14" s="1956" t="s">
        <v>2090</v>
      </c>
      <c r="C14" s="1957"/>
      <c r="D14" s="1958"/>
      <c r="E14" s="1959">
        <f>SUM(E12:E13)</f>
        <v>338635</v>
      </c>
      <c r="F14" s="1959">
        <f t="shared" ref="F14:K14" si="1">SUM(F12:F13)</f>
        <v>398653</v>
      </c>
      <c r="G14" s="1959">
        <f t="shared" si="1"/>
        <v>365804</v>
      </c>
      <c r="H14" s="1959">
        <f t="shared" si="1"/>
        <v>0</v>
      </c>
      <c r="I14" s="1959">
        <f t="shared" si="1"/>
        <v>400959</v>
      </c>
      <c r="J14" s="1959">
        <f t="shared" si="1"/>
        <v>0</v>
      </c>
      <c r="K14" s="1959">
        <f t="shared" si="1"/>
        <v>25531</v>
      </c>
      <c r="L14" s="1960">
        <f t="shared" si="0"/>
        <v>792294</v>
      </c>
      <c r="M14" s="1959"/>
    </row>
    <row r="15" spans="2:14" ht="16.899999999999999" customHeight="1" x14ac:dyDescent="0.2">
      <c r="B15" s="1337" t="s">
        <v>1231</v>
      </c>
      <c r="C15" s="1341"/>
      <c r="D15" s="1342"/>
      <c r="E15" s="1343"/>
      <c r="F15" s="1343"/>
      <c r="G15" s="1343"/>
      <c r="H15" s="1343"/>
      <c r="I15" s="1343"/>
      <c r="J15" s="1343"/>
      <c r="K15" s="1343"/>
      <c r="L15" s="1340"/>
      <c r="M15" s="1343"/>
    </row>
    <row r="16" spans="2:14" ht="16.899999999999999" customHeight="1" x14ac:dyDescent="0.2">
      <c r="B16" s="1337" t="s">
        <v>782</v>
      </c>
      <c r="C16" s="1341" t="s">
        <v>2093</v>
      </c>
      <c r="D16" s="1342" t="s">
        <v>2117</v>
      </c>
      <c r="E16" s="1343">
        <v>60270</v>
      </c>
      <c r="F16" s="1343">
        <v>7356</v>
      </c>
      <c r="G16" s="1343">
        <v>60270</v>
      </c>
      <c r="H16" s="1343"/>
      <c r="I16" s="1343">
        <f>67626-G16</f>
        <v>7356</v>
      </c>
      <c r="J16" s="1343"/>
      <c r="K16" s="1343"/>
      <c r="L16" s="1340">
        <f t="shared" si="0"/>
        <v>67626</v>
      </c>
      <c r="M16" s="1343">
        <v>67626</v>
      </c>
    </row>
    <row r="17" spans="2:14" ht="16.899999999999999" customHeight="1" x14ac:dyDescent="0.2">
      <c r="B17" s="1337" t="s">
        <v>782</v>
      </c>
      <c r="C17" s="1341" t="s">
        <v>2093</v>
      </c>
      <c r="D17" s="1342" t="s">
        <v>2118</v>
      </c>
      <c r="E17" s="1343"/>
      <c r="F17" s="1343">
        <v>60870</v>
      </c>
      <c r="G17" s="1343"/>
      <c r="H17" s="1343"/>
      <c r="I17" s="1343">
        <v>57366</v>
      </c>
      <c r="J17" s="1343"/>
      <c r="K17" s="1343">
        <v>3504</v>
      </c>
      <c r="L17" s="1340">
        <f t="shared" si="0"/>
        <v>60870</v>
      </c>
      <c r="M17" s="1343">
        <v>60870</v>
      </c>
    </row>
    <row r="18" spans="2:14" ht="16.899999999999999" customHeight="1" x14ac:dyDescent="0.2">
      <c r="B18" s="1956" t="s">
        <v>2092</v>
      </c>
      <c r="C18" s="1957"/>
      <c r="D18" s="1958"/>
      <c r="E18" s="1959">
        <f>SUM(E16:E17)</f>
        <v>60270</v>
      </c>
      <c r="F18" s="1959">
        <f t="shared" ref="F18:K18" si="2">SUM(F16:F17)</f>
        <v>68226</v>
      </c>
      <c r="G18" s="1959">
        <f t="shared" si="2"/>
        <v>60270</v>
      </c>
      <c r="H18" s="1959">
        <f t="shared" si="2"/>
        <v>0</v>
      </c>
      <c r="I18" s="1959">
        <f t="shared" si="2"/>
        <v>64722</v>
      </c>
      <c r="J18" s="1959">
        <f t="shared" si="2"/>
        <v>0</v>
      </c>
      <c r="K18" s="1959">
        <f t="shared" si="2"/>
        <v>3504</v>
      </c>
      <c r="L18" s="1960">
        <f t="shared" si="0"/>
        <v>128496</v>
      </c>
      <c r="M18" s="1959"/>
    </row>
    <row r="19" spans="2:14" ht="16.899999999999999" customHeight="1" x14ac:dyDescent="0.2">
      <c r="B19" s="1337"/>
      <c r="C19" s="1341"/>
      <c r="D19" s="1342"/>
      <c r="E19" s="1343"/>
      <c r="F19" s="1343"/>
      <c r="G19" s="1343"/>
      <c r="H19" s="1343"/>
      <c r="I19" s="1343"/>
      <c r="J19" s="1343"/>
      <c r="K19" s="1343"/>
      <c r="L19" s="1340"/>
      <c r="M19" s="1343"/>
    </row>
    <row r="20" spans="2:14" ht="21" customHeight="1" x14ac:dyDescent="0.2">
      <c r="B20" s="1337" t="s">
        <v>2132</v>
      </c>
      <c r="C20" s="1341" t="s">
        <v>2095</v>
      </c>
      <c r="D20" s="1342" t="s">
        <v>2119</v>
      </c>
      <c r="E20" s="1343">
        <v>25112</v>
      </c>
      <c r="F20" s="1343"/>
      <c r="G20" s="1343">
        <v>25937</v>
      </c>
      <c r="H20" s="1343"/>
      <c r="I20" s="1343"/>
      <c r="J20" s="1343"/>
      <c r="K20" s="1343"/>
      <c r="L20" s="1340">
        <f t="shared" si="0"/>
        <v>25937</v>
      </c>
      <c r="M20" s="1343">
        <v>27524</v>
      </c>
    </row>
    <row r="21" spans="2:14" ht="16.899999999999999" customHeight="1" x14ac:dyDescent="0.2">
      <c r="B21" s="1337" t="s">
        <v>2096</v>
      </c>
      <c r="C21" s="1341" t="s">
        <v>2095</v>
      </c>
      <c r="D21" s="1342" t="s">
        <v>2120</v>
      </c>
      <c r="E21" s="1343"/>
      <c r="F21" s="1343">
        <v>23057</v>
      </c>
      <c r="G21" s="1343"/>
      <c r="H21" s="1343"/>
      <c r="I21" s="1343">
        <v>23057</v>
      </c>
      <c r="J21" s="1343"/>
      <c r="K21" s="1343"/>
      <c r="L21" s="1340">
        <f t="shared" si="0"/>
        <v>23057</v>
      </c>
      <c r="M21" s="1343">
        <v>23113</v>
      </c>
    </row>
    <row r="22" spans="2:14" ht="16.899999999999999" customHeight="1" x14ac:dyDescent="0.2">
      <c r="B22" s="1956" t="s">
        <v>2094</v>
      </c>
      <c r="C22" s="1957"/>
      <c r="D22" s="1958"/>
      <c r="E22" s="1959">
        <f>SUM(E20:E21)</f>
        <v>25112</v>
      </c>
      <c r="F22" s="1959">
        <f t="shared" ref="F22:K22" si="3">SUM(F20:F21)</f>
        <v>23057</v>
      </c>
      <c r="G22" s="1959">
        <f t="shared" si="3"/>
        <v>25937</v>
      </c>
      <c r="H22" s="1959">
        <f t="shared" si="3"/>
        <v>0</v>
      </c>
      <c r="I22" s="1959">
        <f t="shared" si="3"/>
        <v>23057</v>
      </c>
      <c r="J22" s="1959">
        <f t="shared" si="3"/>
        <v>0</v>
      </c>
      <c r="K22" s="1959">
        <f t="shared" si="3"/>
        <v>0</v>
      </c>
      <c r="L22" s="1960">
        <f>+G22+I22+K22</f>
        <v>48994</v>
      </c>
      <c r="M22" s="1959"/>
    </row>
    <row r="23" spans="2:14" ht="16.899999999999999" customHeight="1" x14ac:dyDescent="0.2">
      <c r="B23" s="1337"/>
      <c r="C23" s="1341"/>
      <c r="D23" s="1342"/>
      <c r="E23" s="1343"/>
      <c r="F23" s="1343"/>
      <c r="G23" s="1343"/>
      <c r="H23" s="1343"/>
      <c r="I23" s="1343"/>
      <c r="J23" s="1343"/>
      <c r="K23" s="1343"/>
      <c r="L23" s="1340"/>
      <c r="M23" s="1343"/>
    </row>
    <row r="24" spans="2:14" ht="16.899999999999999" customHeight="1" x14ac:dyDescent="0.2">
      <c r="B24" s="1974" t="s">
        <v>2140</v>
      </c>
      <c r="C24" s="1341" t="s">
        <v>2103</v>
      </c>
      <c r="D24" s="1342" t="s">
        <v>2121</v>
      </c>
      <c r="E24" s="1343"/>
      <c r="F24" s="1343">
        <v>11784</v>
      </c>
      <c r="G24" s="1343"/>
      <c r="H24" s="1343"/>
      <c r="I24" s="1343">
        <v>12016</v>
      </c>
      <c r="J24" s="1343"/>
      <c r="K24" s="1343">
        <v>289</v>
      </c>
      <c r="L24" s="1340">
        <f>+G24+I24+K24</f>
        <v>12305</v>
      </c>
      <c r="M24" s="1343">
        <v>16342</v>
      </c>
    </row>
    <row r="25" spans="2:14" ht="16.899999999999999" customHeight="1" x14ac:dyDescent="0.2">
      <c r="B25" s="1956" t="s">
        <v>2102</v>
      </c>
      <c r="C25" s="1957"/>
      <c r="D25" s="1958"/>
      <c r="E25" s="1959">
        <f>SUM(E24)</f>
        <v>0</v>
      </c>
      <c r="F25" s="1959">
        <f t="shared" ref="F25:K25" si="4">SUM(F24)</f>
        <v>11784</v>
      </c>
      <c r="G25" s="1959">
        <f t="shared" si="4"/>
        <v>0</v>
      </c>
      <c r="H25" s="1959">
        <f t="shared" si="4"/>
        <v>0</v>
      </c>
      <c r="I25" s="1959">
        <f t="shared" si="4"/>
        <v>12016</v>
      </c>
      <c r="J25" s="1959">
        <f t="shared" si="4"/>
        <v>0</v>
      </c>
      <c r="K25" s="1959">
        <f t="shared" si="4"/>
        <v>289</v>
      </c>
      <c r="L25" s="1959">
        <f>SUM(L24)</f>
        <v>12305</v>
      </c>
      <c r="M25" s="1959"/>
    </row>
    <row r="26" spans="2:14" ht="16.899999999999999" customHeight="1" x14ac:dyDescent="0.2">
      <c r="B26" s="1337"/>
      <c r="C26" s="1341"/>
      <c r="D26" s="1342"/>
      <c r="E26" s="1343"/>
      <c r="F26" s="1343"/>
      <c r="G26" s="1343"/>
      <c r="H26" s="1343"/>
      <c r="I26" s="1343"/>
      <c r="J26" s="1343"/>
      <c r="K26" s="1343"/>
      <c r="L26" s="1340"/>
      <c r="M26" s="1343"/>
    </row>
    <row r="27" spans="2:14" ht="16.899999999999999" customHeight="1" x14ac:dyDescent="0.2">
      <c r="B27" s="1337" t="s">
        <v>2097</v>
      </c>
      <c r="C27" s="1341" t="s">
        <v>2099</v>
      </c>
      <c r="D27" s="1342" t="s">
        <v>2122</v>
      </c>
      <c r="E27" s="1343"/>
      <c r="F27" s="1343">
        <v>46853</v>
      </c>
      <c r="G27" s="1343">
        <v>4754</v>
      </c>
      <c r="H27" s="1343"/>
      <c r="I27" s="1970">
        <v>42099</v>
      </c>
      <c r="J27" s="1343"/>
      <c r="K27" s="1343"/>
      <c r="L27" s="1340">
        <f t="shared" si="0"/>
        <v>46853</v>
      </c>
      <c r="M27" s="1343" t="s">
        <v>2100</v>
      </c>
    </row>
    <row r="28" spans="2:14" ht="16.899999999999999" customHeight="1" x14ac:dyDescent="0.2">
      <c r="B28" s="1337" t="s">
        <v>2097</v>
      </c>
      <c r="C28" s="1341" t="s">
        <v>2099</v>
      </c>
      <c r="D28" s="1342" t="s">
        <v>2123</v>
      </c>
      <c r="E28" s="1343"/>
      <c r="F28" s="1343">
        <v>73958</v>
      </c>
      <c r="G28" s="1343"/>
      <c r="H28" s="1343"/>
      <c r="I28" s="1970">
        <v>92703</v>
      </c>
      <c r="J28" s="1970"/>
      <c r="K28" s="1970">
        <v>10187</v>
      </c>
      <c r="L28" s="1340">
        <f t="shared" si="0"/>
        <v>102890</v>
      </c>
      <c r="M28" s="1343" t="s">
        <v>2100</v>
      </c>
    </row>
    <row r="29" spans="2:14" ht="16.899999999999999" customHeight="1" x14ac:dyDescent="0.2">
      <c r="B29" s="1956" t="s">
        <v>2098</v>
      </c>
      <c r="C29" s="1957"/>
      <c r="D29" s="1958"/>
      <c r="E29" s="1959">
        <f>SUM(E27:E28)</f>
        <v>0</v>
      </c>
      <c r="F29" s="1959">
        <f t="shared" ref="F29:K29" si="5">SUM(F27:F28)</f>
        <v>120811</v>
      </c>
      <c r="G29" s="1959">
        <f t="shared" si="5"/>
        <v>4754</v>
      </c>
      <c r="H29" s="1959">
        <f t="shared" si="5"/>
        <v>0</v>
      </c>
      <c r="I29" s="1959">
        <f t="shared" si="5"/>
        <v>134802</v>
      </c>
      <c r="J29" s="1959">
        <f t="shared" si="5"/>
        <v>0</v>
      </c>
      <c r="K29" s="1959">
        <f t="shared" si="5"/>
        <v>10187</v>
      </c>
      <c r="L29" s="1960">
        <f t="shared" si="0"/>
        <v>149743</v>
      </c>
      <c r="M29" s="1959"/>
    </row>
    <row r="30" spans="2:14" ht="16.899999999999999" customHeight="1" x14ac:dyDescent="0.2">
      <c r="B30" s="1337"/>
      <c r="C30" s="1341"/>
      <c r="D30" s="1342"/>
      <c r="E30" s="1343"/>
      <c r="F30" s="1343"/>
      <c r="G30" s="1343"/>
      <c r="H30" s="1343"/>
      <c r="I30" s="1343"/>
      <c r="J30" s="1343"/>
      <c r="K30" s="1343"/>
      <c r="L30" s="1340"/>
      <c r="M30" s="1343"/>
    </row>
    <row r="31" spans="2:14" ht="16.899999999999999" customHeight="1" x14ac:dyDescent="0.2">
      <c r="B31" s="1965" t="s">
        <v>2101</v>
      </c>
      <c r="C31" s="1966"/>
      <c r="D31" s="1967"/>
      <c r="E31" s="1968">
        <f>E14+E18+E22+E29+E25</f>
        <v>424017</v>
      </c>
      <c r="F31" s="1968">
        <f t="shared" ref="F31:L31" si="6">F14+F18+F22+F29+F25</f>
        <v>622531</v>
      </c>
      <c r="G31" s="1968">
        <f t="shared" si="6"/>
        <v>456765</v>
      </c>
      <c r="H31" s="1968">
        <f t="shared" si="6"/>
        <v>0</v>
      </c>
      <c r="I31" s="1968">
        <f>I14+I18+I22+I29+I25</f>
        <v>635556</v>
      </c>
      <c r="J31" s="1968">
        <f t="shared" si="6"/>
        <v>0</v>
      </c>
      <c r="K31" s="1968">
        <f t="shared" si="6"/>
        <v>39511</v>
      </c>
      <c r="L31" s="1968">
        <f t="shared" si="6"/>
        <v>1131832</v>
      </c>
      <c r="M31" s="1968"/>
      <c r="N31" s="1344"/>
    </row>
    <row r="32" spans="2:14" ht="12.75" customHeight="1" x14ac:dyDescent="0.2">
      <c r="B32" s="1345"/>
      <c r="C32" s="1346"/>
      <c r="D32" s="1347"/>
      <c r="E32" s="1348"/>
      <c r="F32" s="1348"/>
      <c r="G32" s="1348"/>
      <c r="H32" s="1348"/>
      <c r="I32" s="1348"/>
      <c r="J32" s="1348"/>
      <c r="K32" s="1348"/>
      <c r="L32" s="1348"/>
      <c r="M32" s="1348"/>
      <c r="N32" s="1344"/>
    </row>
    <row r="33" spans="2:14" x14ac:dyDescent="0.2">
      <c r="B33" s="1257"/>
      <c r="C33" s="1349"/>
      <c r="D33" s="1350"/>
      <c r="E33" s="1257"/>
      <c r="F33" s="1257"/>
      <c r="G33" s="1250"/>
      <c r="H33" s="1250"/>
      <c r="I33" s="1250"/>
      <c r="J33" s="1250"/>
      <c r="K33" s="1250"/>
      <c r="L33" s="1250"/>
      <c r="M33" s="1257"/>
      <c r="N33" s="1344"/>
    </row>
    <row r="34" spans="2:14" ht="13.5" customHeight="1" x14ac:dyDescent="0.2">
      <c r="B34" s="1282" t="s">
        <v>1837</v>
      </c>
      <c r="C34" s="1349"/>
      <c r="D34" s="1350"/>
      <c r="E34" s="1257"/>
      <c r="F34" s="1257"/>
      <c r="G34" s="1250"/>
      <c r="H34" s="1250"/>
      <c r="I34" s="1250"/>
      <c r="J34" s="1250"/>
      <c r="K34" s="1250"/>
      <c r="L34" s="1250"/>
      <c r="M34" s="1257"/>
      <c r="N34" s="1344"/>
    </row>
    <row r="35" spans="2:14" ht="8.25" customHeight="1" x14ac:dyDescent="0.2">
      <c r="B35" s="1282"/>
      <c r="C35" s="1349"/>
      <c r="D35" s="1350"/>
      <c r="E35" s="1257"/>
      <c r="F35" s="1257"/>
      <c r="G35" s="1250"/>
      <c r="H35" s="1250"/>
      <c r="I35" s="1250"/>
      <c r="J35" s="1250"/>
      <c r="K35" s="1250"/>
      <c r="L35" s="1250"/>
      <c r="M35" s="1257"/>
      <c r="N35" s="1344"/>
    </row>
    <row r="36" spans="2:14" x14ac:dyDescent="0.2">
      <c r="B36" s="1351" t="s">
        <v>1946</v>
      </c>
      <c r="C36" s="1352"/>
      <c r="D36" s="1353"/>
      <c r="E36" s="1354"/>
      <c r="F36" s="1354"/>
      <c r="G36" s="1354"/>
      <c r="H36" s="1354"/>
      <c r="I36" s="317"/>
      <c r="J36" s="317"/>
    </row>
    <row r="37" spans="2:14" x14ac:dyDescent="0.2">
      <c r="B37" s="1277"/>
      <c r="C37" s="1355"/>
      <c r="D37" s="1356"/>
      <c r="E37" s="1278"/>
      <c r="F37" s="1278"/>
      <c r="G37" s="317"/>
      <c r="H37" s="317"/>
      <c r="I37" s="317"/>
      <c r="J37" s="317"/>
    </row>
    <row r="38" spans="2:14" ht="13.5" customHeight="1" x14ac:dyDescent="0.2">
      <c r="B38" s="1276" t="s">
        <v>1308</v>
      </c>
      <c r="G38" s="317"/>
      <c r="H38" s="317"/>
      <c r="I38" s="317"/>
      <c r="J38" s="317"/>
    </row>
    <row r="39" spans="2:14" ht="13.5" customHeight="1" x14ac:dyDescent="0.2">
      <c r="B39" s="1359"/>
      <c r="C39" s="1360"/>
      <c r="D39" s="1361"/>
      <c r="E39" s="1297"/>
      <c r="F39" s="1297"/>
      <c r="G39" s="1297"/>
      <c r="H39" s="1297"/>
      <c r="I39" s="1297"/>
      <c r="J39" s="1297"/>
      <c r="K39" s="1362"/>
      <c r="L39" s="1362"/>
      <c r="M39" s="1297"/>
    </row>
    <row r="40" spans="2:14" ht="9.6" customHeight="1" x14ac:dyDescent="0.2">
      <c r="B40" s="1363"/>
      <c r="G40" s="317"/>
      <c r="H40" s="317"/>
      <c r="I40" s="317"/>
      <c r="J40" s="317"/>
    </row>
    <row r="41" spans="2:14" ht="11.25" customHeight="1" x14ac:dyDescent="0.2">
      <c r="B41" s="1364" t="s">
        <v>1838</v>
      </c>
      <c r="C41" s="1365"/>
      <c r="D41" s="1365"/>
      <c r="E41" s="1365"/>
      <c r="F41" s="1365"/>
      <c r="G41" s="1365"/>
      <c r="H41" s="1365"/>
      <c r="I41" s="1366"/>
      <c r="J41" s="1366"/>
      <c r="K41" s="1366"/>
      <c r="L41" s="1366"/>
      <c r="M41" s="1366"/>
    </row>
    <row r="42" spans="2:14" ht="11.25" customHeight="1" x14ac:dyDescent="0.2">
      <c r="B42" s="1367" t="s">
        <v>1666</v>
      </c>
      <c r="C42" s="1366"/>
      <c r="D42" s="1366"/>
      <c r="E42" s="1366"/>
      <c r="F42" s="1366"/>
      <c r="G42" s="1366"/>
      <c r="H42" s="1366"/>
      <c r="I42" s="1366"/>
      <c r="J42" s="1366"/>
      <c r="K42" s="1366"/>
      <c r="L42" s="1366"/>
      <c r="M42" s="1366"/>
    </row>
    <row r="43" spans="2:14" ht="3.95" customHeight="1" x14ac:dyDescent="0.2">
      <c r="B43" s="1367"/>
      <c r="C43" s="1366"/>
      <c r="D43" s="1366"/>
      <c r="E43" s="1366"/>
      <c r="F43" s="1366"/>
      <c r="G43" s="1366"/>
      <c r="H43" s="1366"/>
      <c r="I43" s="1366"/>
      <c r="J43" s="1366"/>
      <c r="K43" s="1366"/>
      <c r="L43" s="1366"/>
      <c r="M43" s="1366"/>
    </row>
    <row r="44" spans="2:14" ht="11.25" customHeight="1" x14ac:dyDescent="0.2">
      <c r="B44" s="1364" t="s">
        <v>1839</v>
      </c>
      <c r="C44" s="1366"/>
      <c r="D44" s="1366"/>
      <c r="E44" s="1366"/>
      <c r="F44" s="1366"/>
      <c r="G44" s="1366"/>
      <c r="H44" s="1366"/>
      <c r="I44" s="1366"/>
      <c r="J44" s="1366"/>
      <c r="K44" s="1366"/>
      <c r="L44" s="1366"/>
      <c r="M44" s="1366"/>
    </row>
    <row r="45" spans="2:14" ht="11.25" customHeight="1" x14ac:dyDescent="0.2">
      <c r="B45" s="1300" t="s">
        <v>1667</v>
      </c>
      <c r="C45" s="1368"/>
      <c r="D45" s="1369"/>
      <c r="E45" s="1300"/>
      <c r="F45" s="1300"/>
      <c r="G45" s="1300"/>
      <c r="H45" s="1300"/>
      <c r="I45" s="1300"/>
      <c r="J45" s="1300"/>
      <c r="K45" s="1370"/>
      <c r="L45" s="1370"/>
      <c r="M45" s="1300"/>
    </row>
    <row r="46" spans="2:14" ht="3.95" customHeight="1" x14ac:dyDescent="0.2">
      <c r="B46" s="1300"/>
      <c r="C46" s="1368"/>
      <c r="D46" s="1369"/>
      <c r="E46" s="1300"/>
      <c r="F46" s="1300"/>
      <c r="G46" s="1300"/>
      <c r="H46" s="1300"/>
      <c r="I46" s="1300"/>
      <c r="J46" s="1300"/>
      <c r="K46" s="1370"/>
      <c r="L46" s="1370"/>
      <c r="M46" s="1300"/>
    </row>
    <row r="47" spans="2:14" ht="11.25" customHeight="1" x14ac:dyDescent="0.2">
      <c r="B47" s="1371" t="s">
        <v>1840</v>
      </c>
      <c r="C47" s="1368"/>
      <c r="D47" s="1369"/>
      <c r="E47" s="1300"/>
      <c r="F47" s="1300"/>
      <c r="G47" s="1300"/>
      <c r="H47" s="1300"/>
      <c r="I47" s="1300"/>
      <c r="J47" s="1300"/>
      <c r="K47" s="1370"/>
      <c r="L47" s="1370"/>
      <c r="M47" s="1300"/>
    </row>
    <row r="48" spans="2:14" ht="3.95" customHeight="1" x14ac:dyDescent="0.2">
      <c r="B48" s="1371"/>
      <c r="C48" s="1368"/>
      <c r="D48" s="1369"/>
      <c r="E48" s="1300"/>
      <c r="F48" s="1300"/>
      <c r="G48" s="1300"/>
      <c r="H48" s="1300"/>
      <c r="I48" s="1300"/>
      <c r="J48" s="1300"/>
      <c r="K48" s="1370"/>
      <c r="L48" s="1370"/>
      <c r="M48" s="1300"/>
    </row>
    <row r="49" spans="2:13" ht="11.25" customHeight="1" x14ac:dyDescent="0.2">
      <c r="B49" s="1372" t="s">
        <v>1841</v>
      </c>
      <c r="C49" s="1368"/>
      <c r="D49" s="1369"/>
      <c r="E49" s="1300"/>
      <c r="F49" s="1300"/>
      <c r="G49" s="1300"/>
      <c r="H49" s="1300"/>
      <c r="I49" s="1300"/>
      <c r="J49" s="1300"/>
      <c r="K49" s="1370"/>
      <c r="L49" s="1370"/>
      <c r="M49" s="1300"/>
    </row>
    <row r="50" spans="2:13" ht="11.25" customHeight="1" x14ac:dyDescent="0.2">
      <c r="B50" s="1300" t="s">
        <v>1668</v>
      </c>
      <c r="G50" s="317"/>
      <c r="H50" s="317"/>
      <c r="I50" s="317"/>
      <c r="J50" s="317"/>
    </row>
    <row r="51" spans="2:13" ht="11.1" customHeight="1" x14ac:dyDescent="0.2">
      <c r="B51" s="1300"/>
      <c r="G51" s="317"/>
      <c r="H51" s="317"/>
      <c r="I51" s="317"/>
      <c r="J51" s="317"/>
    </row>
    <row r="52" spans="2:13" ht="11.1" customHeight="1" x14ac:dyDescent="0.2">
      <c r="B52" s="1300"/>
      <c r="G52" s="317"/>
      <c r="H52" s="317"/>
      <c r="I52" s="317"/>
      <c r="J52" s="317"/>
    </row>
    <row r="53" spans="2:13" ht="13.5" customHeight="1" x14ac:dyDescent="0.2">
      <c r="M53" s="1373"/>
    </row>
    <row r="54" spans="2:13" ht="13.5" customHeight="1" x14ac:dyDescent="0.2">
      <c r="M54" s="1373"/>
    </row>
    <row r="55" spans="2:13" ht="13.5" customHeight="1" x14ac:dyDescent="0.2">
      <c r="M55" s="1373"/>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4"/>
  <sheetViews>
    <sheetView showGridLines="0" topLeftCell="A8" zoomScale="110" zoomScaleNormal="110" workbookViewId="0">
      <selection activeCell="A7" sqref="A7:D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1" t="str">
        <f>'Single Audit Cover'!A7</f>
        <v>Pikeland CUSD 10</v>
      </c>
      <c r="C1" s="2472"/>
      <c r="D1" s="2472"/>
      <c r="E1" s="2472"/>
      <c r="F1" s="2472"/>
      <c r="G1" s="2472"/>
      <c r="H1" s="2472"/>
      <c r="I1" s="2472"/>
      <c r="J1" s="2472"/>
      <c r="K1" s="2472"/>
      <c r="L1" s="2472"/>
      <c r="M1" s="2472"/>
    </row>
    <row r="2" spans="2:14" ht="15" x14ac:dyDescent="0.2">
      <c r="B2" s="2473">
        <f>'Single Audit Cover'!E7</f>
        <v>1075010026</v>
      </c>
      <c r="C2" s="2473"/>
      <c r="D2" s="2473"/>
      <c r="E2" s="2473"/>
      <c r="F2" s="2473"/>
      <c r="G2" s="2473"/>
      <c r="H2" s="2473"/>
      <c r="I2" s="2473"/>
      <c r="J2" s="2473"/>
      <c r="K2" s="2473"/>
      <c r="L2" s="2473"/>
      <c r="M2" s="2473"/>
      <c r="N2" s="1302"/>
    </row>
    <row r="3" spans="2:14" ht="15" x14ac:dyDescent="0.2">
      <c r="B3" s="2474" t="s">
        <v>1281</v>
      </c>
      <c r="C3" s="2474"/>
      <c r="D3" s="2474"/>
      <c r="E3" s="2474"/>
      <c r="F3" s="2474"/>
      <c r="G3" s="2474"/>
      <c r="H3" s="2474"/>
      <c r="I3" s="2474"/>
      <c r="J3" s="2474"/>
      <c r="K3" s="2474"/>
      <c r="L3" s="2474"/>
      <c r="M3" s="2474"/>
      <c r="N3" s="1302"/>
    </row>
    <row r="4" spans="2:14" ht="15" x14ac:dyDescent="0.2">
      <c r="B4" s="2475" t="str">
        <f>'Single Audit Cover'!A4</f>
        <v>Year Ending June 30, 2018</v>
      </c>
      <c r="C4" s="2475"/>
      <c r="D4" s="2475"/>
      <c r="E4" s="2475"/>
      <c r="F4" s="2475"/>
      <c r="G4" s="2475"/>
      <c r="H4" s="2475"/>
      <c r="I4" s="2475"/>
      <c r="J4" s="2475"/>
      <c r="K4" s="2475"/>
      <c r="L4" s="2475"/>
      <c r="M4" s="247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1.6" customHeight="1" x14ac:dyDescent="0.2">
      <c r="B11" s="1337" t="s">
        <v>2104</v>
      </c>
      <c r="C11" s="1338"/>
      <c r="D11" s="1339"/>
      <c r="E11" s="1340"/>
      <c r="F11" s="1340"/>
      <c r="G11" s="1340"/>
      <c r="H11" s="1340"/>
      <c r="I11" s="1340"/>
      <c r="J11" s="1340"/>
      <c r="K11" s="1340"/>
      <c r="L11" s="1340"/>
      <c r="M11" s="1340"/>
    </row>
    <row r="12" spans="2:14" ht="18.600000000000001" customHeight="1" x14ac:dyDescent="0.2">
      <c r="B12" s="1337" t="s">
        <v>2136</v>
      </c>
      <c r="C12" s="1341">
        <v>10.555</v>
      </c>
      <c r="D12" s="1342" t="s">
        <v>2124</v>
      </c>
      <c r="E12" s="1343">
        <v>206785</v>
      </c>
      <c r="F12" s="1343">
        <v>44522</v>
      </c>
      <c r="G12" s="1343">
        <v>206785</v>
      </c>
      <c r="H12" s="1343"/>
      <c r="I12" s="1970">
        <v>44522</v>
      </c>
      <c r="J12" s="1343"/>
      <c r="K12" s="1343"/>
      <c r="L12" s="1340">
        <f t="shared" ref="L12:L28" si="0">+G12+I12+K12</f>
        <v>251307</v>
      </c>
      <c r="M12" s="1343" t="s">
        <v>2100</v>
      </c>
    </row>
    <row r="13" spans="2:14" ht="18.600000000000001" customHeight="1" x14ac:dyDescent="0.2">
      <c r="B13" s="1337" t="s">
        <v>2136</v>
      </c>
      <c r="C13" s="1341">
        <v>10.555</v>
      </c>
      <c r="D13" s="1342" t="s">
        <v>2125</v>
      </c>
      <c r="E13" s="1343"/>
      <c r="F13" s="1343">
        <v>217877</v>
      </c>
      <c r="G13" s="1343"/>
      <c r="H13" s="1343"/>
      <c r="I13" s="1970">
        <v>217877</v>
      </c>
      <c r="J13" s="1343"/>
      <c r="K13" s="1343"/>
      <c r="L13" s="1340">
        <f t="shared" si="0"/>
        <v>217877</v>
      </c>
      <c r="M13" s="1343" t="s">
        <v>2100</v>
      </c>
    </row>
    <row r="14" spans="2:14" ht="18.600000000000001" customHeight="1" x14ac:dyDescent="0.2">
      <c r="B14" s="1337" t="s">
        <v>2137</v>
      </c>
      <c r="C14" s="1341">
        <v>10.555</v>
      </c>
      <c r="D14" s="1342">
        <v>2017</v>
      </c>
      <c r="E14" s="1343">
        <v>48456</v>
      </c>
      <c r="F14" s="1343"/>
      <c r="G14" s="1343">
        <v>48456</v>
      </c>
      <c r="H14" s="1343"/>
      <c r="I14" s="1343"/>
      <c r="J14" s="1343"/>
      <c r="K14" s="1343"/>
      <c r="L14" s="1340">
        <f t="shared" si="0"/>
        <v>48456</v>
      </c>
      <c r="M14" s="1343" t="s">
        <v>2100</v>
      </c>
    </row>
    <row r="15" spans="2:14" ht="18.600000000000001" customHeight="1" x14ac:dyDescent="0.2">
      <c r="B15" s="1337" t="s">
        <v>2137</v>
      </c>
      <c r="C15" s="1341">
        <v>10.555</v>
      </c>
      <c r="D15" s="1342">
        <v>2018</v>
      </c>
      <c r="E15" s="1343"/>
      <c r="F15" s="1343">
        <v>44946</v>
      </c>
      <c r="G15" s="1343"/>
      <c r="H15" s="1343"/>
      <c r="I15" s="1343">
        <f>F15</f>
        <v>44946</v>
      </c>
      <c r="J15" s="1343"/>
      <c r="K15" s="1343"/>
      <c r="L15" s="1340">
        <f t="shared" si="0"/>
        <v>44946</v>
      </c>
      <c r="M15" s="1343" t="s">
        <v>2100</v>
      </c>
    </row>
    <row r="16" spans="2:14" ht="18.600000000000001" customHeight="1" x14ac:dyDescent="0.2">
      <c r="B16" s="1956" t="s">
        <v>2105</v>
      </c>
      <c r="C16" s="1957"/>
      <c r="D16" s="1958"/>
      <c r="E16" s="1959">
        <f>SUM(E12:E15)</f>
        <v>255241</v>
      </c>
      <c r="F16" s="1959">
        <f t="shared" ref="F16:K16" si="1">SUM(F12:F15)</f>
        <v>307345</v>
      </c>
      <c r="G16" s="1959">
        <f t="shared" si="1"/>
        <v>255241</v>
      </c>
      <c r="H16" s="1959">
        <f t="shared" si="1"/>
        <v>0</v>
      </c>
      <c r="I16" s="1959">
        <f>SUM(I12:I15)</f>
        <v>307345</v>
      </c>
      <c r="J16" s="1959">
        <f t="shared" si="1"/>
        <v>0</v>
      </c>
      <c r="K16" s="1959">
        <f t="shared" si="1"/>
        <v>0</v>
      </c>
      <c r="L16" s="1960">
        <f t="shared" si="0"/>
        <v>562586</v>
      </c>
      <c r="M16" s="1959"/>
    </row>
    <row r="17" spans="2:14" ht="18.600000000000001" customHeight="1" x14ac:dyDescent="0.2">
      <c r="B17" s="1337"/>
      <c r="C17" s="1341"/>
      <c r="D17" s="1342"/>
      <c r="E17" s="1343"/>
      <c r="F17" s="1343"/>
      <c r="G17" s="1343"/>
      <c r="H17" s="1343"/>
      <c r="I17" s="1343"/>
      <c r="J17" s="1343"/>
      <c r="K17" s="1343"/>
      <c r="L17" s="1340"/>
      <c r="M17" s="1343"/>
    </row>
    <row r="18" spans="2:14" ht="18.600000000000001" customHeight="1" x14ac:dyDescent="0.2">
      <c r="B18" s="1337" t="s">
        <v>2138</v>
      </c>
      <c r="C18" s="1341">
        <v>10.553000000000001</v>
      </c>
      <c r="D18" s="1342" t="s">
        <v>2126</v>
      </c>
      <c r="E18" s="1343">
        <v>98476</v>
      </c>
      <c r="F18" s="1343">
        <v>20880</v>
      </c>
      <c r="G18" s="1343">
        <v>98476</v>
      </c>
      <c r="H18" s="1343"/>
      <c r="I18" s="1970">
        <v>20880</v>
      </c>
      <c r="J18" s="1343"/>
      <c r="K18" s="1343"/>
      <c r="L18" s="1340">
        <f t="shared" si="0"/>
        <v>119356</v>
      </c>
      <c r="M18" s="1343" t="s">
        <v>2100</v>
      </c>
    </row>
    <row r="19" spans="2:14" ht="18.600000000000001" customHeight="1" x14ac:dyDescent="0.2">
      <c r="B19" s="1337" t="s">
        <v>2138</v>
      </c>
      <c r="C19" s="1341">
        <v>10.553000000000001</v>
      </c>
      <c r="D19" s="1342" t="s">
        <v>2127</v>
      </c>
      <c r="E19" s="1343"/>
      <c r="F19" s="1343">
        <v>103442</v>
      </c>
      <c r="G19" s="1343"/>
      <c r="H19" s="1343"/>
      <c r="I19" s="1970">
        <v>103442</v>
      </c>
      <c r="J19" s="1343"/>
      <c r="K19" s="1343"/>
      <c r="L19" s="1340">
        <f t="shared" si="0"/>
        <v>103442</v>
      </c>
      <c r="M19" s="1343" t="s">
        <v>2100</v>
      </c>
    </row>
    <row r="20" spans="2:14" ht="18.600000000000001" customHeight="1" x14ac:dyDescent="0.2">
      <c r="B20" s="1956" t="s">
        <v>2106</v>
      </c>
      <c r="C20" s="1957"/>
      <c r="D20" s="1958"/>
      <c r="E20" s="1959">
        <f>SUM(E18:E19)</f>
        <v>98476</v>
      </c>
      <c r="F20" s="1959">
        <f t="shared" ref="F20:K20" si="2">SUM(F18:F19)</f>
        <v>124322</v>
      </c>
      <c r="G20" s="1959">
        <f t="shared" si="2"/>
        <v>98476</v>
      </c>
      <c r="H20" s="1959">
        <f t="shared" si="2"/>
        <v>0</v>
      </c>
      <c r="I20" s="1959">
        <f t="shared" si="2"/>
        <v>124322</v>
      </c>
      <c r="J20" s="1959">
        <f t="shared" si="2"/>
        <v>0</v>
      </c>
      <c r="K20" s="1959">
        <f t="shared" si="2"/>
        <v>0</v>
      </c>
      <c r="L20" s="1960">
        <f t="shared" si="0"/>
        <v>222798</v>
      </c>
      <c r="M20" s="1959"/>
    </row>
    <row r="21" spans="2:14" ht="18.600000000000001" customHeight="1" x14ac:dyDescent="0.2">
      <c r="B21" s="1337"/>
      <c r="C21" s="1341"/>
      <c r="D21" s="1342"/>
      <c r="E21" s="1343"/>
      <c r="F21" s="1343"/>
      <c r="G21" s="1343"/>
      <c r="H21" s="1343"/>
      <c r="I21" s="1343"/>
      <c r="J21" s="1343"/>
      <c r="K21" s="1343"/>
      <c r="L21" s="1340"/>
      <c r="M21" s="1343"/>
    </row>
    <row r="22" spans="2:14" ht="18.600000000000001" customHeight="1" x14ac:dyDescent="0.2">
      <c r="B22" s="1337" t="s">
        <v>2139</v>
      </c>
      <c r="C22" s="1341">
        <v>10.555999999999999</v>
      </c>
      <c r="D22" s="1342" t="s">
        <v>2128</v>
      </c>
      <c r="E22" s="1343">
        <v>948</v>
      </c>
      <c r="F22" s="1343">
        <v>205</v>
      </c>
      <c r="G22" s="1343">
        <v>948</v>
      </c>
      <c r="H22" s="1343"/>
      <c r="I22" s="1970">
        <v>205</v>
      </c>
      <c r="J22" s="1343"/>
      <c r="K22" s="1343"/>
      <c r="L22" s="1340">
        <f t="shared" si="0"/>
        <v>1153</v>
      </c>
      <c r="M22" s="1343" t="s">
        <v>2100</v>
      </c>
    </row>
    <row r="23" spans="2:14" ht="18.600000000000001" customHeight="1" x14ac:dyDescent="0.2">
      <c r="B23" s="1337" t="s">
        <v>2139</v>
      </c>
      <c r="C23" s="1341">
        <v>10.555999999999999</v>
      </c>
      <c r="D23" s="1342" t="s">
        <v>2129</v>
      </c>
      <c r="E23" s="1343"/>
      <c r="F23" s="1343">
        <v>1061</v>
      </c>
      <c r="G23" s="1343"/>
      <c r="H23" s="1343"/>
      <c r="I23" s="1970">
        <v>1061</v>
      </c>
      <c r="J23" s="1343"/>
      <c r="K23" s="1343"/>
      <c r="L23" s="1340">
        <f t="shared" si="0"/>
        <v>1061</v>
      </c>
      <c r="M23" s="1343" t="s">
        <v>2100</v>
      </c>
    </row>
    <row r="24" spans="2:14" ht="18.600000000000001" customHeight="1" x14ac:dyDescent="0.2">
      <c r="B24" s="1956" t="s">
        <v>2107</v>
      </c>
      <c r="C24" s="1957"/>
      <c r="D24" s="1958"/>
      <c r="E24" s="1959">
        <f>SUM(E22:E23)</f>
        <v>948</v>
      </c>
      <c r="F24" s="1959">
        <f t="shared" ref="F24:K24" si="3">SUM(F22:F23)</f>
        <v>1266</v>
      </c>
      <c r="G24" s="1959">
        <f t="shared" si="3"/>
        <v>948</v>
      </c>
      <c r="H24" s="1959">
        <f t="shared" si="3"/>
        <v>0</v>
      </c>
      <c r="I24" s="1959">
        <f t="shared" si="3"/>
        <v>1266</v>
      </c>
      <c r="J24" s="1959">
        <f t="shared" si="3"/>
        <v>0</v>
      </c>
      <c r="K24" s="1959">
        <f t="shared" si="3"/>
        <v>0</v>
      </c>
      <c r="L24" s="1960">
        <f t="shared" si="0"/>
        <v>2214</v>
      </c>
      <c r="M24" s="1959"/>
    </row>
    <row r="25" spans="2:14" ht="18.600000000000001" customHeight="1" x14ac:dyDescent="0.2">
      <c r="B25" s="1337"/>
      <c r="C25" s="1341"/>
      <c r="D25" s="1342"/>
      <c r="E25" s="1343"/>
      <c r="F25" s="1343"/>
      <c r="G25" s="1343"/>
      <c r="H25" s="1343"/>
      <c r="I25" s="1343"/>
      <c r="J25" s="1343"/>
      <c r="K25" s="1343"/>
      <c r="L25" s="1340"/>
      <c r="M25" s="1343"/>
    </row>
    <row r="26" spans="2:14" ht="18.600000000000001" customHeight="1" x14ac:dyDescent="0.2">
      <c r="B26" s="1961" t="s">
        <v>2109</v>
      </c>
      <c r="C26" s="1962"/>
      <c r="D26" s="1963"/>
      <c r="E26" s="1964">
        <f>E16+E20+E24</f>
        <v>354665</v>
      </c>
      <c r="F26" s="1964">
        <f t="shared" ref="F26:L26" si="4">F16+F20+F24</f>
        <v>432933</v>
      </c>
      <c r="G26" s="1964">
        <f t="shared" si="4"/>
        <v>354665</v>
      </c>
      <c r="H26" s="1964">
        <f t="shared" si="4"/>
        <v>0</v>
      </c>
      <c r="I26" s="1964">
        <f>I16+I20+I24</f>
        <v>432933</v>
      </c>
      <c r="J26" s="1964">
        <f t="shared" si="4"/>
        <v>0</v>
      </c>
      <c r="K26" s="1964">
        <f t="shared" si="4"/>
        <v>0</v>
      </c>
      <c r="L26" s="1964">
        <f t="shared" si="4"/>
        <v>787598</v>
      </c>
      <c r="M26" s="1964"/>
    </row>
    <row r="27" spans="2:14" ht="18.600000000000001" customHeight="1" x14ac:dyDescent="0.2">
      <c r="B27" s="1337"/>
      <c r="C27" s="1341"/>
      <c r="D27" s="1342"/>
      <c r="E27" s="1343"/>
      <c r="F27" s="1343"/>
      <c r="G27" s="1343"/>
      <c r="H27" s="1343"/>
      <c r="I27" s="1343"/>
      <c r="J27" s="1343"/>
      <c r="K27" s="1343"/>
      <c r="L27" s="1340"/>
      <c r="M27" s="1343"/>
    </row>
    <row r="28" spans="2:14" ht="18.600000000000001" customHeight="1" x14ac:dyDescent="0.2">
      <c r="B28" s="1965" t="s">
        <v>2108</v>
      </c>
      <c r="C28" s="1966"/>
      <c r="D28" s="1967"/>
      <c r="E28" s="1968">
        <f>E16+E20+E24</f>
        <v>354665</v>
      </c>
      <c r="F28" s="1968">
        <f t="shared" ref="F28:K28" si="5">F16+F20+F24</f>
        <v>432933</v>
      </c>
      <c r="G28" s="1968">
        <f t="shared" si="5"/>
        <v>354665</v>
      </c>
      <c r="H28" s="1968">
        <f t="shared" si="5"/>
        <v>0</v>
      </c>
      <c r="I28" s="1968">
        <f t="shared" si="5"/>
        <v>432933</v>
      </c>
      <c r="J28" s="1968">
        <f t="shared" si="5"/>
        <v>0</v>
      </c>
      <c r="K28" s="1968">
        <f t="shared" si="5"/>
        <v>0</v>
      </c>
      <c r="L28" s="1969">
        <f t="shared" si="0"/>
        <v>787598</v>
      </c>
      <c r="M28" s="1968"/>
    </row>
    <row r="29" spans="2:14" ht="18.600000000000001" customHeight="1" x14ac:dyDescent="0.2">
      <c r="B29" s="1337"/>
      <c r="C29" s="1341"/>
      <c r="D29" s="1342"/>
      <c r="E29" s="1343"/>
      <c r="F29" s="1343"/>
      <c r="G29" s="1343"/>
      <c r="H29" s="1343"/>
      <c r="I29" s="1343"/>
      <c r="J29" s="1343"/>
      <c r="K29" s="1343"/>
      <c r="L29" s="1340"/>
      <c r="M29" s="1343"/>
      <c r="N29" s="1344"/>
    </row>
    <row r="30" spans="2:14" ht="12.75" customHeight="1" x14ac:dyDescent="0.2">
      <c r="B30" s="1345"/>
      <c r="C30" s="1346"/>
      <c r="D30" s="1347"/>
      <c r="E30" s="1348"/>
      <c r="F30" s="1348"/>
      <c r="G30" s="1348"/>
      <c r="H30" s="1348"/>
      <c r="I30" s="1348"/>
      <c r="J30" s="1348"/>
      <c r="K30" s="1348"/>
      <c r="L30" s="1348"/>
      <c r="M30" s="1348"/>
      <c r="N30" s="1344"/>
    </row>
    <row r="31" spans="2:14" x14ac:dyDescent="0.2">
      <c r="B31" s="1257"/>
      <c r="C31" s="1349"/>
      <c r="D31" s="1350"/>
      <c r="E31" s="1257"/>
      <c r="F31" s="1257"/>
      <c r="G31" s="1250"/>
      <c r="H31" s="1250"/>
      <c r="I31" s="1250"/>
      <c r="J31" s="1250"/>
      <c r="K31" s="1250"/>
      <c r="L31" s="1250"/>
      <c r="M31" s="1257"/>
      <c r="N31" s="1344"/>
    </row>
    <row r="32" spans="2:14" ht="13.5" customHeight="1" x14ac:dyDescent="0.2">
      <c r="B32" s="1282" t="s">
        <v>1837</v>
      </c>
      <c r="C32" s="1349"/>
      <c r="D32" s="1350"/>
      <c r="E32" s="1257"/>
      <c r="F32" s="1257"/>
      <c r="G32" s="1250"/>
      <c r="H32" s="1250"/>
      <c r="I32" s="1250"/>
      <c r="J32" s="1250"/>
      <c r="K32" s="1250"/>
      <c r="L32" s="1250"/>
      <c r="M32" s="1257"/>
      <c r="N32" s="1344"/>
    </row>
    <row r="33" spans="2:14" ht="8.25" customHeight="1" x14ac:dyDescent="0.2">
      <c r="B33" s="1282"/>
      <c r="C33" s="1349"/>
      <c r="D33" s="1350"/>
      <c r="E33" s="1257"/>
      <c r="F33" s="1257"/>
      <c r="G33" s="1250"/>
      <c r="H33" s="1250"/>
      <c r="I33" s="1250"/>
      <c r="J33" s="1250"/>
      <c r="K33" s="1250"/>
      <c r="L33" s="1250"/>
      <c r="M33" s="1257"/>
      <c r="N33" s="1344"/>
    </row>
    <row r="34" spans="2:14" x14ac:dyDescent="0.2">
      <c r="B34" s="1351" t="s">
        <v>1946</v>
      </c>
      <c r="C34" s="1352"/>
      <c r="D34" s="1353"/>
      <c r="E34" s="1354"/>
      <c r="F34" s="1354"/>
      <c r="G34" s="1354"/>
      <c r="H34" s="1354"/>
      <c r="I34" s="317"/>
      <c r="J34" s="317"/>
    </row>
    <row r="35" spans="2:14" x14ac:dyDescent="0.2">
      <c r="B35" s="1277"/>
      <c r="C35" s="1355"/>
      <c r="D35" s="1356"/>
      <c r="E35" s="1278"/>
      <c r="F35" s="1278"/>
      <c r="G35" s="317"/>
      <c r="H35" s="317"/>
      <c r="I35" s="317"/>
      <c r="J35" s="317"/>
    </row>
    <row r="36" spans="2:14" ht="13.5" customHeight="1" x14ac:dyDescent="0.2">
      <c r="B36" s="1276" t="s">
        <v>1308</v>
      </c>
      <c r="G36" s="317"/>
      <c r="H36" s="317"/>
      <c r="I36" s="317"/>
      <c r="J36" s="317"/>
    </row>
    <row r="37" spans="2:14" ht="13.5" customHeight="1" x14ac:dyDescent="0.2">
      <c r="B37" s="1359"/>
      <c r="C37" s="1360"/>
      <c r="D37" s="1361"/>
      <c r="E37" s="1297"/>
      <c r="F37" s="1297"/>
      <c r="G37" s="1297"/>
      <c r="H37" s="1297"/>
      <c r="I37" s="1297"/>
      <c r="J37" s="1297"/>
      <c r="K37" s="1362"/>
      <c r="L37" s="1362"/>
      <c r="M37" s="1297"/>
    </row>
    <row r="38" spans="2:14" ht="9.6" customHeight="1" x14ac:dyDescent="0.2">
      <c r="B38" s="1363"/>
      <c r="G38" s="317"/>
      <c r="H38" s="317"/>
      <c r="I38" s="317"/>
      <c r="J38" s="317"/>
    </row>
    <row r="39" spans="2:14" ht="11.25" customHeight="1" x14ac:dyDescent="0.2">
      <c r="B39" s="1364" t="s">
        <v>1838</v>
      </c>
      <c r="C39" s="1365"/>
      <c r="D39" s="1365"/>
      <c r="E39" s="1365"/>
      <c r="F39" s="1365"/>
      <c r="G39" s="1365"/>
      <c r="H39" s="1365"/>
      <c r="I39" s="1366"/>
      <c r="J39" s="1366"/>
      <c r="K39" s="1366"/>
      <c r="L39" s="1366"/>
      <c r="M39" s="1366"/>
    </row>
    <row r="40" spans="2:14" ht="11.25" customHeight="1" x14ac:dyDescent="0.2">
      <c r="B40" s="1367" t="s">
        <v>1666</v>
      </c>
      <c r="C40" s="1366"/>
      <c r="D40" s="1366"/>
      <c r="E40" s="1366"/>
      <c r="F40" s="1366"/>
      <c r="G40" s="1366"/>
      <c r="H40" s="1366"/>
      <c r="I40" s="1366"/>
      <c r="J40" s="1366"/>
      <c r="K40" s="1366"/>
      <c r="L40" s="1366"/>
      <c r="M40" s="1366"/>
    </row>
    <row r="41" spans="2:14" ht="3.95" customHeight="1" x14ac:dyDescent="0.2">
      <c r="B41" s="1367"/>
      <c r="C41" s="1366"/>
      <c r="D41" s="1366"/>
      <c r="E41" s="1366"/>
      <c r="F41" s="1366"/>
      <c r="G41" s="1366"/>
      <c r="H41" s="1366"/>
      <c r="I41" s="1366"/>
      <c r="J41" s="1366"/>
      <c r="K41" s="1366"/>
      <c r="L41" s="1366"/>
      <c r="M41" s="1366"/>
    </row>
    <row r="42" spans="2:14" ht="11.25" customHeight="1" x14ac:dyDescent="0.2">
      <c r="B42" s="1364" t="s">
        <v>1839</v>
      </c>
      <c r="C42" s="1366"/>
      <c r="D42" s="1366"/>
      <c r="E42" s="1366"/>
      <c r="F42" s="1366"/>
      <c r="G42" s="1366"/>
      <c r="H42" s="1366"/>
      <c r="I42" s="1366"/>
      <c r="J42" s="1366"/>
      <c r="K42" s="1366"/>
      <c r="L42" s="1366"/>
      <c r="M42" s="1366"/>
    </row>
    <row r="43" spans="2:14" ht="11.25" customHeight="1" x14ac:dyDescent="0.2">
      <c r="B43" s="1300" t="s">
        <v>1667</v>
      </c>
      <c r="C43" s="1368"/>
      <c r="D43" s="1369"/>
      <c r="E43" s="1300"/>
      <c r="F43" s="1300"/>
      <c r="G43" s="1300"/>
      <c r="H43" s="1300"/>
      <c r="I43" s="1300"/>
      <c r="J43" s="1300"/>
      <c r="K43" s="1370"/>
      <c r="L43" s="1370"/>
      <c r="M43" s="1300"/>
    </row>
    <row r="44" spans="2:14" ht="3.95" customHeight="1" x14ac:dyDescent="0.2">
      <c r="B44" s="1300"/>
      <c r="C44" s="1368"/>
      <c r="D44" s="1369"/>
      <c r="E44" s="1300"/>
      <c r="F44" s="1300"/>
      <c r="G44" s="1300"/>
      <c r="H44" s="1300"/>
      <c r="I44" s="1300"/>
      <c r="J44" s="1300"/>
      <c r="K44" s="1370"/>
      <c r="L44" s="1370"/>
      <c r="M44" s="1300"/>
    </row>
    <row r="45" spans="2:14" ht="11.25" customHeight="1" x14ac:dyDescent="0.2">
      <c r="B45" s="1371" t="s">
        <v>1840</v>
      </c>
      <c r="C45" s="1368"/>
      <c r="D45" s="1369"/>
      <c r="E45" s="1300"/>
      <c r="F45" s="1300"/>
      <c r="G45" s="1300"/>
      <c r="H45" s="1300"/>
      <c r="I45" s="1300"/>
      <c r="J45" s="1300"/>
      <c r="K45" s="1370"/>
      <c r="L45" s="1370"/>
      <c r="M45" s="1300"/>
    </row>
    <row r="46" spans="2:14" ht="3.95" customHeight="1" x14ac:dyDescent="0.2">
      <c r="B46" s="1371"/>
      <c r="C46" s="1368"/>
      <c r="D46" s="1369"/>
      <c r="E46" s="1300"/>
      <c r="F46" s="1300"/>
      <c r="G46" s="1300"/>
      <c r="H46" s="1300"/>
      <c r="I46" s="1300"/>
      <c r="J46" s="1300"/>
      <c r="K46" s="1370"/>
      <c r="L46" s="1370"/>
      <c r="M46" s="1300"/>
    </row>
    <row r="47" spans="2:14" ht="11.25" customHeight="1" x14ac:dyDescent="0.2">
      <c r="B47" s="1372" t="s">
        <v>1841</v>
      </c>
      <c r="C47" s="1368"/>
      <c r="D47" s="1369"/>
      <c r="E47" s="1300"/>
      <c r="F47" s="1300"/>
      <c r="G47" s="1300"/>
      <c r="H47" s="1300"/>
      <c r="I47" s="1300"/>
      <c r="J47" s="1300"/>
      <c r="K47" s="1370"/>
      <c r="L47" s="1370"/>
      <c r="M47" s="1300"/>
    </row>
    <row r="48" spans="2:14" ht="11.25" customHeight="1" x14ac:dyDescent="0.2">
      <c r="B48" s="1300" t="s">
        <v>1668</v>
      </c>
      <c r="G48" s="317"/>
      <c r="H48" s="317"/>
      <c r="I48" s="317"/>
      <c r="J48" s="317"/>
    </row>
    <row r="49" spans="2:13" ht="11.1" customHeight="1" x14ac:dyDescent="0.2">
      <c r="B49" s="1300"/>
      <c r="G49" s="317"/>
      <c r="H49" s="317"/>
      <c r="I49" s="317"/>
      <c r="J49" s="317"/>
    </row>
    <row r="50" spans="2:13" ht="11.1" customHeight="1" x14ac:dyDescent="0.2">
      <c r="B50" s="1300"/>
      <c r="G50" s="317"/>
      <c r="H50" s="317"/>
      <c r="I50" s="317"/>
      <c r="J50" s="317"/>
    </row>
    <row r="51" spans="2:13" ht="13.5" customHeight="1" x14ac:dyDescent="0.2">
      <c r="M51" s="1373"/>
    </row>
    <row r="52" spans="2:13" ht="13.5" customHeight="1" x14ac:dyDescent="0.2">
      <c r="M52" s="1373"/>
    </row>
    <row r="53" spans="2:13" ht="13.5" customHeight="1" x14ac:dyDescent="0.2">
      <c r="M53" s="1373"/>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4" zoomScale="120" zoomScaleNormal="120" workbookViewId="0">
      <selection activeCell="A7" sqref="A7:D7"/>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1" t="str">
        <f>'Single Audit Cover'!A7</f>
        <v>Pikeland CUSD 10</v>
      </c>
      <c r="C1" s="2472"/>
      <c r="D1" s="2472"/>
      <c r="E1" s="2472"/>
      <c r="F1" s="2472"/>
      <c r="G1" s="2472"/>
      <c r="H1" s="2472"/>
      <c r="I1" s="2472"/>
      <c r="J1" s="2472"/>
      <c r="K1" s="2472"/>
      <c r="L1" s="2472"/>
      <c r="M1" s="2472"/>
    </row>
    <row r="2" spans="2:14" ht="15" x14ac:dyDescent="0.2">
      <c r="B2" s="2473">
        <f>'Single Audit Cover'!E7</f>
        <v>1075010026</v>
      </c>
      <c r="C2" s="2473"/>
      <c r="D2" s="2473"/>
      <c r="E2" s="2473"/>
      <c r="F2" s="2473"/>
      <c r="G2" s="2473"/>
      <c r="H2" s="2473"/>
      <c r="I2" s="2473"/>
      <c r="J2" s="2473"/>
      <c r="K2" s="2473"/>
      <c r="L2" s="2473"/>
      <c r="M2" s="2473"/>
      <c r="N2" s="1302"/>
    </row>
    <row r="3" spans="2:14" ht="15" x14ac:dyDescent="0.2">
      <c r="B3" s="2474" t="s">
        <v>1281</v>
      </c>
      <c r="C3" s="2474"/>
      <c r="D3" s="2474"/>
      <c r="E3" s="2474"/>
      <c r="F3" s="2474"/>
      <c r="G3" s="2474"/>
      <c r="H3" s="2474"/>
      <c r="I3" s="2474"/>
      <c r="J3" s="2474"/>
      <c r="K3" s="2474"/>
      <c r="L3" s="2474"/>
      <c r="M3" s="2474"/>
      <c r="N3" s="1302"/>
    </row>
    <row r="4" spans="2:14" ht="15" x14ac:dyDescent="0.2">
      <c r="B4" s="2475" t="str">
        <f>'Single Audit Cover'!A4</f>
        <v>Year Ending June 30, 2018</v>
      </c>
      <c r="C4" s="2475"/>
      <c r="D4" s="2475"/>
      <c r="E4" s="2475"/>
      <c r="F4" s="2475"/>
      <c r="G4" s="2475"/>
      <c r="H4" s="2475"/>
      <c r="I4" s="2475"/>
      <c r="J4" s="2475"/>
      <c r="K4" s="2475"/>
      <c r="L4" s="2475"/>
      <c r="M4" s="247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31.9" customHeight="1" x14ac:dyDescent="0.2">
      <c r="B11" s="1337" t="s">
        <v>2110</v>
      </c>
      <c r="C11" s="1338"/>
      <c r="D11" s="1339"/>
      <c r="E11" s="1340"/>
      <c r="F11" s="1340"/>
      <c r="G11" s="1340"/>
      <c r="H11" s="1340"/>
      <c r="I11" s="1340"/>
      <c r="J11" s="1340"/>
      <c r="K11" s="1340"/>
      <c r="L11" s="1340"/>
      <c r="M11" s="1340"/>
    </row>
    <row r="12" spans="2:14" ht="20.100000000000001" customHeight="1" x14ac:dyDescent="0.2">
      <c r="B12" s="1337" t="s">
        <v>2111</v>
      </c>
      <c r="C12" s="1341">
        <v>93.778000000000006</v>
      </c>
      <c r="D12" s="1342" t="s">
        <v>2130</v>
      </c>
      <c r="E12" s="1343">
        <v>20703</v>
      </c>
      <c r="F12" s="1970">
        <v>6691</v>
      </c>
      <c r="G12" s="1343">
        <v>27394</v>
      </c>
      <c r="H12" s="1343"/>
      <c r="I12" s="1343"/>
      <c r="J12" s="1343"/>
      <c r="K12" s="1343"/>
      <c r="L12" s="1340">
        <f t="shared" ref="L12:L18" si="0">+G12+I12+K12</f>
        <v>27394</v>
      </c>
      <c r="M12" s="1343" t="s">
        <v>2100</v>
      </c>
    </row>
    <row r="13" spans="2:14" ht="20.100000000000001" customHeight="1" x14ac:dyDescent="0.2">
      <c r="B13" s="1337" t="s">
        <v>2111</v>
      </c>
      <c r="C13" s="1341">
        <v>93.778000000000006</v>
      </c>
      <c r="D13" s="1342" t="s">
        <v>2131</v>
      </c>
      <c r="E13" s="1343"/>
      <c r="F13" s="1970">
        <v>21223</v>
      </c>
      <c r="G13" s="1343"/>
      <c r="H13" s="1343"/>
      <c r="I13" s="1970">
        <v>27821</v>
      </c>
      <c r="J13" s="1343"/>
      <c r="K13" s="1343"/>
      <c r="L13" s="1340">
        <f t="shared" si="0"/>
        <v>27821</v>
      </c>
      <c r="M13" s="1343" t="s">
        <v>2100</v>
      </c>
    </row>
    <row r="14" spans="2:14" ht="20.100000000000001" customHeight="1" x14ac:dyDescent="0.2">
      <c r="B14" s="1956" t="s">
        <v>2112</v>
      </c>
      <c r="C14" s="1957"/>
      <c r="D14" s="1958"/>
      <c r="E14" s="1959">
        <f>SUM(E12:E13)</f>
        <v>20703</v>
      </c>
      <c r="F14" s="1959">
        <f t="shared" ref="F14:K14" si="1">SUM(F12:F13)</f>
        <v>27914</v>
      </c>
      <c r="G14" s="1959">
        <f t="shared" si="1"/>
        <v>27394</v>
      </c>
      <c r="H14" s="1959">
        <f t="shared" si="1"/>
        <v>0</v>
      </c>
      <c r="I14" s="1959">
        <f t="shared" si="1"/>
        <v>27821</v>
      </c>
      <c r="J14" s="1959">
        <f t="shared" si="1"/>
        <v>0</v>
      </c>
      <c r="K14" s="1959">
        <f t="shared" si="1"/>
        <v>0</v>
      </c>
      <c r="L14" s="1960">
        <f t="shared" si="0"/>
        <v>55215</v>
      </c>
      <c r="M14" s="1959"/>
    </row>
    <row r="15" spans="2:14" ht="20.100000000000001" customHeight="1" x14ac:dyDescent="0.2">
      <c r="B15" s="1337" t="s">
        <v>1231</v>
      </c>
      <c r="C15" s="1341"/>
      <c r="D15" s="1342"/>
      <c r="E15" s="1343"/>
      <c r="F15" s="1343"/>
      <c r="G15" s="1343"/>
      <c r="H15" s="1343"/>
      <c r="I15" s="1343"/>
      <c r="J15" s="1343"/>
      <c r="K15" s="1343"/>
      <c r="L15" s="1340"/>
      <c r="M15" s="1343"/>
    </row>
    <row r="16" spans="2:14" ht="24.6" customHeight="1" x14ac:dyDescent="0.2">
      <c r="B16" s="1965" t="s">
        <v>2113</v>
      </c>
      <c r="C16" s="1966"/>
      <c r="D16" s="1967"/>
      <c r="E16" s="1968">
        <f>E14</f>
        <v>20703</v>
      </c>
      <c r="F16" s="1968">
        <f t="shared" ref="F16:K16" si="2">F14</f>
        <v>27914</v>
      </c>
      <c r="G16" s="1968">
        <f t="shared" si="2"/>
        <v>27394</v>
      </c>
      <c r="H16" s="1968">
        <f t="shared" si="2"/>
        <v>0</v>
      </c>
      <c r="I16" s="1968">
        <f t="shared" si="2"/>
        <v>27821</v>
      </c>
      <c r="J16" s="1968">
        <f t="shared" si="2"/>
        <v>0</v>
      </c>
      <c r="K16" s="1968">
        <f t="shared" si="2"/>
        <v>0</v>
      </c>
      <c r="L16" s="1969">
        <f t="shared" si="0"/>
        <v>55215</v>
      </c>
      <c r="M16" s="1968"/>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965" t="s">
        <v>2114</v>
      </c>
      <c r="C18" s="1966"/>
      <c r="D18" s="1967"/>
      <c r="E18" s="1968">
        <f>' SEFA (1)'!E31+' SEFA (2)'!E28+' SEFA (3)'!E16</f>
        <v>799385</v>
      </c>
      <c r="F18" s="1968">
        <f>' SEFA (1)'!F31+' SEFA (2)'!F28+' SEFA (3)'!F16</f>
        <v>1083378</v>
      </c>
      <c r="G18" s="1968">
        <f>' SEFA (1)'!G31+' SEFA (2)'!G28+' SEFA (3)'!G16</f>
        <v>838824</v>
      </c>
      <c r="H18" s="1968">
        <f>' SEFA (1)'!H31+' SEFA (2)'!H28+' SEFA (3)'!H16</f>
        <v>0</v>
      </c>
      <c r="I18" s="1968">
        <f>' SEFA (1)'!I31+' SEFA (2)'!I28+' SEFA (3)'!I16</f>
        <v>1096310</v>
      </c>
      <c r="J18" s="1968">
        <f>' SEFA (1)'!J31+' SEFA (2)'!J28+' SEFA (3)'!J16</f>
        <v>0</v>
      </c>
      <c r="K18" s="1968">
        <f>' SEFA (1)'!K31+' SEFA (2)'!K28+' SEFA (3)'!K16</f>
        <v>39511</v>
      </c>
      <c r="L18" s="1969">
        <f t="shared" si="0"/>
        <v>1974645</v>
      </c>
      <c r="M18" s="1968"/>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c r="C22" s="1341"/>
      <c r="D22" s="1342"/>
      <c r="E22" s="1343"/>
      <c r="F22" s="1343"/>
      <c r="G22" s="1343"/>
      <c r="H22" s="1343"/>
      <c r="I22" s="1343"/>
      <c r="J22" s="1343"/>
      <c r="K22" s="1343"/>
      <c r="L22" s="1340"/>
      <c r="M22" s="1343"/>
    </row>
    <row r="23" spans="2:14" ht="20.100000000000001" customHeight="1" x14ac:dyDescent="0.2">
      <c r="B23" s="1337"/>
      <c r="C23" s="1341"/>
      <c r="D23" s="1342"/>
      <c r="E23" s="1343"/>
      <c r="F23" s="1343"/>
      <c r="G23" s="1343"/>
      <c r="H23" s="1343"/>
      <c r="I23" s="1343"/>
      <c r="J23" s="1343"/>
      <c r="K23" s="1343"/>
      <c r="L23" s="1340"/>
      <c r="M23" s="1343"/>
    </row>
    <row r="24" spans="2:14" ht="20.100000000000001" customHeight="1" x14ac:dyDescent="0.2">
      <c r="B24" s="1337"/>
      <c r="C24" s="1341"/>
      <c r="D24" s="1342"/>
      <c r="E24" s="1343"/>
      <c r="F24" s="1343"/>
      <c r="G24" s="1343"/>
      <c r="H24" s="1343"/>
      <c r="I24" s="1343"/>
      <c r="J24" s="1343"/>
      <c r="K24" s="1343"/>
      <c r="L24" s="1340"/>
      <c r="M24" s="1343"/>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c r="N26" s="1344"/>
    </row>
    <row r="27" spans="2:14" ht="12.75" customHeight="1" x14ac:dyDescent="0.2">
      <c r="B27" s="1345"/>
      <c r="C27" s="1346"/>
      <c r="D27" s="1347"/>
      <c r="E27" s="1348"/>
      <c r="F27" s="1348"/>
      <c r="G27" s="1348"/>
      <c r="H27" s="1348"/>
      <c r="I27" s="1348"/>
      <c r="J27" s="1348"/>
      <c r="K27" s="1348"/>
      <c r="L27" s="1348"/>
      <c r="M27" s="1348"/>
      <c r="N27" s="1344"/>
    </row>
    <row r="28" spans="2:14" x14ac:dyDescent="0.2">
      <c r="B28" s="1257"/>
      <c r="C28" s="1349"/>
      <c r="D28" s="1350"/>
      <c r="E28" s="1257"/>
      <c r="F28" s="1257"/>
      <c r="G28" s="1250"/>
      <c r="H28" s="1250"/>
      <c r="I28" s="1250"/>
      <c r="J28" s="1250"/>
      <c r="K28" s="1250"/>
      <c r="L28" s="1250"/>
      <c r="M28" s="1257"/>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1946</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A7" sqref="A7:D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5" t="str">
        <f>'Single Audit Cover'!A7</f>
        <v>Pikeland CUSD 10</v>
      </c>
      <c r="B1" s="2485"/>
      <c r="C1" s="2485"/>
      <c r="D1" s="2485"/>
      <c r="E1" s="2485"/>
      <c r="F1" s="2485"/>
    </row>
    <row r="2" spans="1:7" ht="13.5" customHeight="1" x14ac:dyDescent="0.2">
      <c r="A2" s="2473">
        <f>'Single Audit Cover'!E7</f>
        <v>1075010026</v>
      </c>
      <c r="B2" s="2473"/>
      <c r="C2" s="2473"/>
      <c r="D2" s="2473"/>
      <c r="E2" s="2473"/>
      <c r="F2" s="2473"/>
      <c r="G2" s="1275"/>
    </row>
    <row r="3" spans="1:7" ht="15.75" customHeight="1" x14ac:dyDescent="0.2">
      <c r="A3" s="2486" t="s">
        <v>1333</v>
      </c>
      <c r="B3" s="2486"/>
      <c r="C3" s="2486"/>
      <c r="D3" s="2486"/>
      <c r="E3" s="2486"/>
      <c r="F3" s="2486"/>
    </row>
    <row r="4" spans="1:7" ht="13.5" customHeight="1" x14ac:dyDescent="0.2">
      <c r="A4" s="2487" t="str">
        <f>'Single Audit Cover'!A4</f>
        <v>Year Ending June 30, 2018</v>
      </c>
      <c r="B4" s="2487"/>
      <c r="C4" s="2487"/>
      <c r="D4" s="2487"/>
      <c r="E4" s="2487"/>
      <c r="F4" s="2487"/>
    </row>
    <row r="5" spans="1:7" ht="8.25" customHeight="1" x14ac:dyDescent="0.2">
      <c r="C5" s="317"/>
      <c r="D5" s="317"/>
    </row>
    <row r="6" spans="1:7" ht="13.5" customHeight="1" x14ac:dyDescent="0.2">
      <c r="A6" s="1276" t="s">
        <v>1831</v>
      </c>
      <c r="C6" s="317"/>
      <c r="D6" s="317"/>
    </row>
    <row r="7" spans="1:7" ht="60.95" customHeight="1" x14ac:dyDescent="0.2">
      <c r="A7" s="2484" t="s">
        <v>2143</v>
      </c>
      <c r="B7" s="2484"/>
      <c r="C7" s="2484"/>
      <c r="D7" s="2484"/>
      <c r="E7" s="2484"/>
      <c r="F7" s="2484"/>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24" customHeight="1" x14ac:dyDescent="0.2">
      <c r="A13" s="2484" t="s">
        <v>2144</v>
      </c>
      <c r="B13" s="2484"/>
      <c r="C13" s="2484"/>
      <c r="D13" s="2484"/>
      <c r="E13" s="2484"/>
      <c r="F13" s="2484"/>
    </row>
    <row r="14" spans="1:7" ht="5.45" customHeight="1" x14ac:dyDescent="0.2">
      <c r="C14" s="1260"/>
      <c r="D14" s="1260"/>
    </row>
    <row r="15" spans="1:7" ht="13.5" customHeight="1" x14ac:dyDescent="0.2">
      <c r="C15" s="1871" t="s">
        <v>1332</v>
      </c>
      <c r="D15" s="2482" t="s">
        <v>1331</v>
      </c>
      <c r="E15" s="2482"/>
      <c r="F15" s="2482"/>
    </row>
    <row r="16" spans="1:7" ht="13.5" customHeight="1" x14ac:dyDescent="0.2">
      <c r="A16" s="1282"/>
      <c r="B16" s="1276" t="s">
        <v>1330</v>
      </c>
      <c r="C16" s="1871" t="s">
        <v>1329</v>
      </c>
      <c r="D16" s="2483" t="s">
        <v>1670</v>
      </c>
      <c r="E16" s="2483"/>
      <c r="F16" s="2483"/>
    </row>
    <row r="17" spans="1:6" ht="20.45" customHeight="1" x14ac:dyDescent="0.2">
      <c r="A17" s="1283"/>
      <c r="B17" s="1284" t="s">
        <v>2100</v>
      </c>
      <c r="C17" s="1285"/>
      <c r="D17" s="2477"/>
      <c r="E17" s="2477"/>
      <c r="F17" s="2477"/>
    </row>
    <row r="18" spans="1:6" ht="20.65" customHeight="1" x14ac:dyDescent="0.2">
      <c r="A18" s="1283"/>
      <c r="B18" s="1284"/>
      <c r="C18" s="1285"/>
      <c r="D18" s="2477"/>
      <c r="E18" s="2477"/>
      <c r="F18" s="2477"/>
    </row>
    <row r="19" spans="1:6" ht="20.65" customHeight="1" x14ac:dyDescent="0.2">
      <c r="A19" s="1283"/>
      <c r="B19" s="1284"/>
      <c r="C19" s="1285"/>
      <c r="D19" s="2477"/>
      <c r="E19" s="2477"/>
      <c r="F19" s="2477"/>
    </row>
    <row r="20" spans="1:6" ht="20.65" customHeight="1" x14ac:dyDescent="0.2">
      <c r="A20" s="1283"/>
      <c r="B20" s="1284"/>
      <c r="C20" s="1285"/>
      <c r="D20" s="2477"/>
      <c r="E20" s="2477"/>
      <c r="F20" s="2477"/>
    </row>
    <row r="21" spans="1:6" ht="20.65" customHeight="1" x14ac:dyDescent="0.2">
      <c r="A21" s="1283"/>
      <c r="B21" s="1284"/>
      <c r="C21" s="1285"/>
      <c r="D21" s="2477"/>
      <c r="E21" s="2477"/>
      <c r="F21" s="2477"/>
    </row>
    <row r="22" spans="1:6" ht="20.65" customHeight="1" x14ac:dyDescent="0.2">
      <c r="A22" s="1283"/>
      <c r="B22" s="1284"/>
      <c r="C22" s="1285"/>
      <c r="D22" s="2477"/>
      <c r="E22" s="2477"/>
      <c r="F22" s="2477"/>
    </row>
    <row r="23" spans="1:6" ht="20.65" customHeight="1" x14ac:dyDescent="0.2">
      <c r="A23" s="1283"/>
      <c r="B23" s="1284"/>
      <c r="C23" s="1285"/>
      <c r="D23" s="2477"/>
      <c r="E23" s="2477"/>
      <c r="F23" s="2477"/>
    </row>
    <row r="24" spans="1:6" ht="20.65" customHeight="1" x14ac:dyDescent="0.2">
      <c r="A24" s="1283"/>
      <c r="B24" s="1284"/>
      <c r="C24" s="1285"/>
      <c r="D24" s="2477"/>
      <c r="E24" s="2477"/>
      <c r="F24" s="2477"/>
    </row>
    <row r="25" spans="1:6" ht="20.65" customHeight="1" x14ac:dyDescent="0.2">
      <c r="A25" s="1283"/>
      <c r="B25" s="1284"/>
      <c r="C25" s="1285"/>
      <c r="D25" s="2477"/>
      <c r="E25" s="2477"/>
      <c r="F25" s="2477"/>
    </row>
    <row r="26" spans="1:6" ht="20.65" customHeight="1" x14ac:dyDescent="0.2">
      <c r="A26" s="1283"/>
      <c r="B26" s="1284"/>
      <c r="C26" s="1285"/>
      <c r="D26" s="2477"/>
      <c r="E26" s="2477"/>
      <c r="F26" s="2477"/>
    </row>
    <row r="27" spans="1:6" ht="20.65" customHeight="1" x14ac:dyDescent="0.2">
      <c r="A27" s="1283"/>
      <c r="B27" s="1284"/>
      <c r="C27" s="1285"/>
      <c r="D27" s="2477"/>
      <c r="E27" s="2477"/>
      <c r="F27" s="2477"/>
    </row>
    <row r="28" spans="1:6" ht="20.65" customHeight="1" x14ac:dyDescent="0.2">
      <c r="A28" s="1283"/>
      <c r="B28" s="1284"/>
      <c r="C28" s="1285"/>
      <c r="D28" s="2477"/>
      <c r="E28" s="2477"/>
      <c r="F28" s="2477"/>
    </row>
    <row r="29" spans="1:6" ht="20.65" customHeight="1" x14ac:dyDescent="0.2">
      <c r="A29" s="1283"/>
      <c r="B29" s="1284"/>
      <c r="C29" s="1285"/>
      <c r="D29" s="2477"/>
      <c r="E29" s="2477"/>
      <c r="F29" s="247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78" t="s">
        <v>2145</v>
      </c>
      <c r="B32" s="2478"/>
      <c r="C32" s="2478"/>
      <c r="D32" s="2478"/>
      <c r="E32" s="2478"/>
      <c r="F32" s="2478"/>
    </row>
    <row r="33" spans="1:6" ht="13.5" customHeight="1" x14ac:dyDescent="0.2">
      <c r="A33" s="328" t="s">
        <v>1509</v>
      </c>
      <c r="B33" s="328"/>
      <c r="C33" s="1288">
        <v>44946</v>
      </c>
      <c r="D33" s="1928"/>
      <c r="E33" s="1286"/>
    </row>
    <row r="34" spans="1:6" ht="13.5" customHeight="1" x14ac:dyDescent="0.2">
      <c r="A34" s="328" t="s">
        <v>1944</v>
      </c>
      <c r="B34" s="328"/>
      <c r="C34" s="1289">
        <v>0</v>
      </c>
      <c r="D34" s="1928" t="s">
        <v>1671</v>
      </c>
      <c r="E34" s="2479">
        <f>+C33+C34</f>
        <v>44946</v>
      </c>
      <c r="F34" s="248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v>0</v>
      </c>
      <c r="D38" s="1928"/>
      <c r="E38" s="1286"/>
    </row>
    <row r="39" spans="1:6" ht="14.25" customHeight="1" x14ac:dyDescent="0.2">
      <c r="A39" s="328"/>
      <c r="B39" s="328" t="s">
        <v>1511</v>
      </c>
      <c r="C39" s="1292">
        <v>0</v>
      </c>
      <c r="D39" s="1928"/>
      <c r="E39" s="1286"/>
    </row>
    <row r="40" spans="1:6" ht="14.25" customHeight="1" x14ac:dyDescent="0.2">
      <c r="A40" s="328"/>
      <c r="B40" s="328" t="s">
        <v>1512</v>
      </c>
      <c r="C40" s="1292">
        <v>0</v>
      </c>
      <c r="D40" s="1928"/>
      <c r="E40" s="1286"/>
    </row>
    <row r="41" spans="1:6" ht="14.25" customHeight="1" x14ac:dyDescent="0.2">
      <c r="A41" s="328"/>
      <c r="B41" s="328" t="s">
        <v>1513</v>
      </c>
      <c r="C41" s="1292">
        <v>0</v>
      </c>
      <c r="D41" s="1928"/>
      <c r="E41" s="1286"/>
    </row>
    <row r="42" spans="1:6" ht="14.25" customHeight="1" x14ac:dyDescent="0.2">
      <c r="A42" s="328" t="s">
        <v>1514</v>
      </c>
      <c r="B42" s="328"/>
      <c r="C42" s="1926">
        <v>0</v>
      </c>
      <c r="D42" s="1928"/>
      <c r="E42" s="1286"/>
    </row>
    <row r="43" spans="1:6" ht="14.25" customHeight="1" x14ac:dyDescent="0.2">
      <c r="A43" s="328" t="s">
        <v>1515</v>
      </c>
      <c r="B43" s="328"/>
      <c r="C43" s="1293" t="s">
        <v>401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1" t="s">
        <v>1672</v>
      </c>
      <c r="C49" s="2481"/>
      <c r="D49" s="2481"/>
      <c r="E49" s="1399"/>
    </row>
    <row r="50" spans="1:5" s="1300" customFormat="1" ht="3.75" customHeight="1" x14ac:dyDescent="0.2">
      <c r="A50" s="1299"/>
      <c r="B50" s="1870"/>
      <c r="C50" s="1870"/>
      <c r="D50" s="1870"/>
      <c r="E50" s="1399"/>
    </row>
    <row r="51" spans="1:5" s="1300" customFormat="1" ht="20.25" customHeight="1" x14ac:dyDescent="0.2">
      <c r="A51" s="1301">
        <v>6</v>
      </c>
      <c r="B51" s="2476" t="s">
        <v>1632</v>
      </c>
      <c r="C51" s="2476"/>
      <c r="D51" s="2476"/>
    </row>
    <row r="52" spans="1:5" ht="14.25" customHeight="1" x14ac:dyDescent="0.2">
      <c r="A52" s="1301"/>
      <c r="B52" s="2476"/>
      <c r="C52" s="2476"/>
      <c r="D52" s="247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1" zoomScale="110" zoomScaleNormal="110" workbookViewId="0">
      <selection activeCell="A7" sqref="A7:D7"/>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Pikeland CUSD 10</v>
      </c>
      <c r="C1" s="2500"/>
      <c r="D1" s="2500"/>
      <c r="E1" s="2500"/>
      <c r="F1" s="2500"/>
      <c r="G1" s="2500"/>
      <c r="H1" s="2500"/>
      <c r="I1" s="2500"/>
      <c r="J1" s="1422"/>
    </row>
    <row r="2" spans="2:10" s="317" customFormat="1" ht="12.75" customHeight="1" x14ac:dyDescent="0.2">
      <c r="B2" s="2501">
        <f>'Single Audit Cover'!E7</f>
        <v>1075010026</v>
      </c>
      <c r="C2" s="2502"/>
      <c r="D2" s="2502"/>
      <c r="E2" s="2502"/>
      <c r="F2" s="2502"/>
      <c r="G2" s="2502"/>
      <c r="H2" s="2502"/>
      <c r="I2" s="2502"/>
      <c r="J2" s="1422"/>
    </row>
    <row r="3" spans="2:10" s="317" customFormat="1" ht="12.75" customHeight="1" x14ac:dyDescent="0.2">
      <c r="B3" s="2503" t="s">
        <v>1347</v>
      </c>
      <c r="C3" s="2504"/>
      <c r="D3" s="2504"/>
      <c r="E3" s="2504"/>
      <c r="F3" s="2504"/>
      <c r="G3" s="2504"/>
      <c r="H3" s="2504"/>
      <c r="I3" s="2504"/>
      <c r="J3" s="1423"/>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3" t="s">
        <v>1346</v>
      </c>
      <c r="C7" s="2504"/>
      <c r="D7" s="2504"/>
      <c r="E7" s="2504"/>
      <c r="F7" s="2504"/>
      <c r="G7" s="2504"/>
      <c r="H7" s="2504"/>
      <c r="I7" s="250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5" t="s">
        <v>1226</v>
      </c>
      <c r="D11" s="250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2073</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2073</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2073</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2073</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06" t="s">
        <v>2146</v>
      </c>
      <c r="E29" s="2506"/>
      <c r="F29" s="2506"/>
      <c r="G29" s="2506"/>
      <c r="H29" s="2506"/>
      <c r="I29" s="2506"/>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2073</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07" t="s">
        <v>1851</v>
      </c>
      <c r="D37" s="2508"/>
      <c r="E37" s="2508"/>
      <c r="F37" s="2509"/>
      <c r="G37" s="2507" t="s">
        <v>1674</v>
      </c>
      <c r="H37" s="2508"/>
      <c r="I37" s="2509"/>
    </row>
    <row r="38" spans="2:9" ht="16.5" customHeight="1" x14ac:dyDescent="0.2">
      <c r="B38" s="1444" t="s">
        <v>2147</v>
      </c>
      <c r="C38" s="2495" t="s">
        <v>2148</v>
      </c>
      <c r="D38" s="2496"/>
      <c r="E38" s="2496"/>
      <c r="F38" s="2497"/>
      <c r="G38" s="2510">
        <f>' SEFA (2)'!I26</f>
        <v>432933</v>
      </c>
      <c r="H38" s="2511"/>
      <c r="I38" s="2512"/>
    </row>
    <row r="39" spans="2:9" ht="16.5" customHeight="1" x14ac:dyDescent="0.2">
      <c r="B39" s="1444">
        <v>84.424000000000007</v>
      </c>
      <c r="C39" s="2495" t="s">
        <v>2149</v>
      </c>
      <c r="D39" s="2496"/>
      <c r="E39" s="2496"/>
      <c r="F39" s="2497"/>
      <c r="G39" s="2498">
        <f>' SEFA (1)'!I25</f>
        <v>12016</v>
      </c>
      <c r="H39" s="2498"/>
      <c r="I39" s="2498"/>
    </row>
    <row r="40" spans="2:9" ht="16.5" customHeight="1" x14ac:dyDescent="0.2">
      <c r="B40" s="1444"/>
      <c r="C40" s="2495"/>
      <c r="D40" s="2496"/>
      <c r="E40" s="2496"/>
      <c r="F40" s="2497"/>
      <c r="G40" s="2498"/>
      <c r="H40" s="2498"/>
      <c r="I40" s="2498"/>
    </row>
    <row r="41" spans="2:9" ht="16.5" customHeight="1" x14ac:dyDescent="0.2">
      <c r="B41" s="1444"/>
      <c r="C41" s="2495"/>
      <c r="D41" s="2496"/>
      <c r="E41" s="2496"/>
      <c r="F41" s="2497"/>
      <c r="G41" s="2498"/>
      <c r="H41" s="2498"/>
      <c r="I41" s="2498"/>
    </row>
    <row r="42" spans="2:9" ht="16.5" customHeight="1" x14ac:dyDescent="0.2">
      <c r="B42" s="1444"/>
      <c r="C42" s="2495"/>
      <c r="D42" s="2496"/>
      <c r="E42" s="2496"/>
      <c r="F42" s="2497"/>
      <c r="G42" s="2498"/>
      <c r="H42" s="2498"/>
      <c r="I42" s="2498"/>
    </row>
    <row r="43" spans="2:9" ht="16.5" customHeight="1" x14ac:dyDescent="0.2">
      <c r="B43" s="1444"/>
      <c r="C43" s="2488" t="s">
        <v>1675</v>
      </c>
      <c r="D43" s="2489"/>
      <c r="E43" s="2489"/>
      <c r="F43" s="2490"/>
      <c r="G43" s="2491">
        <f>SUM(G38:I42)</f>
        <v>444949</v>
      </c>
      <c r="H43" s="2491"/>
      <c r="I43" s="2491"/>
    </row>
    <row r="44" spans="2:9" ht="12.75" customHeight="1" x14ac:dyDescent="0.2"/>
    <row r="45" spans="2:9" ht="12.75" customHeight="1" x14ac:dyDescent="0.2">
      <c r="B45" s="1435" t="s">
        <v>1947</v>
      </c>
      <c r="D45" s="2492">
        <f>' SEFA (3)'!I18</f>
        <v>1096310</v>
      </c>
      <c r="E45" s="2493"/>
    </row>
    <row r="46" spans="2:9" ht="5.25" customHeight="1" x14ac:dyDescent="0.2">
      <c r="B46" s="1445"/>
      <c r="D46" s="1446"/>
      <c r="E46" s="1447"/>
    </row>
    <row r="47" spans="2:9" ht="12.75" customHeight="1" x14ac:dyDescent="0.2">
      <c r="B47" s="1300" t="s">
        <v>1676</v>
      </c>
      <c r="C47" s="1300"/>
      <c r="D47" s="1448">
        <f>+G43/D45</f>
        <v>0.40586056863478398</v>
      </c>
      <c r="E47" s="1449"/>
      <c r="F47" s="1450"/>
      <c r="I47" s="1451"/>
    </row>
    <row r="48" spans="2:9" ht="9.9499999999999993" customHeight="1" x14ac:dyDescent="0.2"/>
    <row r="49" spans="1:9" x14ac:dyDescent="0.2">
      <c r="B49" s="1368" t="s">
        <v>1335</v>
      </c>
      <c r="C49" s="1282"/>
      <c r="D49" s="1282"/>
      <c r="E49" s="2494">
        <v>750000</v>
      </c>
      <c r="F49" s="2494"/>
      <c r="G49" s="2494"/>
      <c r="H49" s="322"/>
    </row>
    <row r="51" spans="1:9" ht="13.5" customHeight="1" x14ac:dyDescent="0.2">
      <c r="B51" s="1368" t="s">
        <v>1334</v>
      </c>
      <c r="C51" s="1282"/>
      <c r="E51" s="1438"/>
      <c r="F51" s="1300" t="s">
        <v>940</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A7" sqref="A7:D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Pikeland CUSD 10</v>
      </c>
      <c r="C1" s="2499"/>
      <c r="D1" s="2499"/>
      <c r="E1" s="2499"/>
      <c r="F1" s="2499"/>
      <c r="G1" s="2499"/>
      <c r="H1" s="2499"/>
      <c r="I1" s="2499"/>
      <c r="J1" s="2499"/>
      <c r="K1" s="2499"/>
      <c r="L1" s="1374"/>
      <c r="M1" s="1374"/>
    </row>
    <row r="2" spans="1:13" ht="12" customHeight="1" x14ac:dyDescent="0.2">
      <c r="B2" s="2501">
        <f>'Single Audit Cover'!E7</f>
        <v>1075010026</v>
      </c>
      <c r="C2" s="2501"/>
      <c r="D2" s="2501"/>
      <c r="E2" s="2501"/>
      <c r="F2" s="2501"/>
      <c r="G2" s="2501"/>
      <c r="H2" s="2501"/>
      <c r="I2" s="2501"/>
      <c r="J2" s="2501"/>
      <c r="K2" s="2501"/>
      <c r="L2" s="1375"/>
      <c r="M2" s="1376"/>
    </row>
    <row r="3" spans="1:13" ht="10.35" customHeight="1" x14ac:dyDescent="0.2">
      <c r="B3" s="2515" t="s">
        <v>1347</v>
      </c>
      <c r="C3" s="2515"/>
      <c r="D3" s="2515"/>
      <c r="E3" s="2515"/>
      <c r="F3" s="2515"/>
      <c r="G3" s="2515"/>
      <c r="H3" s="2515"/>
      <c r="I3" s="2515"/>
      <c r="J3" s="2515"/>
      <c r="K3" s="2515"/>
      <c r="L3" s="1975"/>
      <c r="M3" s="1975"/>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6" t="s">
        <v>1363</v>
      </c>
      <c r="C7" s="2516"/>
      <c r="D7" s="2517"/>
      <c r="E7" s="2517"/>
      <c r="F7" s="2517"/>
      <c r="G7" s="2517"/>
      <c r="H7" s="2517"/>
      <c r="I7" s="2517"/>
      <c r="J7" s="2517"/>
      <c r="K7" s="251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v>1</v>
      </c>
      <c r="E10" s="322"/>
      <c r="F10" s="1387" t="s">
        <v>1362</v>
      </c>
      <c r="G10" s="1388"/>
      <c r="H10" s="1389" t="s">
        <v>1361</v>
      </c>
      <c r="I10" s="1388" t="s">
        <v>2073</v>
      </c>
      <c r="J10" s="1390" t="s">
        <v>1360</v>
      </c>
      <c r="K10" s="322"/>
      <c r="L10" s="1381"/>
    </row>
    <row r="11" spans="1:13" ht="13.5" customHeight="1" x14ac:dyDescent="0.2">
      <c r="B11" s="322"/>
      <c r="C11" s="322"/>
      <c r="D11" s="322"/>
      <c r="E11" s="322"/>
      <c r="F11" s="322"/>
      <c r="G11" s="1383"/>
      <c r="H11" s="322"/>
      <c r="I11" s="1391" t="s">
        <v>1359</v>
      </c>
      <c r="J11" s="322"/>
      <c r="K11" s="1392">
        <v>2017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4" t="s">
        <v>2150</v>
      </c>
      <c r="C14" s="2514"/>
      <c r="D14" s="2514"/>
      <c r="E14" s="2514"/>
      <c r="F14" s="2514"/>
      <c r="G14" s="2514"/>
      <c r="H14" s="2514"/>
      <c r="I14" s="2514"/>
      <c r="J14" s="2514"/>
      <c r="K14" s="251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4" t="s">
        <v>2151</v>
      </c>
      <c r="C17" s="2514"/>
      <c r="D17" s="2514"/>
      <c r="E17" s="2514"/>
      <c r="F17" s="2514"/>
      <c r="G17" s="2514"/>
      <c r="H17" s="2514"/>
      <c r="I17" s="2514"/>
      <c r="J17" s="2514"/>
      <c r="K17" s="2514"/>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8" t="s">
        <v>2196</v>
      </c>
      <c r="C20" s="2518"/>
      <c r="D20" s="2514"/>
      <c r="E20" s="2514"/>
      <c r="F20" s="2514"/>
      <c r="G20" s="2514"/>
      <c r="H20" s="2514"/>
      <c r="I20" s="2514"/>
      <c r="J20" s="2514"/>
      <c r="K20" s="251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4" t="s">
        <v>2152</v>
      </c>
      <c r="C23" s="2514"/>
      <c r="D23" s="2514"/>
      <c r="E23" s="2514"/>
      <c r="F23" s="2514"/>
      <c r="G23" s="2514"/>
      <c r="H23" s="2514"/>
      <c r="I23" s="2514"/>
      <c r="J23" s="2514"/>
      <c r="K23" s="251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4" t="s">
        <v>2153</v>
      </c>
      <c r="C26" s="2514"/>
      <c r="D26" s="2514"/>
      <c r="E26" s="2514"/>
      <c r="F26" s="2514"/>
      <c r="G26" s="2514"/>
      <c r="H26" s="2514"/>
      <c r="I26" s="2514"/>
      <c r="J26" s="2514"/>
      <c r="K26" s="251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3" t="s">
        <v>2154</v>
      </c>
      <c r="C29" s="2513"/>
      <c r="D29" s="2514"/>
      <c r="E29" s="2514"/>
      <c r="F29" s="2514"/>
      <c r="G29" s="2514"/>
      <c r="H29" s="2514"/>
      <c r="I29" s="2514"/>
      <c r="J29" s="2514"/>
      <c r="K29" s="251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3" t="s">
        <v>2155</v>
      </c>
      <c r="C32" s="2513"/>
      <c r="D32" s="2514"/>
      <c r="E32" s="2514"/>
      <c r="F32" s="2514"/>
      <c r="G32" s="2514"/>
      <c r="H32" s="2514"/>
      <c r="I32" s="2514"/>
      <c r="J32" s="2514"/>
      <c r="K32" s="251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7" sqref="A7:D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3" t="str">
        <f>'Single Audit Cover'!A7</f>
        <v>Pikeland CUSD 10</v>
      </c>
      <c r="C1" s="2523"/>
      <c r="D1" s="2523"/>
      <c r="E1" s="2523"/>
      <c r="F1" s="2523"/>
      <c r="G1" s="2523"/>
      <c r="H1" s="2523"/>
      <c r="I1" s="2523"/>
      <c r="J1" s="2523"/>
      <c r="K1" s="2523"/>
      <c r="L1" s="1465"/>
    </row>
    <row r="2" spans="1:12" ht="12.75" customHeight="1" x14ac:dyDescent="0.2">
      <c r="B2" s="2524">
        <f>'Single Audit Cover'!E7</f>
        <v>1075010026</v>
      </c>
      <c r="C2" s="2524"/>
      <c r="D2" s="2524"/>
      <c r="E2" s="2524"/>
      <c r="F2" s="2524"/>
      <c r="G2" s="2524"/>
      <c r="H2" s="2524"/>
      <c r="I2" s="2524"/>
      <c r="J2" s="2524"/>
      <c r="K2" s="2524"/>
      <c r="L2" s="1466"/>
    </row>
    <row r="3" spans="1:12" ht="12.75" customHeight="1" x14ac:dyDescent="0.2">
      <c r="B3" s="2515" t="s">
        <v>1347</v>
      </c>
      <c r="C3" s="2515"/>
      <c r="D3" s="2515"/>
      <c r="E3" s="2515"/>
      <c r="F3" s="2515"/>
      <c r="G3" s="2515"/>
      <c r="H3" s="2515"/>
      <c r="I3" s="2515"/>
      <c r="J3" s="2515"/>
      <c r="K3" s="2515"/>
      <c r="L3" s="1377"/>
    </row>
    <row r="4" spans="1:12" ht="12.75" customHeight="1" x14ac:dyDescent="0.2">
      <c r="B4" s="2515" t="str">
        <f>'Single Audit Cover'!A4</f>
        <v>Year Ending June 30, 2018</v>
      </c>
      <c r="C4" s="2515"/>
      <c r="D4" s="2515"/>
      <c r="E4" s="2515"/>
      <c r="F4" s="2515"/>
      <c r="G4" s="2515"/>
      <c r="H4" s="2515"/>
      <c r="I4" s="2515"/>
      <c r="J4" s="2515"/>
      <c r="K4" s="2515"/>
      <c r="L4" s="1377"/>
    </row>
    <row r="5" spans="1:12" ht="5.25" customHeight="1" x14ac:dyDescent="0.2">
      <c r="B5" s="1260" t="s">
        <v>1231</v>
      </c>
      <c r="C5" s="1260"/>
      <c r="L5" s="322"/>
    </row>
    <row r="6" spans="1:12" ht="30.75" customHeight="1" x14ac:dyDescent="0.2">
      <c r="A6" s="322"/>
      <c r="B6" s="2525" t="s">
        <v>1375</v>
      </c>
      <c r="C6" s="2525"/>
      <c r="D6" s="2525"/>
      <c r="E6" s="2525"/>
      <c r="F6" s="2525"/>
      <c r="G6" s="2525"/>
      <c r="H6" s="2525"/>
      <c r="I6" s="2525"/>
      <c r="J6" s="2525"/>
      <c r="K6" s="2525"/>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t="s">
        <v>2100</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6"/>
      <c r="G12" s="2506"/>
      <c r="H12" s="2506"/>
      <c r="I12" s="2506"/>
      <c r="J12" s="2506"/>
      <c r="K12" s="250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20"/>
      <c r="E14" s="2520"/>
      <c r="F14" s="2520"/>
      <c r="H14" s="1475" t="s">
        <v>1370</v>
      </c>
      <c r="I14" s="2521"/>
      <c r="J14" s="2521"/>
      <c r="K14" s="252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21"/>
      <c r="E16" s="2521"/>
      <c r="F16" s="2521"/>
      <c r="G16" s="2521"/>
      <c r="H16" s="2521"/>
      <c r="I16" s="2521"/>
      <c r="J16" s="2521"/>
      <c r="K16" s="2521"/>
      <c r="L16" s="322"/>
    </row>
    <row r="17" spans="2:12" ht="13.5" customHeight="1" x14ac:dyDescent="0.2">
      <c r="B17" s="1387" t="s">
        <v>1368</v>
      </c>
      <c r="C17" s="1387"/>
      <c r="D17" s="2522"/>
      <c r="E17" s="2522"/>
      <c r="F17" s="2522"/>
      <c r="G17" s="2522"/>
      <c r="H17" s="2522"/>
      <c r="I17" s="2522"/>
      <c r="J17" s="2522"/>
      <c r="K17" s="252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19"/>
      <c r="C20" s="2519"/>
      <c r="D20" s="2519"/>
      <c r="E20" s="2519"/>
      <c r="F20" s="2519"/>
      <c r="G20" s="2519"/>
      <c r="H20" s="2519"/>
      <c r="I20" s="2519"/>
      <c r="J20" s="2519"/>
      <c r="K20" s="251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19"/>
      <c r="C23" s="2519"/>
      <c r="D23" s="2519"/>
      <c r="E23" s="2519"/>
      <c r="F23" s="2519"/>
      <c r="G23" s="2519"/>
      <c r="H23" s="2519"/>
      <c r="I23" s="2519"/>
      <c r="J23" s="2519"/>
      <c r="K23" s="251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19"/>
      <c r="C26" s="2519"/>
      <c r="D26" s="2519"/>
      <c r="E26" s="2519"/>
      <c r="F26" s="2519"/>
      <c r="G26" s="2519"/>
      <c r="H26" s="2519"/>
      <c r="I26" s="2519"/>
      <c r="J26" s="2519"/>
      <c r="K26" s="251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19"/>
      <c r="C29" s="2519"/>
      <c r="D29" s="2519"/>
      <c r="E29" s="2519"/>
      <c r="F29" s="2519"/>
      <c r="G29" s="2519"/>
      <c r="H29" s="2519"/>
      <c r="I29" s="2519"/>
      <c r="J29" s="2519"/>
      <c r="K29" s="251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19"/>
      <c r="C32" s="2519"/>
      <c r="D32" s="2519"/>
      <c r="E32" s="2519"/>
      <c r="F32" s="2519"/>
      <c r="G32" s="2519"/>
      <c r="H32" s="2519"/>
      <c r="I32" s="2519"/>
      <c r="J32" s="2519"/>
      <c r="K32" s="251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19"/>
      <c r="C35" s="2519"/>
      <c r="D35" s="2519"/>
      <c r="E35" s="2519"/>
      <c r="F35" s="2519"/>
      <c r="G35" s="2519"/>
      <c r="H35" s="2519"/>
      <c r="I35" s="2519"/>
      <c r="J35" s="2519"/>
      <c r="K35" s="251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19"/>
      <c r="C38" s="2519"/>
      <c r="D38" s="2519"/>
      <c r="E38" s="2519"/>
      <c r="F38" s="2519"/>
      <c r="G38" s="2519"/>
      <c r="H38" s="2519"/>
      <c r="I38" s="2519"/>
      <c r="J38" s="2519"/>
      <c r="K38" s="251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19"/>
      <c r="C41" s="2519"/>
      <c r="D41" s="2519"/>
      <c r="E41" s="2519"/>
      <c r="F41" s="2519"/>
      <c r="G41" s="2519"/>
      <c r="H41" s="2519"/>
      <c r="I41" s="2519"/>
      <c r="J41" s="2519"/>
      <c r="K41" s="2519"/>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
  <sheetViews>
    <sheetView showGridLines="0" zoomScale="110" zoomScaleNormal="110" workbookViewId="0">
      <selection activeCell="A7" sqref="A7:D7"/>
    </sheetView>
  </sheetViews>
  <sheetFormatPr defaultColWidth="9.140625" defaultRowHeight="12.75" x14ac:dyDescent="0.2"/>
  <cols>
    <col min="1" max="1" width="1.5703125" style="317" customWidth="1"/>
    <col min="2" max="2" width="14.7109375" style="317" customWidth="1"/>
    <col min="3" max="3" width="40.7109375" style="317" customWidth="1"/>
    <col min="4" max="4" width="3.5703125" style="317" customWidth="1"/>
    <col min="5" max="5" width="37.28515625" style="317" customWidth="1"/>
    <col min="6" max="6" width="8.140625" style="317" customWidth="1"/>
    <col min="7" max="10" width="9.140625" style="317"/>
    <col min="11" max="11" width="6.7109375" style="317" customWidth="1"/>
    <col min="12" max="16384" width="9.140625" style="317"/>
  </cols>
  <sheetData>
    <row r="1" spans="2:6" s="1282" customFormat="1" ht="12.75" customHeight="1" x14ac:dyDescent="0.2">
      <c r="B1" s="2499" t="str">
        <f>'Single Audit Cover'!A7</f>
        <v>Pikeland CUSD 10</v>
      </c>
      <c r="C1" s="2499"/>
      <c r="D1" s="2499"/>
      <c r="E1" s="2499"/>
      <c r="F1" s="1491"/>
    </row>
    <row r="2" spans="2:6" s="1282" customFormat="1" ht="12.75" customHeight="1" x14ac:dyDescent="0.2">
      <c r="B2" s="2501">
        <f>'Single Audit Cover'!E7</f>
        <v>1075010026</v>
      </c>
      <c r="C2" s="2501"/>
      <c r="D2" s="2501"/>
      <c r="E2" s="2501"/>
      <c r="F2" s="1492"/>
    </row>
    <row r="3" spans="2:6" ht="12.75" customHeight="1" x14ac:dyDescent="0.2">
      <c r="B3" s="2515" t="s">
        <v>1866</v>
      </c>
      <c r="C3" s="2515"/>
      <c r="D3" s="2515"/>
      <c r="E3" s="2515"/>
      <c r="F3" s="1274"/>
    </row>
    <row r="4" spans="2:6" s="1282" customFormat="1" ht="12.75" customHeight="1" x14ac:dyDescent="0.2">
      <c r="B4" s="2526" t="str">
        <f>'Single Audit Cover'!A4</f>
        <v>Year Ending June 30, 2018</v>
      </c>
      <c r="C4" s="2526"/>
      <c r="D4" s="2526"/>
      <c r="E4" s="2526"/>
      <c r="F4" s="1493"/>
    </row>
    <row r="5" spans="2:6" s="1282" customFormat="1" ht="15" customHeight="1" x14ac:dyDescent="0.2">
      <c r="B5" s="1494"/>
      <c r="C5" s="328"/>
      <c r="D5" s="328"/>
      <c r="E5" s="328"/>
      <c r="F5" s="328"/>
    </row>
    <row r="6" spans="2:6" s="1282" customFormat="1" ht="13.5" customHeight="1" x14ac:dyDescent="0.2">
      <c r="B6" s="1495" t="s">
        <v>1382</v>
      </c>
      <c r="C6" s="1495" t="s">
        <v>1381</v>
      </c>
      <c r="D6" s="1495"/>
      <c r="E6" s="1495" t="s">
        <v>1867</v>
      </c>
    </row>
    <row r="7" spans="2:6" ht="13.5" customHeight="1" x14ac:dyDescent="0.2">
      <c r="B7" s="1496"/>
      <c r="C7" s="324"/>
      <c r="D7" s="324"/>
      <c r="E7" s="324"/>
      <c r="F7" s="324"/>
    </row>
    <row r="8" spans="2:6" ht="40.9" customHeight="1" x14ac:dyDescent="0.2">
      <c r="B8" s="1976" t="s">
        <v>2156</v>
      </c>
      <c r="C8" s="1977" t="s">
        <v>2161</v>
      </c>
      <c r="D8" s="1977"/>
      <c r="E8" s="1977" t="s">
        <v>2195</v>
      </c>
      <c r="F8" s="324"/>
    </row>
    <row r="9" spans="2:6" ht="13.5" customHeight="1" x14ac:dyDescent="0.2">
      <c r="B9" s="1497"/>
      <c r="C9" s="323"/>
      <c r="D9" s="323"/>
      <c r="E9" s="323"/>
      <c r="F9" s="323"/>
    </row>
    <row r="10" spans="2:6" ht="36" customHeight="1" x14ac:dyDescent="0.2">
      <c r="B10" s="1976" t="s">
        <v>2157</v>
      </c>
      <c r="C10" s="1977" t="s">
        <v>2151</v>
      </c>
      <c r="D10" s="1977"/>
      <c r="E10" s="1978" t="s">
        <v>2159</v>
      </c>
      <c r="F10" s="323"/>
    </row>
    <row r="11" spans="2:6" ht="13.5" customHeight="1" x14ac:dyDescent="0.2">
      <c r="B11" s="1496"/>
      <c r="C11" s="323"/>
      <c r="D11" s="323"/>
      <c r="E11" s="323"/>
      <c r="F11" s="323"/>
    </row>
    <row r="12" spans="2:6" ht="16.899999999999999" customHeight="1" x14ac:dyDescent="0.2">
      <c r="B12" s="1976" t="s">
        <v>2158</v>
      </c>
      <c r="C12" s="1977" t="s">
        <v>2160</v>
      </c>
      <c r="D12" s="1977"/>
      <c r="E12" s="1978" t="s">
        <v>2160</v>
      </c>
      <c r="F12" s="323"/>
    </row>
    <row r="13" spans="2:6" ht="13.5" customHeight="1" x14ac:dyDescent="0.2">
      <c r="B13" s="1496"/>
      <c r="C13" s="323"/>
      <c r="D13" s="323"/>
      <c r="E13" s="323"/>
      <c r="F13" s="323"/>
    </row>
    <row r="14" spans="2:6" ht="13.5" customHeight="1" x14ac:dyDescent="0.2">
      <c r="B14" s="1496"/>
      <c r="C14" s="323"/>
      <c r="D14" s="323"/>
      <c r="E14" s="323"/>
      <c r="F14" s="323"/>
    </row>
    <row r="15" spans="2:6" ht="13.5" customHeight="1" x14ac:dyDescent="0.2">
      <c r="B15" s="1496"/>
      <c r="C15" s="323"/>
      <c r="D15" s="323"/>
      <c r="E15" s="323"/>
      <c r="F15" s="323"/>
    </row>
    <row r="16" spans="2:6" ht="13.5" customHeight="1" x14ac:dyDescent="0.2">
      <c r="B16" s="1496"/>
      <c r="C16" s="323"/>
      <c r="D16" s="323"/>
      <c r="E16" s="323"/>
      <c r="F16" s="323"/>
    </row>
    <row r="17" spans="2:6" ht="13.5" customHeight="1" x14ac:dyDescent="0.2">
      <c r="B17" s="1496"/>
      <c r="C17" s="323"/>
      <c r="D17" s="323"/>
      <c r="E17" s="323"/>
      <c r="F17" s="323"/>
    </row>
    <row r="18" spans="2:6" ht="13.5" customHeight="1" x14ac:dyDescent="0.2">
      <c r="B18" s="1496"/>
      <c r="C18" s="323"/>
      <c r="D18" s="323"/>
      <c r="E18" s="323"/>
      <c r="F18" s="323"/>
    </row>
    <row r="19" spans="2:6" ht="13.5" customHeight="1" x14ac:dyDescent="0.2">
      <c r="B19" s="1496"/>
      <c r="C19" s="323"/>
      <c r="D19" s="323"/>
      <c r="E19" s="323"/>
      <c r="F19" s="323"/>
    </row>
    <row r="20" spans="2:6" ht="13.5" customHeight="1" x14ac:dyDescent="0.2">
      <c r="B20" s="1496"/>
      <c r="C20" s="323"/>
      <c r="D20" s="323"/>
      <c r="E20" s="323"/>
      <c r="F20" s="323"/>
    </row>
    <row r="21" spans="2:6" ht="13.5" customHeight="1" x14ac:dyDescent="0.2">
      <c r="B21" s="1496"/>
      <c r="C21" s="323"/>
      <c r="D21" s="323"/>
      <c r="E21" s="323"/>
      <c r="F21" s="323"/>
    </row>
    <row r="22" spans="2:6" ht="13.5" customHeight="1" x14ac:dyDescent="0.2">
      <c r="B22" s="1496"/>
      <c r="C22" s="323"/>
      <c r="D22" s="323"/>
      <c r="E22" s="323"/>
      <c r="F22" s="323"/>
    </row>
    <row r="23" spans="2:6" ht="13.5" customHeight="1" x14ac:dyDescent="0.2">
      <c r="B23" s="1496"/>
      <c r="C23" s="323"/>
      <c r="D23" s="323"/>
      <c r="E23" s="323"/>
      <c r="F23" s="323"/>
    </row>
    <row r="24" spans="2:6" ht="13.5" customHeight="1" x14ac:dyDescent="0.2">
      <c r="B24" s="1496"/>
      <c r="C24" s="323"/>
      <c r="D24" s="323"/>
      <c r="E24" s="323"/>
      <c r="F24" s="323"/>
    </row>
    <row r="25" spans="2:6" ht="13.5" customHeight="1" x14ac:dyDescent="0.2">
      <c r="B25" s="1496"/>
      <c r="C25" s="323"/>
      <c r="D25" s="323"/>
      <c r="E25" s="323"/>
      <c r="F25" s="323"/>
    </row>
    <row r="26" spans="2:6" ht="13.5" customHeight="1" x14ac:dyDescent="0.2">
      <c r="B26" s="1496"/>
      <c r="C26" s="323"/>
      <c r="D26" s="323"/>
      <c r="E26" s="323"/>
      <c r="F26" s="323"/>
    </row>
    <row r="27" spans="2:6" ht="13.5" customHeight="1" x14ac:dyDescent="0.2">
      <c r="B27" s="1496"/>
      <c r="C27" s="323"/>
      <c r="D27" s="323"/>
      <c r="E27" s="323"/>
      <c r="F27" s="323"/>
    </row>
    <row r="28" spans="2:6" ht="13.5" customHeight="1" x14ac:dyDescent="0.2">
      <c r="B28" s="1496"/>
      <c r="C28" s="323"/>
      <c r="D28" s="323"/>
      <c r="E28" s="323"/>
      <c r="F28" s="323"/>
    </row>
    <row r="29" spans="2:6" ht="13.5" customHeight="1" x14ac:dyDescent="0.2">
      <c r="B29" s="1496"/>
      <c r="C29" s="323"/>
      <c r="D29" s="323"/>
      <c r="E29" s="323"/>
      <c r="F29" s="323"/>
    </row>
    <row r="30" spans="2:6" ht="13.5" customHeight="1" x14ac:dyDescent="0.2">
      <c r="B30" s="1496"/>
      <c r="C30" s="323"/>
      <c r="D30" s="323"/>
      <c r="E30" s="323"/>
      <c r="F30" s="323"/>
    </row>
    <row r="31" spans="2:6" ht="13.5" customHeight="1" x14ac:dyDescent="0.2">
      <c r="B31" s="1496"/>
      <c r="C31" s="323"/>
      <c r="D31" s="323"/>
      <c r="E31" s="323"/>
      <c r="F31" s="323"/>
    </row>
    <row r="32" spans="2:6" ht="13.5" customHeight="1" x14ac:dyDescent="0.2">
      <c r="B32" s="1498"/>
      <c r="C32" s="323"/>
      <c r="D32" s="323"/>
      <c r="E32" s="323"/>
      <c r="F32" s="323"/>
    </row>
    <row r="33" spans="2:6" ht="13.5" customHeight="1" x14ac:dyDescent="0.2">
      <c r="B33" s="1499"/>
      <c r="C33" s="323"/>
      <c r="D33" s="323"/>
      <c r="E33" s="323"/>
      <c r="F33" s="323"/>
    </row>
    <row r="34" spans="2:6" ht="13.5" customHeight="1" x14ac:dyDescent="0.2">
      <c r="B34" s="1500"/>
      <c r="C34" s="323"/>
      <c r="D34" s="323"/>
      <c r="E34" s="323"/>
      <c r="F34" s="323"/>
    </row>
    <row r="35" spans="2:6" ht="13.5" customHeight="1" x14ac:dyDescent="0.2">
      <c r="B35" s="1499"/>
      <c r="C35" s="323"/>
      <c r="D35" s="323"/>
      <c r="E35" s="323"/>
      <c r="F35" s="323"/>
    </row>
    <row r="36" spans="2:6" ht="13.5" customHeight="1" x14ac:dyDescent="0.2">
      <c r="B36" s="1500"/>
      <c r="C36" s="323"/>
      <c r="D36" s="323"/>
      <c r="E36" s="323"/>
      <c r="F36" s="323"/>
    </row>
    <row r="37" spans="2:6" ht="13.5" customHeight="1" x14ac:dyDescent="0.2">
      <c r="B37" s="1500"/>
      <c r="C37" s="323"/>
      <c r="D37" s="323"/>
      <c r="E37" s="323"/>
      <c r="F37" s="323"/>
    </row>
    <row r="38" spans="2:6" ht="13.5" customHeight="1" x14ac:dyDescent="0.2">
      <c r="B38" s="1499"/>
      <c r="C38" s="323"/>
      <c r="D38" s="323"/>
      <c r="E38" s="323"/>
      <c r="F38" s="323"/>
    </row>
    <row r="39" spans="2:6" ht="13.5" customHeight="1" x14ac:dyDescent="0.2">
      <c r="B39" s="1500"/>
      <c r="C39" s="323"/>
      <c r="D39" s="323"/>
      <c r="E39" s="323"/>
      <c r="F39" s="323"/>
    </row>
    <row r="40" spans="2:6" ht="13.5" customHeight="1" x14ac:dyDescent="0.2">
      <c r="B40" s="1499"/>
      <c r="C40" s="323"/>
      <c r="D40" s="323"/>
      <c r="E40" s="323"/>
      <c r="F40" s="323"/>
    </row>
    <row r="41" spans="2:6" ht="13.5" customHeight="1" x14ac:dyDescent="0.2">
      <c r="B41" s="1501"/>
      <c r="C41" s="323"/>
      <c r="D41" s="323"/>
      <c r="E41" s="323"/>
      <c r="F41" s="323"/>
    </row>
    <row r="42" spans="2:6" ht="13.5" customHeight="1" x14ac:dyDescent="0.2">
      <c r="B42" s="1502"/>
      <c r="C42" s="323"/>
      <c r="D42" s="323"/>
      <c r="E42" s="323"/>
      <c r="F42" s="323"/>
    </row>
    <row r="43" spans="2:6" ht="12.75" customHeight="1" x14ac:dyDescent="0.2">
      <c r="B43" s="1503"/>
      <c r="C43" s="1504"/>
      <c r="D43" s="1504"/>
      <c r="E43" s="1504"/>
      <c r="F43" s="323"/>
    </row>
    <row r="44" spans="2:6" ht="12.2" customHeight="1" x14ac:dyDescent="0.2">
      <c r="B44" s="1257" t="s">
        <v>1380</v>
      </c>
      <c r="C44" s="322"/>
      <c r="D44" s="322"/>
    </row>
    <row r="45" spans="2:6" ht="12.2" customHeight="1" x14ac:dyDescent="0.2">
      <c r="B45" s="1505" t="s">
        <v>1868</v>
      </c>
    </row>
    <row r="46" spans="2:6" ht="12.2" customHeight="1" x14ac:dyDescent="0.2">
      <c r="B46" s="1505" t="s">
        <v>1869</v>
      </c>
    </row>
    <row r="47" spans="2:6" ht="12.2" customHeight="1" x14ac:dyDescent="0.2">
      <c r="B47" s="1506" t="s">
        <v>1379</v>
      </c>
    </row>
    <row r="48" spans="2:6" ht="12.2" customHeight="1" x14ac:dyDescent="0.2">
      <c r="B48" s="1506" t="s">
        <v>1378</v>
      </c>
    </row>
    <row r="49" spans="2:6" ht="12.2" customHeight="1" x14ac:dyDescent="0.2">
      <c r="B49" s="1506" t="s">
        <v>1377</v>
      </c>
    </row>
    <row r="50" spans="2:6" ht="12.2" customHeight="1" x14ac:dyDescent="0.2">
      <c r="B50" s="1506" t="s">
        <v>1376</v>
      </c>
    </row>
    <row r="53" spans="2:6" ht="12.75" customHeight="1" x14ac:dyDescent="0.2"/>
    <row r="54" spans="2:6" ht="12.75" customHeight="1" x14ac:dyDescent="0.2">
      <c r="B54" s="1267"/>
    </row>
    <row r="55" spans="2:6" ht="12.75" customHeight="1" x14ac:dyDescent="0.2"/>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0" spans="2:6" ht="12.75" customHeight="1" x14ac:dyDescent="0.2">
      <c r="B60" s="322"/>
      <c r="C60" s="322"/>
      <c r="D60" s="322"/>
      <c r="E60" s="322"/>
      <c r="F60" s="322"/>
    </row>
    <row r="61" spans="2:6" ht="12.75" customHeight="1" x14ac:dyDescent="0.2">
      <c r="B61" s="322"/>
      <c r="C61" s="322"/>
      <c r="D61" s="322"/>
      <c r="E61" s="322"/>
      <c r="F61" s="322"/>
    </row>
    <row r="62" spans="2:6" ht="12.75" customHeight="1" x14ac:dyDescent="0.2">
      <c r="B62" s="322"/>
      <c r="C62" s="322"/>
      <c r="D62" s="322"/>
      <c r="E62" s="322"/>
      <c r="F62" s="322"/>
    </row>
    <row r="63" spans="2:6" ht="12.75" customHeight="1" x14ac:dyDescent="0.2">
      <c r="B63" s="322"/>
      <c r="C63" s="322"/>
      <c r="D63" s="322"/>
      <c r="E63" s="322"/>
      <c r="F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schemas.openxmlformats.org/package/2006/metadata/core-properties"/>
    <ds:schemaRef ds:uri="http://www.w3.org/XML/1998/namespace"/>
    <ds:schemaRef ds:uri="http://purl.org/dc/terms/"/>
    <ds:schemaRef ds:uri="http://purl.org/dc/elements/1.1/"/>
    <ds:schemaRef ds:uri="http://schemas.microsoft.com/office/infopath/2007/PartnerControls"/>
    <ds:schemaRef ds:uri="http://schemas.microsoft.com/sharepoint/v3"/>
    <ds:schemaRef ds:uri="4d435f69-8686-490b-bd6d-b153bf22ab50"/>
    <ds:schemaRef ds:uri="http://schemas.microsoft.com/office/2006/documentManagement/types"/>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 (1)</vt:lpstr>
      <vt:lpstr> SEFA (2)</vt:lpstr>
      <vt:lpstr> SEFA (3)</vt:lpstr>
      <vt:lpstr>SEFA NOTES</vt:lpstr>
      <vt:lpstr>SF&amp;QC Sec-1</vt:lpstr>
      <vt:lpstr>SF&amp;QC Sec-2</vt:lpstr>
      <vt:lpstr>SF&amp;QC Sec-3a</vt:lpstr>
      <vt:lpstr>SSPAF</vt:lpstr>
      <vt:lpstr>' SEFA (1)'!Print_Area</vt:lpstr>
      <vt:lpstr>' SEFA (2)'!Print_Area</vt:lpstr>
      <vt:lpstr>' SEFA (3)'!Print_Area</vt:lpstr>
      <vt:lpstr>'SEFA NOTES'!Print_Area</vt:lpstr>
      <vt:lpstr>'SEFA Reconcile'!Print_Area</vt:lpstr>
      <vt:lpstr>'SF&amp;QC Sec-1'!Print_Area</vt:lpstr>
      <vt:lpstr>'SF&amp;QC Sec-3a'!Print_Area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2018-10-23T18:17:56Z</cp:lastPrinted>
  <dcterms:created xsi:type="dcterms:W3CDTF">2003-10-29T19:06:34Z</dcterms:created>
  <dcterms:modified xsi:type="dcterms:W3CDTF">2018-10-29T18:54:06Z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