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2878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31'!$A$2:$F$56</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iterateDelta="0"/>
</workbook>
</file>

<file path=xl/calcChain.xml><?xml version="1.0" encoding="utf-8"?>
<calcChain xmlns="http://schemas.openxmlformats.org/spreadsheetml/2006/main">
  <c r="M19" i="3" l="1"/>
  <c r="I8" i="11"/>
  <c r="I12" i="1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B7718" i="106" s="1"/>
  <c r="D7718" i="106" s="1"/>
  <c r="J21" i="12"/>
  <c r="B7727" i="106" s="1"/>
  <c r="D7727" i="106"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C228" i="5"/>
  <c r="C259" i="5"/>
  <c r="B7761" i="106"/>
  <c r="L127" i="29"/>
  <c r="L129" i="29" s="1"/>
  <c r="L139" i="29"/>
  <c r="L149" i="29"/>
  <c r="I7" i="145"/>
  <c r="I6" i="145"/>
  <c r="D78" i="36"/>
  <c r="K75" i="29"/>
  <c r="K130" i="29"/>
  <c r="K185" i="29"/>
  <c r="K122" i="29"/>
  <c r="F15" i="145" s="1"/>
  <c r="F19" i="145" s="1"/>
  <c r="K67" i="29"/>
  <c r="E33" i="108" s="1"/>
  <c r="K64" i="29"/>
  <c r="K59" i="29"/>
  <c r="B1126" i="106" s="1"/>
  <c r="D1126" i="106"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B7088" i="106" s="1"/>
  <c r="D7088" i="106" s="1"/>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9" i="106"/>
  <c r="D7079" i="106" s="1"/>
  <c r="B7080" i="106"/>
  <c r="D7080" i="106" s="1"/>
  <c r="B7081" i="106"/>
  <c r="D7081" i="106" s="1"/>
  <c r="B7082" i="106"/>
  <c r="D7082" i="106" s="1"/>
  <c r="B7083" i="106"/>
  <c r="D7083" i="106" s="1"/>
  <c r="B7085" i="106"/>
  <c r="D7085" i="106" s="1"/>
  <c r="B7086" i="106"/>
  <c r="D7086" i="106" s="1"/>
  <c r="B7087" i="106"/>
  <c r="D7087"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E28" i="108"/>
  <c r="F31" i="108"/>
  <c r="F36" i="108"/>
  <c r="G28" i="108"/>
  <c r="E30" i="108"/>
  <c r="D31" i="108"/>
  <c r="D36" i="108"/>
  <c r="E31" i="108"/>
  <c r="G31" i="108"/>
  <c r="G33" i="108"/>
  <c r="E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C63" i="34"/>
  <c r="D63" i="34"/>
  <c r="C64" i="34"/>
  <c r="C67" i="34"/>
  <c r="D67" i="34"/>
  <c r="F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C14" i="4"/>
  <c r="B2558" i="106" s="1"/>
  <c r="D2558" i="106" s="1"/>
  <c r="D14" i="4"/>
  <c r="B2570" i="106" s="1"/>
  <c r="D2570" i="106" s="1"/>
  <c r="B2633" i="106"/>
  <c r="D2633" i="106" s="1"/>
  <c r="D7" i="118"/>
  <c r="D8" i="118"/>
  <c r="D9" i="118"/>
  <c r="H14" i="118"/>
  <c r="H19" i="118"/>
  <c r="H24" i="118"/>
  <c r="D22" i="37"/>
  <c r="L22" i="37"/>
  <c r="D24" i="37"/>
  <c r="B4270" i="106" s="1"/>
  <c r="D4270" i="106" s="1"/>
  <c r="B5752" i="106"/>
  <c r="D5752" i="106" s="1"/>
  <c r="D7" i="7"/>
  <c r="B1763" i="106" s="1"/>
  <c r="D1763" i="106" s="1"/>
  <c r="D11" i="7"/>
  <c r="B1768" i="106" s="1"/>
  <c r="D1768" i="106" s="1"/>
  <c r="G39" i="108" l="1"/>
  <c r="H76" i="4"/>
  <c r="B3298" i="106" s="1"/>
  <c r="D3298" i="106" s="1"/>
  <c r="N22" i="3"/>
  <c r="B283" i="106" s="1"/>
  <c r="D283" i="106" s="1"/>
  <c r="F38" i="34"/>
  <c r="H112" i="29"/>
  <c r="B7018" i="106" s="1"/>
  <c r="D7018" i="106" s="1"/>
  <c r="F35" i="34"/>
  <c r="F37" i="34"/>
  <c r="F66" i="34"/>
  <c r="G30" i="108"/>
  <c r="G5" i="4"/>
  <c r="B3409" i="106" s="1"/>
  <c r="D3409" i="106" s="1"/>
  <c r="L13" i="11"/>
  <c r="B2060" i="106" s="1"/>
  <c r="D2060" i="106" s="1"/>
  <c r="J274" i="5"/>
  <c r="B7054" i="106" s="1"/>
  <c r="D7054" i="106" s="1"/>
  <c r="H33" i="118"/>
  <c r="D6103" i="106"/>
  <c r="D15" i="7"/>
  <c r="B1772" i="106" s="1"/>
  <c r="D1772" i="106" s="1"/>
  <c r="D7245" i="106"/>
  <c r="L15" i="11"/>
  <c r="B3459" i="106" s="1"/>
  <c r="D3459" i="106" s="1"/>
  <c r="J23" i="12"/>
  <c r="J24" i="12" s="1"/>
  <c r="K350" i="29"/>
  <c r="B3670" i="106" s="1"/>
  <c r="D3670" i="106" s="1"/>
  <c r="F128" i="34"/>
  <c r="D13" i="7"/>
  <c r="B3726" i="106" s="1"/>
  <c r="D3726" i="106" s="1"/>
  <c r="B3619" i="106"/>
  <c r="D3619" i="106" s="1"/>
  <c r="B7231" i="106"/>
  <c r="D7231" i="106" s="1"/>
  <c r="F72" i="34"/>
  <c r="F71" i="34"/>
  <c r="D9" i="7"/>
  <c r="B1767" i="106" s="1"/>
  <c r="D1767" i="106" s="1"/>
  <c r="D17" i="7"/>
  <c r="B4104" i="106" s="1"/>
  <c r="D4104" i="106" s="1"/>
  <c r="B1746" i="106"/>
  <c r="D1746" i="106" s="1"/>
  <c r="G14" i="4"/>
  <c r="B2609" i="106" s="1"/>
  <c r="D2609" i="106" s="1"/>
  <c r="J41" i="3"/>
  <c r="D51" i="36" s="1"/>
  <c r="H28" i="118"/>
  <c r="K24" i="12"/>
  <c r="D11" i="37"/>
  <c r="H29" i="118"/>
  <c r="F127" i="34"/>
  <c r="F64" i="34"/>
  <c r="E38" i="108"/>
  <c r="C129" i="29"/>
  <c r="C151" i="29" s="1"/>
  <c r="B1226" i="106" s="1"/>
  <c r="D1226" i="106" s="1"/>
  <c r="H173" i="5"/>
  <c r="B5906" i="106" s="1"/>
  <c r="D5906" i="106" s="1"/>
  <c r="F50" i="34"/>
  <c r="J77" i="4"/>
  <c r="B6262" i="106" s="1"/>
  <c r="D6262" i="106" s="1"/>
  <c r="F172" i="5"/>
  <c r="B5644" i="106" s="1"/>
  <c r="D5644" i="106" s="1"/>
  <c r="F46" i="34"/>
  <c r="F37" i="108"/>
  <c r="H342" i="29"/>
  <c r="B7221" i="106" s="1"/>
  <c r="D7221" i="106" s="1"/>
  <c r="B7078" i="106"/>
  <c r="D7078" i="106" s="1"/>
  <c r="I129" i="29"/>
  <c r="B7037" i="106" s="1"/>
  <c r="D7037" i="106" s="1"/>
  <c r="B2836" i="106"/>
  <c r="D2836" i="106" s="1"/>
  <c r="F62" i="34"/>
  <c r="D37" i="108"/>
  <c r="D41" i="108" s="1"/>
  <c r="E43" i="108" s="1"/>
  <c r="F77" i="4"/>
  <c r="B3255" i="106" s="1"/>
  <c r="D3255" i="106" s="1"/>
  <c r="F14" i="4"/>
  <c r="B2597" i="106" s="1"/>
  <c r="D2597" i="106" s="1"/>
  <c r="F42" i="34"/>
  <c r="F28" i="108"/>
  <c r="B3647" i="106"/>
  <c r="D3647" i="106" s="1"/>
  <c r="K285" i="29"/>
  <c r="I24" i="12"/>
  <c r="D69" i="36"/>
  <c r="F21" i="8"/>
  <c r="J22" i="37"/>
  <c r="I342" i="29"/>
  <c r="B7222" i="106" s="1"/>
  <c r="D7222" i="106" s="1"/>
  <c r="E174" i="29"/>
  <c r="B1309" i="106" s="1"/>
  <c r="D1309" i="106" s="1"/>
  <c r="B6261" i="106"/>
  <c r="D6261" i="106" s="1"/>
  <c r="B5232" i="106"/>
  <c r="D5232" i="106" s="1"/>
  <c r="D12" i="7"/>
  <c r="B1769" i="106" s="1"/>
  <c r="D1769" i="106" s="1"/>
  <c r="F136" i="34"/>
  <c r="K274" i="5"/>
  <c r="K7" i="4" s="1"/>
  <c r="B3718" i="106" s="1"/>
  <c r="D3718" i="106" s="1"/>
  <c r="G172" i="5"/>
  <c r="F130" i="34"/>
  <c r="F131" i="34"/>
  <c r="H6" i="4"/>
  <c r="B2656" i="106" s="1"/>
  <c r="D2656" i="106" s="1"/>
  <c r="D5" i="4"/>
  <c r="B3406" i="106" s="1"/>
  <c r="D3406" i="106" s="1"/>
  <c r="F111" i="34"/>
  <c r="B7041" i="106"/>
  <c r="D7041" i="106" s="1"/>
  <c r="B4373" i="106"/>
  <c r="D4373" i="106" s="1"/>
  <c r="I173" i="5"/>
  <c r="B4216" i="106" s="1"/>
  <c r="D4216" i="106" s="1"/>
  <c r="K76" i="4"/>
  <c r="B3586" i="106" s="1"/>
  <c r="D3586" i="106" s="1"/>
  <c r="H109" i="5"/>
  <c r="K173" i="5"/>
  <c r="K6" i="4" s="1"/>
  <c r="B3570" i="106" s="1"/>
  <c r="D3570" i="106" s="1"/>
  <c r="D54" i="36"/>
  <c r="K41" i="3"/>
  <c r="B3568" i="106" s="1"/>
  <c r="D3568" i="106" s="1"/>
  <c r="L5" i="11"/>
  <c r="B2056" i="106" s="1"/>
  <c r="D2056" i="106" s="1"/>
  <c r="F19" i="7"/>
  <c r="B1807" i="106" s="1"/>
  <c r="D1807" i="106" s="1"/>
  <c r="L342" i="29"/>
  <c r="C342" i="29"/>
  <c r="B7216" i="106" s="1"/>
  <c r="D7216" i="106" s="1"/>
  <c r="G29" i="108"/>
  <c r="K184" i="29"/>
  <c r="F13" i="4" s="1"/>
  <c r="B2596" i="106" s="1"/>
  <c r="D2596" i="106" s="1"/>
  <c r="E29" i="108"/>
  <c r="B1329" i="106"/>
  <c r="D1329" i="106" s="1"/>
  <c r="F61" i="34"/>
  <c r="E15" i="145"/>
  <c r="G15" i="145" s="1"/>
  <c r="F106" i="34"/>
  <c r="C172" i="5"/>
  <c r="D109" i="5"/>
  <c r="D4" i="4" s="1"/>
  <c r="B2564" i="106" s="1"/>
  <c r="D2564" i="106" s="1"/>
  <c r="C109" i="5"/>
  <c r="B5121" i="106" s="1"/>
  <c r="D5121" i="106" s="1"/>
  <c r="F94" i="34"/>
  <c r="G109" i="5"/>
  <c r="E109" i="5"/>
  <c r="E4" i="4" s="1"/>
  <c r="B2630" i="106" s="1"/>
  <c r="D2630" i="106" s="1"/>
  <c r="D5" i="7"/>
  <c r="B1761" i="106" s="1"/>
  <c r="D1761" i="106" s="1"/>
  <c r="D4" i="7"/>
  <c r="B1760" i="106" s="1"/>
  <c r="D1760" i="106" s="1"/>
  <c r="D31" i="36"/>
  <c r="B3649" i="106"/>
  <c r="D3649" i="106" s="1"/>
  <c r="G367" i="29"/>
  <c r="B3650" i="106" s="1"/>
  <c r="D3650" i="106" s="1"/>
  <c r="B7235" i="106"/>
  <c r="D7235" i="106" s="1"/>
  <c r="B3621" i="106"/>
  <c r="D3621" i="106" s="1"/>
  <c r="C367" i="29"/>
  <c r="B3622" i="106" s="1"/>
  <c r="D3622" i="106" s="1"/>
  <c r="J129" i="29"/>
  <c r="B7038" i="106" s="1"/>
  <c r="D7038" i="106" s="1"/>
  <c r="H365" i="29"/>
  <c r="L367" i="29"/>
  <c r="G210" i="29"/>
  <c r="L312" i="29"/>
  <c r="B1410" i="106"/>
  <c r="D141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7" i="4"/>
  <c r="B7270" i="106"/>
  <c r="I6" i="4" l="1"/>
  <c r="B5011" i="106" s="1"/>
  <c r="D5011" i="106" s="1"/>
  <c r="D7251" i="106"/>
  <c r="D7254" i="106"/>
  <c r="D7255" i="106"/>
  <c r="D7250" i="106"/>
  <c r="B7730" i="106"/>
  <c r="D7730" i="106" s="1"/>
  <c r="D7256" i="106"/>
  <c r="D7253" i="106"/>
  <c r="D7252" i="106"/>
  <c r="J151" i="29"/>
  <c r="B7052" i="106" s="1"/>
  <c r="D7052" i="106" s="1"/>
  <c r="K352" i="29"/>
  <c r="K13" i="4" s="1"/>
  <c r="B3572" i="106" s="1"/>
  <c r="D3572" i="106" s="1"/>
  <c r="K77" i="4"/>
  <c r="B3587" i="106" s="1"/>
  <c r="D3587" i="106" s="1"/>
  <c r="K28" i="118"/>
  <c r="O27" i="118" s="1"/>
  <c r="O29" i="118" s="1"/>
  <c r="L114" i="29"/>
  <c r="B6014" i="106"/>
  <c r="D6014" i="106" s="1"/>
  <c r="K365" i="29"/>
  <c r="F173" i="5"/>
  <c r="B5653" i="106" s="1"/>
  <c r="D5653" i="106" s="1"/>
  <c r="B6216" i="106"/>
  <c r="D6216" i="106" s="1"/>
  <c r="F41" i="108"/>
  <c r="G43" i="108" s="1"/>
  <c r="B7733" i="106"/>
  <c r="D7733" i="106" s="1"/>
  <c r="K26" i="12"/>
  <c r="B7743" i="106" s="1"/>
  <c r="D7743" i="106" s="1"/>
  <c r="D52" i="36"/>
  <c r="B1365" i="106"/>
  <c r="D1365" i="106" s="1"/>
  <c r="F65" i="34"/>
  <c r="F73" i="34"/>
  <c r="G15" i="4"/>
  <c r="B6032" i="106" s="1"/>
  <c r="D6032" i="106" s="1"/>
  <c r="D274" i="5"/>
  <c r="B5507" i="106" s="1"/>
  <c r="D5507" i="106" s="1"/>
  <c r="B1996" i="106"/>
  <c r="D1996" i="106" s="1"/>
  <c r="I26" i="12"/>
  <c r="B7741" i="106" s="1"/>
  <c r="D7741" i="106" s="1"/>
  <c r="B1879" i="106"/>
  <c r="D1879" i="106" s="1"/>
  <c r="H22" i="37"/>
  <c r="H275" i="5"/>
  <c r="B5915" i="106" s="1"/>
  <c r="D5915" i="106" s="1"/>
  <c r="B6025" i="106"/>
  <c r="D6025" i="106" s="1"/>
  <c r="H4" i="4"/>
  <c r="B5914" i="106"/>
  <c r="D5914" i="106" s="1"/>
  <c r="B6022" i="106"/>
  <c r="D6022" i="106" s="1"/>
  <c r="G173" i="5"/>
  <c r="B5770" i="106"/>
  <c r="D5770" i="106" s="1"/>
  <c r="F274" i="5"/>
  <c r="F7" i="4" s="1"/>
  <c r="B2594" i="106" s="1"/>
  <c r="D2594" i="106" s="1"/>
  <c r="L16" i="11"/>
  <c r="B2061" i="106" s="1"/>
  <c r="D2061" i="106" s="1"/>
  <c r="B1317" i="106"/>
  <c r="D1317" i="106" s="1"/>
  <c r="C114" i="29"/>
  <c r="B757" i="106" s="1"/>
  <c r="D757" i="106" s="1"/>
  <c r="B5214" i="106"/>
  <c r="D5214" i="106" s="1"/>
  <c r="C173" i="5"/>
  <c r="B5527" i="106"/>
  <c r="D5527" i="106" s="1"/>
  <c r="B5356" i="106"/>
  <c r="D5356" i="106" s="1"/>
  <c r="C4" i="4"/>
  <c r="B2551" i="106" s="1"/>
  <c r="D2551" i="106" s="1"/>
  <c r="B6024" i="106"/>
  <c r="D6024" i="106" s="1"/>
  <c r="G4" i="4"/>
  <c r="B2603" i="106" s="1"/>
  <c r="D2603" i="106" s="1"/>
  <c r="D19" i="7"/>
  <c r="B1775" i="106" s="1"/>
  <c r="D1775" i="106" s="1"/>
  <c r="D44" i="36"/>
  <c r="H367" i="29"/>
  <c r="B3660" i="106" s="1"/>
  <c r="D3660" i="106" s="1"/>
  <c r="B7242" i="106"/>
  <c r="D7242" i="106" s="1"/>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D7" i="4"/>
  <c r="B7298" i="106"/>
  <c r="B7299" i="106"/>
  <c r="K367" i="29" l="1"/>
  <c r="B3678" i="106" s="1"/>
  <c r="D3678" i="106" s="1"/>
  <c r="B3672" i="106"/>
  <c r="D3672" i="106" s="1"/>
  <c r="F24" i="37"/>
  <c r="F6" i="4"/>
  <c r="B2593" i="106" s="1"/>
  <c r="D2593" i="106" s="1"/>
  <c r="F275" i="5"/>
  <c r="B5720" i="106" s="1"/>
  <c r="D5720" i="106" s="1"/>
  <c r="B5719" i="106"/>
  <c r="D5719" i="106" s="1"/>
  <c r="D275" i="5"/>
  <c r="B5508" i="106" s="1"/>
  <c r="D5508" i="106" s="1"/>
  <c r="B1145" i="106"/>
  <c r="D1145" i="106" s="1"/>
  <c r="J17" i="4"/>
  <c r="J19" i="4" s="1"/>
  <c r="B6229" i="106" s="1"/>
  <c r="D6229" i="106" s="1"/>
  <c r="B5778" i="106"/>
  <c r="D5778" i="106" s="1"/>
  <c r="G6" i="4"/>
  <c r="B2604" i="106" s="1"/>
  <c r="D2604" i="106" s="1"/>
  <c r="J8" i="4"/>
  <c r="J10" i="4" s="1"/>
  <c r="B6225" i="106" s="1"/>
  <c r="D6225" i="106" s="1"/>
  <c r="B2655" i="106"/>
  <c r="D2655" i="106" s="1"/>
  <c r="H8" i="4"/>
  <c r="B7224" i="106"/>
  <c r="D7224" i="106" s="1"/>
  <c r="E41" i="108"/>
  <c r="E44" i="108" s="1"/>
  <c r="E45" i="108" s="1"/>
  <c r="G41" i="108"/>
  <c r="G44" i="108" s="1"/>
  <c r="G45" i="108" s="1"/>
  <c r="B5223" i="106"/>
  <c r="D5223" i="106" s="1"/>
  <c r="C6" i="4"/>
  <c r="B2553" i="106" s="1"/>
  <c r="D255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7" i="106"/>
  <c r="D6227" i="106" s="1"/>
  <c r="J20" i="4"/>
  <c r="B6223" i="106"/>
  <c r="D6223" i="106" s="1"/>
  <c r="B2658" i="106"/>
  <c r="D2658" i="106" s="1"/>
  <c r="H10" i="4"/>
  <c r="B4127" i="106" s="1"/>
  <c r="D4127" i="106" s="1"/>
  <c r="D8" i="4"/>
  <c r="D10" i="4" s="1"/>
  <c r="B4123" i="106" s="1"/>
  <c r="D4123" i="106" s="1"/>
  <c r="F76" i="34"/>
  <c r="D10" i="171"/>
  <c r="D19" i="171" s="1"/>
  <c r="D32" i="171" s="1"/>
  <c r="D49" i="171" s="1"/>
  <c r="F10" i="4"/>
  <c r="B4125" i="106" s="1"/>
  <c r="D4125" i="106"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68" i="106" l="1"/>
  <c r="D2568" i="106" s="1"/>
  <c r="H13" i="118"/>
  <c r="C8" i="146"/>
  <c r="D20" i="4"/>
  <c r="D78" i="4"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K78" i="4"/>
  <c r="B3576" i="106"/>
  <c r="D3576" i="106" s="1"/>
  <c r="J81" i="4"/>
  <c r="B6263" i="106"/>
  <c r="D6263" i="106" s="1"/>
  <c r="B2574" i="106" l="1"/>
  <c r="D2574" i="106" s="1"/>
  <c r="C10" i="146"/>
  <c r="F179" i="34"/>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<sst xmlns="http://schemas.openxmlformats.org/spreadsheetml/2006/main" count="5041" uniqueCount="2115">
  <si>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</si>
  <si>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</si>
  <si>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</si>
  <si>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</si>
  <si>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</si>
  <si>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</si>
  <si>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</si>
  <si>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</si>
  <si>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</si>
  <si>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</si>
  <si>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</si>
  <si>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</si>
  <si>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</si>
  <si>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</si>
  <si>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</si>
  <si>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</si>
  <si>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</si>
  <si>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</si>
  <si>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</si>
  <si>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</si>
  <si>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</si>
  <si>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</si>
  <si>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</si>
  <si>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</si>
  <si>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</si>
  <si>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</si>
  <si>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</si>
  <si>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</si>
  <si>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</si>
  <si>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</si>
  <si>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</si>
  <si>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</si>
  <si>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</si>
  <si>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</si>
  <si>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</si>
  <si>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</si>
  <si>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</si>
  <si>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</si>
  <si>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</si>
  <si>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</si>
  <si>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</si>
  <si>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</si>
  <si>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</si>
  <si>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</si>
  <si>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</si>
  <si>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</si>
  <si>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</si>
  <si>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</si>
  <si>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</si>
  <si>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</si>
  <si>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</si>
  <si>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</si>
  <si>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</si>
  <si>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</si>
  <si>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</si>
  <si>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</si>
  <si>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</si>
  <si>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</si>
  <si>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</si>
  <si>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</si>
  <si>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</si>
  <si>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</si>
  <si>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</si>
  <si>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</si>
  <si>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</si>
  <si>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</si>
  <si>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</si>
  <si>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</si>
  <si>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</si>
  <si>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</si>
  <si>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</si>
  <si>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</si>
  <si>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</si>
  <si>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</si>
  <si>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</si>
  <si>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</si>
  <si>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</si>
  <si>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</si>
  <si>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</si>
  <si>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</si>
  <si>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</si>
  <si>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</si>
  <si>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</si>
  <si>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</si>
  <si>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</si>
  <si>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</si>
  <si>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</si>
  <si>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</si>
  <si>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</si>
  <si>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</si>
  <si>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</si>
  <si>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</si>
  <si>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</si>
  <si>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</si>
  <si>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</si>
  <si>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</si>
  <si>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</si>
  <si>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</si>
  <si>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</si>
  <si>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</si>
  <si>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</si>
  <si>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</si>
  <si>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</si>
  <si>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</si>
  <si>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</si>
  <si>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</si>
  <si>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</si>
  <si>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</si>
  <si>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</si>
  <si>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</si>
  <si>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</si>
  <si>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</si>
  <si>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</si>
  <si>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</si>
  <si>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</si>
  <si>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</si>
  <si>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</si>
  <si>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</si>
  <si>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</si>
  <si>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</si>
  <si>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</si>
  <si>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</si>
  <si>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</si>
  <si>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</si>
  <si>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</si>
  <si>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</si>
  <si>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</si>
  <si>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</si>
  <si>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</si>
  <si>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</si>
  <si>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</si>
  <si>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</si>
  <si>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</si>
  <si>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</si>
  <si>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</si>
  <si>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</si>
  <si>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</si>
  <si>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</si>
  <si>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</si>
  <si>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</si>
  <si>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</si>
  <si>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</si>
  <si>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</si>
  <si>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</si>
  <si>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</si>
  <si>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</si>
  <si>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</si>
  <si>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</si>
  <si>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</si>
  <si>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</si>
  <si>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</si>
  <si>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</si>
  <si>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</si>
  <si>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</si>
  <si>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</si>
  <si>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</si>
  <si>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</si>
  <si>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</si>
  <si>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</si>
  <si>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</si>
  <si>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</si>
  <si>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</si>
  <si>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</si>
  <si>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</si>
  <si>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</si>
  <si>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</si>
  <si>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</si>
  <si>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</si>
  <si>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</si>
  <si>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</si>
  <si>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</si>
  <si>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</si>
  <si>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</si>
  <si>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</si>
  <si>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</si>
  <si>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</si>
  <si>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</si>
  <si>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</si>
  <si>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</si>
  <si>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</si>
  <si>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</si>
  <si>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</si>
  <si>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</si>
  <si>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</si>
  <si>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</si>
  <si>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</si>
  <si>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</si>
  <si>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</si>
  <si>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</si>
  <si>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</si>
  <si>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</si>
  <si>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</si>
  <si>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</si>
  <si>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</si>
  <si>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</si>
  <si>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</si>
  <si>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</si>
  <si>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</si>
  <si>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</si>
  <si>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</si>
  <si>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</si>
  <si>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</si>
  <si>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</si>
  <si>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</si>
  <si>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</si>
  <si>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</si>
  <si>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</si>
  <si>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</si>
  <si>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</si>
  <si>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</si>
  <si>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</si>
  <si>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</si>
  <si>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</si>
  <si>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</si>
  <si>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</si>
  <si>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</si>
  <si>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</si>
  <si>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</si>
  <si>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</si>
  <si>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</si>
  <si>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</si>
  <si>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</si>
  <si>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</si>
  <si>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</si>
  <si>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</si>
  <si>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</si>
  <si>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</si>
  <si>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</si>
  <si>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</si>
  <si>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</si>
  <si>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</si>
  <si>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</si>
  <si>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</si>
  <si>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</si>
  <si>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</si>
  <si>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</si>
  <si>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</si>
  <si>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</si>
  <si>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</si>
  <si>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</si>
  <si>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</si>
  <si>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</si>
  <si>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</si>
  <si>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</si>
  <si>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</si>
  <si>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</si>
  <si>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</si>
  <si>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</si>
  <si>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</si>
  <si>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</si>
  <si>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</si>
  <si>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</si>
  <si>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</si>
  <si>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</si>
  <si>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</si>
  <si>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</si>
  <si>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</si>
  <si>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</si>
  <si>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</si>
  <si>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</si>
  <si>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</si>
  <si>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</si>
  <si>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</si>
  <si>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</si>
  <si>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</si>
  <si>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</si>
  <si>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</si>
  <si>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</si>
  <si>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</si>
  <si>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</si>
  <si>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</si>
  <si>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</si>
  <si>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</si>
  <si>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</si>
  <si>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</si>
  <si>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</si>
  <si>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</si>
  <si>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</si>
  <si>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</si>
  <si>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</si>
  <si>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</si>
  <si>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</si>
  <si>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</si>
  <si>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</si>
  <si>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</si>
  <si>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</si>
  <si>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</si>
  <si>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</si>
  <si>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</si>
  <si>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</si>
  <si>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</si>
  <si>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</si>
  <si>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</si>
  <si>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</si>
  <si>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</si>
  <si>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</si>
  <si>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</si>
  <si>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</si>
  <si>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</si>
  <si>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</si>
  <si>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</si>
  <si>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</si>
  <si>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</si>
  <si>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</si>
  <si>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</si>
  <si>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</si>
  <si>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</si>
  <si>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</si>
  <si>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</si>
  <si>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</si>
  <si>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</si>
  <si>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</si>
  <si>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</si>
  <si>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</si>
  <si>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</si>
  <si>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</si>
  <si>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</si>
  <si>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</si>
  <si>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</si>
  <si>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</si>
  <si>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</si>
  <si>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</si>
  <si>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</si>
  <si>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</si>
  <si>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</si>
  <si>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</si>
  <si>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</si>
  <si>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</si>
  <si>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</si>
  <si>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</si>
  <si>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</si>
  <si>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</si>
  <si>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</si>
  <si>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</si>
  <si>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</si>
  <si>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</si>
  <si>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</si>
  <si>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</si>
  <si>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</si>
  <si>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</si>
  <si>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</si>
  <si>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</si>
  <si>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</si>
  <si>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</si>
  <si>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</si>
  <si>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</si>
  <si>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</si>
  <si>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</si>
  <si>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</si>
  <si>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</si>
  <si>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</si>
  <si>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</si>
  <si>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</si>
  <si>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</si>
  <si>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</si>
  <si>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</si>
  <si>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</si>
  <si>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</si>
  <si>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</si>
  <si>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</si>
  <si>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</si>
  <si>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</si>
  <si>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</si>
  <si>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</si>
  <si>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</si>
  <si>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</si>
  <si>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</si>
  <si>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</si>
  <si>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</si>
  <si>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</si>
  <si>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</si>
  <si>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</si>
  <si>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</si>
  <si>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</si>
  <si>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</si>
  <si>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</si>
  <si>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</si>
  <si>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</si>
  <si>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</si>
  <si>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</si>
  <si>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</si>
  <si>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</si>
  <si>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</si>
  <si>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</si>
  <si>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</si>
  <si>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</si>
  <si>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</si>
  <si>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</si>
  <si>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</si>
  <si>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</si>
  <si>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</si>
  <si>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</si>
  <si>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</si>
  <si>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</si>
  <si>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</si>
  <si>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</si>
  <si>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</si>
  <si>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</si>
  <si>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</si>
  <si>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</si>
  <si>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</si>
  <si>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</si>
  <si>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</si>
  <si>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</si>
  <si>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</si>
  <si>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</si>
  <si>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</si>
  <si>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</si>
  <si>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</si>
  <si>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</si>
  <si>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</si>
  <si>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</si>
  <si>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</si>
  <si>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</si>
  <si>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</si>
  <si>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</si>
  <si>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</si>
  <si>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</si>
  <si>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</si>
  <si>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</si>
  <si>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</si>
  <si>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</si>
  <si>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</si>
  <si>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</si>
  <si>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</si>
  <si>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</si>
  <si>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</si>
  <si>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</si>
  <si>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</si>
  <si>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</si>
  <si>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</si>
  <si>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</si>
  <si>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</si>
  <si>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</si>
  <si>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</si>
  <si>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</si>
  <si>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</si>
  <si>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</si>
  <si>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</si>
  <si>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</si>
  <si>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</si>
  <si>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</si>
  <si>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</si>
  <si>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</si>
  <si>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</si>
  <si>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</si>
  <si>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</si>
  <si>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</si>
  <si>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</si>
  <si>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</si>
  <si>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</si>
  <si>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</si>
  <si>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</si>
  <si>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</si>
  <si>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</si>
  <si>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</si>
  <si>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</si>
  <si>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</si>
  <si>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</si>
  <si>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</si>
  <si>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</si>
  <si>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</si>
  <si>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</si>
  <si>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</si>
  <si>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</si>
  <si>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</si>
  <si>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</si>
  <si>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</si>
  <si>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</si>
  <si>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</si>
  <si>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</si>
  <si>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</si>
  <si>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</si>
  <si>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</si>
  <si>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</si>
  <si>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</si>
  <si>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</si>
  <si>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</si>
  <si>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</si>
  <si>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</si>
  <si>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</si>
  <si>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</si>
  <si>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</si>
  <si>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</si>
  <si>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</si>
  <si>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</si>
  <si>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</si>
  <si>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</si>
  <si>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</si>
  <si>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</si>
  <si>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</si>
  <si>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</si>
  <si>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</si>
  <si>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</si>
  <si>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</si>
  <si>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</si>
  <si>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</si>
  <si>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</si>
  <si>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</si>
  <si>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</si>
  <si>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</si>
  <si>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</si>
  <si>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</si>
  <si>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</si>
  <si>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</si>
  <si>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</si>
  <si>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</si>
  <si>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</si>
  <si>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</si>
  <si>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</si>
  <si>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</si>
  <si>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</si>
  <si>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</si>
  <si>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</si>
  <si>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</si>
  <si>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</si>
  <si>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</si>
  <si>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</si>
  <si>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</si>
  <si>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</si>
  <si>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</si>
  <si>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</si>
  <si>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</si>
  <si>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</si>
  <si>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</si>
  <si>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</si>
  <si>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</si>
  <si>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</si>
  <si>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</si>
  <si>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</si>
  <si>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</si>
  <si>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</si>
  <si>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</si>
  <si>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</si>
  <si>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</si>
  <si>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</si>
  <si>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</si>
  <si>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</si>
  <si>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</si>
  <si>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</si>
  <si>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</si>
  <si>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</si>
  <si>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</si>
  <si>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</si>
  <si>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</si>
  <si>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</si>
  <si>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</si>
  <si>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</si>
  <si>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</si>
  <si>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</si>
  <si>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</si>
  <si>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</si>
  <si>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</si>
  <si>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</si>
  <si>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</si>
  <si>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</si>
  <si>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</si>
  <si>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</si>
  <si>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</si>
  <si>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</si>
  <si>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</si>
  <si>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</si>
  <si>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</si>
  <si>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</si>
  <si>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</si>
  <si>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</si>
  <si>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</si>
  <si>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</si>
  <si>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</si>
  <si>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</si>
  <si>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</si>
  <si>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</si>
  <si>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</si>
  <si>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</si>
  <si>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</si>
  <si>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</si>
  <si>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</si>
  <si>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</si>
  <si>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</si>
  <si>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</si>
  <si>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</si>
  <si>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</si>
  <si>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</si>
  <si>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</si>
  <si>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</si>
  <si>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</si>
  <si>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</si>
  <si>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</si>
  <si>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</si>
  <si>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</si>
  <si>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</si>
  <si>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</si>
  <si>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</si>
  <si>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</si>
  <si>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</si>
  <si>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</si>
  <si>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</si>
  <si>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</si>
  <si>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</si>
  <si>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</si>
  <si>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</si>
  <si>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</si>
  <si>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</si>
  <si>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</si>
  <si>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</si>
  <si>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</si>
  <si>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</si>
  <si>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</si>
  <si>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</si>
  <si>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</si>
  <si>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</si>
  <si>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</si>
  <si>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</si>
  <si>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</si>
  <si>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</si>
  <si>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</si>
  <si>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</si>
  <si>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</si>
  <si>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</si>
  <si>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</si>
  <si>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</si>
  <si>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</si>
  <si>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</si>
  <si>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</si>
  <si>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</si>
  <si>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</si>
  <si>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</si>
  <si>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</si>
  <si>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</si>
  <si>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</si>
  <si>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</si>
  <si>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</si>
  <si>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</si>
  <si>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</si>
  <si>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</si>
  <si>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</si>
  <si>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</si>
  <si>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</si>
  <si>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</si>
  <si>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</si>
  <si>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</si>
  <si>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</si>
  <si>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</si>
  <si>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</si>
  <si>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</si>
  <si>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</si>
  <si>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</si>
  <si>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</si>
  <si>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</si>
  <si>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</si>
  <si>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</si>
  <si>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</si>
  <si>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</si>
  <si>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</si>
  <si>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</si>
  <si>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</si>
  <si>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</si>
  <si>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</si>
  <si>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</si>
  <si>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</si>
  <si>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</si>
  <si>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</si>
  <si>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</si>
  <si>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</si>
  <si>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</si>
  <si>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</si>
  <si>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</si>
  <si>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</si>
  <si>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</si>
  <si>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</si>
  <si>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</si>
  <si>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</si>
  <si>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</si>
  <si>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</si>
  <si>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</si>
  <si>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</si>
  <si>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</si>
  <si>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</si>
  <si>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</si>
  <si>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</si>
  <si>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</si>
  <si>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</si>
  <si>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</si>
  <si>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</si>
  <si>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</si>
  <si>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</si>
  <si>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</si>
  <si>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</si>
  <si>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</si>
  <si>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</si>
  <si>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</si>
  <si>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</si>
  <si>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</si>
  <si>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</si>
  <si>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</si>
  <si>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</si>
  <si>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</si>
  <si>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</si>
  <si>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</si>
  <si>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</si>
  <si>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</si>
  <si>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</si>
  <si>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</si>
  <si>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</si>
  <si>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</si>
  <si>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</si>
  <si>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</si>
  <si>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</si>
  <si>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</si>
  <si>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</si>
  <si>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</si>
  <si>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</si>
  <si>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</si>
  <si>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</si>
  <si>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</si>
  <si>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</si>
  <si>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</si>
  <si>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</si>
  <si>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</si>
  <si>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</si>
  <si>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</si>
  <si>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</si>
  <si>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</si>
  <si>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</si>
  <si>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</si>
  <si>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</si>
  <si>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</si>
  <si>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</si>
  <si>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</si>
  <si>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</si>
  <si>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</si>
  <si>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</si>
  <si>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</si>
  <si>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</si>
  <si>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</si>
  <si>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</si>
  <si>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</si>
  <si>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</si>
  <si>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</si>
  <si>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</si>
  <si>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</si>
  <si>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</si>
  <si>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</si>
  <si>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</si>
  <si>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</si>
  <si>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</si>
  <si>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</si>
  <si>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</si>
  <si>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</si>
  <si>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</si>
  <si>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</si>
  <si>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</si>
  <si>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</si>
  <si>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</si>
  <si>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</si>
  <si>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</si>
  <si>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</si>
  <si>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</si>
  <si>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</si>
  <si>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</si>
  <si>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</si>
  <si>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</si>
  <si>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</si>
  <si>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</si>
  <si>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</si>
  <si>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</si>
  <si>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</si>
  <si>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</si>
  <si>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</si>
  <si>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</si>
  <si>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</si>
  <si>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</si>
  <si>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</si>
  <si>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</si>
  <si>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</si>
  <si>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</si>
  <si>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</si>
  <si>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</si>
  <si>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</si>
  <si>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</si>
  <si>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</si>
  <si>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</si>
  <si>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</si>
  <si>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</si>
  <si>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</si>
  <si>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</si>
  <si>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</si>
  <si>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</si>
  <si>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</si>
  <si>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</si>
  <si>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</si>
  <si>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</si>
  <si>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</si>
  <si>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</si>
  <si>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</si>
  <si>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</si>
  <si>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</si>
  <si>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</si>
  <si>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</si>
  <si>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</si>
  <si>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</si>
  <si>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</si>
  <si>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</si>
  <si>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</si>
  <si>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</si>
  <si>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</si>
  <si>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</si>
  <si>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</si>
  <si>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</si>
  <si>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</si>
  <si>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</si>
  <si>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</si>
  <si>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</si>
  <si>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</si>
  <si>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</si>
  <si>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</si>
  <si>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</si>
  <si>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</si>
  <si>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</si>
  <si>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</si>
  <si>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</si>
  <si>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</si>
  <si>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</si>
  <si>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</si>
  <si>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</si>
  <si>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</si>
  <si>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</si>
  <si>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</si>
  <si>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</si>
  <si>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</si>
  <si>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</si>
  <si>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</si>
  <si>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</si>
  <si>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</si>
  <si>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</si>
  <si>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</si>
  <si>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</si>
  <si>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</si>
  <si>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</si>
  <si>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</si>
  <si>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</si>
  <si>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</si>
  <si>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</si>
  <si>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</si>
  <si>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</si>
  <si>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</si>
  <si>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</si>
  <si>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</si>
  <si>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</si>
  <si>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</si>
  <si>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</si>
  <si>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</si>
  <si>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</si>
  <si>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</si>
  <si>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</si>
  <si>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</si>
  <si>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</si>
  <si>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</si>
  <si>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</si>
  <si>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</si>
  <si>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</si>
  <si>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</si>
  <si>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</si>
  <si>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</si>
  <si>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</si>
  <si>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</si>
  <si>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</si>
  <si>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</si>
  <si>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</si>
  <si>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</si>
  <si>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</si>
  <si>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</si>
  <si>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</si>
  <si>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</si>
  <si>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</si>
  <si>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</si>
  <si>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</si>
  <si>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</si>
  <si>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</si>
  <si>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</si>
  <si>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</si>
  <si>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</si>
  <si>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</si>
  <si>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</si>
  <si>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</si>
  <si>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</si>
  <si>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</si>
  <si>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</si>
  <si>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</si>
  <si>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</si>
  <si>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</si>
  <si>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</si>
  <si>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</si>
  <si>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</si>
  <si>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</si>
  <si>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</si>
  <si>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</si>
  <si>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</si>
  <si>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</si>
  <si>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</si>
  <si>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</si>
  <si>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</si>
  <si>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</si>
  <si>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</si>
  <si>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</si>
  <si>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</si>
  <si>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</si>
  <si>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</si>
  <si>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</si>
  <si>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</si>
  <si>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</si>
  <si>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</si>
  <si>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</si>
  <si>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</si>
  <si>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</si>
  <si>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</si>
  <si>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</si>
  <si>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</si>
  <si>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</si>
  <si>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</si>
  <si>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</si>
  <si>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</si>
  <si>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</si>
  <si>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</si>
  <si>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</si>
  <si>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</si>
  <si>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</si>
  <si>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</si>
  <si>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</si>
  <si>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</si>
  <si>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</si>
  <si>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</si>
  <si>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</si>
  <si>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</si>
  <si>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</si>
  <si>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</si>
  <si>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</si>
  <si>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</si>
  <si>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</si>
  <si>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</si>
  <si>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</si>
  <si>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</si>
  <si>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</si>
  <si>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</si>
  <si>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</si>
  <si>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</si>
  <si>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</si>
  <si>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</si>
  <si>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</si>
  <si>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</si>
  <si>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</si>
  <si>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</si>
  <si>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</si>
  <si>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</si>
  <si>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</si>
  <si>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</si>
  <si>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</si>
  <si>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</si>
  <si>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</si>
  <si>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</si>
  <si>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</si>
  <si>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</si>
  <si>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</si>
  <si>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</si>
  <si>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</si>
  <si>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</si>
  <si>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</si>
  <si>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</si>
  <si>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</si>
  <si>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</si>
  <si>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</si>
  <si>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</si>
  <si>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</si>
  <si>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</si>
  <si>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</si>
  <si>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</si>
  <si>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</si>
  <si>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</si>
  <si>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</si>
  <si>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</si>
  <si>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</si>
  <si>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</si>
  <si>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</si>
  <si>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</si>
  <si>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</si>
  <si>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</si>
  <si>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</si>
  <si>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</si>
  <si>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</si>
  <si>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</si>
  <si>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</si>
  <si>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</si>
  <si>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</si>
  <si>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</si>
  <si>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</si>
  <si>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</si>
  <si>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</si>
  <si>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</si>
  <si>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</si>
  <si>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</si>
  <si>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</si>
  <si>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</si>
  <si>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</si>
  <si>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</si>
  <si>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</si>
  <si>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</si>
  <si>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</si>
  <si>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</si>
  <si>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</si>
  <si>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</si>
  <si>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</si>
  <si>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</si>
  <si>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</si>
  <si>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</si>
  <si>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</si>
  <si>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</si>
  <si>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</si>
  <si>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</si>
  <si>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</si>
  <si>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</si>
  <si>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</si>
  <si>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</si>
  <si>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</si>
  <si>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</si>
  <si>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</si>
  <si>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</si>
  <si>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</si>
  <si>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</si>
  <si>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</si>
  <si>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</si>
  <si>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</si>
  <si>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</si>
  <si>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</si>
  <si>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</si>
  <si>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</si>
  <si>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</si>
  <si>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</si>
  <si>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</si>
  <si>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</si>
  <si>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</si>
  <si>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</si>
  <si>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</si>
  <si>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</si>
  <si>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</si>
  <si>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</si>
  <si>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</si>
  <si>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</si>
  <si>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</si>
  <si>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</si>
  <si>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</si>
  <si>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</si>
  <si>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</si>
  <si>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</si>
  <si>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</si>
  <si>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</si>
  <si>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</si>
  <si>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</si>
  <si>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</si>
  <si>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</si>
  <si>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</si>
  <si>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</si>
  <si>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</si>
  <si>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</si>
  <si>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</si>
  <si>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</si>
  <si>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</si>
  <si>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</si>
  <si>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</si>
  <si>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</si>
  <si>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</si>
  <si>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</si>
  <si>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</si>
  <si>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</si>
  <si>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</si>
  <si>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</si>
  <si>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</si>
  <si>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</si>
  <si>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</si>
  <si>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</si>
  <si>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</si>
  <si>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</si>
  <si>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</si>
  <si>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</si>
  <si>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</si>
  <si>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</si>
  <si>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</si>
  <si>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</si>
  <si>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</si>
  <si>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</si>
  <si>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</si>
  <si>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</si>
  <si>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</si>
  <si>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</si>
  <si>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</si>
  <si>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</si>
  <si>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</si>
  <si>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</si>
  <si>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</si>
  <si>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</si>
  <si>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</si>
  <si>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</si>
  <si>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</si>
  <si>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</si>
  <si>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</si>
  <si>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</si>
  <si>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</si>
  <si>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</si>
  <si>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</si>
  <si>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</si>
  <si>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</si>
  <si>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</si>
  <si>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</si>
  <si>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</si>
  <si>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</si>
  <si>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</si>
  <si>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</si>
  <si>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</si>
  <si>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</si>
  <si>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</si>
  <si>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</si>
  <si>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</si>
  <si>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</si>
  <si>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</si>
  <si>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</si>
  <si>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</si>
  <si>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</si>
  <si>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</si>
  <si>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</si>
  <si>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</si>
  <si>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</si>
  <si>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</si>
  <si>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</si>
  <si>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</si>
  <si>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</si>
  <si>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</si>
  <si>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</si>
  <si>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</si>
  <si>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</si>
  <si>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</si>
  <si>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</si>
  <si>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</si>
  <si>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</si>
  <si>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</si>
  <si>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</si>
  <si>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</si>
  <si>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</si>
  <si>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</si>
  <si>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</si>
  <si>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</si>
  <si>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</si>
  <si>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</si>
  <si>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</si>
  <si>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</si>
  <si>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</si>
  <si>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</si>
  <si>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</si>
  <si>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</si>
  <si>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</si>
  <si>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</si>
  <si>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</si>
  <si>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</si>
  <si>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</si>
  <si>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</si>
  <si>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</si>
  <si>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</si>
  <si>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</si>
  <si>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</si>
  <si>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</si>
  <si>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</si>
  <si>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</si>
  <si>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</si>
  <si>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</si>
  <si>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</si>
  <si>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</si>
  <si>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</si>
  <si>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</si>
  <si>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</si>
  <si>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</si>
  <si>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</si>
  <si>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</si>
  <si>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</si>
  <si>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</si>
  <si>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</si>
  <si>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</si>
  <si>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</si>
  <si>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</si>
  <si>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</si>
  <si>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</si>
  <si>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</si>
  <si>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</si>
  <si>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</si>
  <si>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</si>
  <si>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</si>
  <si>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</si>
  <si>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</si>
  <si>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</si>
  <si>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</si>
  <si>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</si>
  <si>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</si>
  <si>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</si>
  <si>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</si>
  <si>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</si>
  <si>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</si>
  <si>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</si>
  <si>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</si>
  <si>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</si>
  <si>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</si>
  <si>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</si>
  <si>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</si>
  <si>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</si>
  <si>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</si>
  <si>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</si>
  <si>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</si>
  <si>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</si>
  <si>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</si>
  <si>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</si>
  <si>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</si>
  <si>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</si>
  <si>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</si>
  <si>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</si>
  <si>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</si>
  <si>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</si>
  <si>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</si>
  <si>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</si>
  <si>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</si>
  <si>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</si>
  <si>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</si>
  <si>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</si>
  <si>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</si>
  <si>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</si>
  <si>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</si>
  <si>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</si>
  <si>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</si>
  <si>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</si>
  <si>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</si>
  <si>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</si>
  <si>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</si>
  <si>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</si>
  <si>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</si>
  <si>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</si>
  <si>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</si>
  <si>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</si>
  <si>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</si>
  <si>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</si>
  <si>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</si>
  <si>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</si>
  <si>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</si>
  <si>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</si>
  <si>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</si>
  <si>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</si>
  <si>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</si>
  <si>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</si>
  <si>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</si>
  <si>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</si>
  <si>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</si>
  <si>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</si>
  <si>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</si>
  <si>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</si>
  <si>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</si>
  <si>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</si>
  <si>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</si>
  <si>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</si>
  <si>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</si>
  <si>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</si>
  <si>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</si>
  <si>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</si>
  <si>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</si>
  <si>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</si>
  <si>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</si>
  <si>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</si>
  <si>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</si>
  <si>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</si>
  <si>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</si>
  <si>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</si>
  <si>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</si>
  <si>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</si>
  <si>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</si>
  <si>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</si>
  <si>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</si>
  <si>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</si>
  <si>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</si>
  <si>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</si>
  <si>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</si>
  <si>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</si>
  <si>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</si>
  <si>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</si>
  <si>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</si>
  <si>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</si>
  <si>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</si>
  <si>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</si>
  <si>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</si>
  <si>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</si>
  <si>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</si>
  <si>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</si>
  <si>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</si>
  <si>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</si>
  <si>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</si>
  <si>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</si>
  <si>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</si>
  <si>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</si>
  <si>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</si>
  <si>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</si>
  <si>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</si>
  <si>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</si>
  <si>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</si>
  <si>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</si>
  <si>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</si>
  <si>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</si>
  <si>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</si>
  <si>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</si>
  <si>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</si>
  <si>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</si>
  <si>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</si>
  <si>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</si>
  <si>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</si>
  <si>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</si>
  <si>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</si>
  <si>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</si>
  <si>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</si>
  <si>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</si>
  <si>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</si>
  <si>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</si>
  <si>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</si>
  <si>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</si>
  <si>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</si>
  <si>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</si>
  <si>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</si>
  <si>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</si>
  <si>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</si>
  <si>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</si>
  <si>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</si>
  <si>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</si>
  <si>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</si>
  <si>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</si>
  <si>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</si>
  <si>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</si>
  <si>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</si>
  <si>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</si>
  <si>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</si>
  <si>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</si>
  <si>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</si>
  <si>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</si>
  <si>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</si>
  <si>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</si>
  <si>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</si>
  <si>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</si>
  <si>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</si>
  <si>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</si>
  <si>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</si>
  <si>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</si>
  <si>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</si>
  <si>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</si>
  <si>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</si>
  <si>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</si>
  <si>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</si>
  <si>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</si>
  <si>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</si>
  <si>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</si>
  <si>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</si>
  <si>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</si>
  <si>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</si>
  <si>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</si>
  <si>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</si>
  <si>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</si>
  <si>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</si>
  <si>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</si>
  <si>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</si>
  <si>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</si>
  <si>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</si>
  <si>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</si>
  <si>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</si>
  <si>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</si>
  <si>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</si>
  <si>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</si>
  <si>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</si>
  <si>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</si>
  <si>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</si>
  <si>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</si>
  <si>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</si>
  <si>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</si>
  <si>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</si>
  <si>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</si>
  <si>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</si>
  <si>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</si>
  <si>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</si>
  <si>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</si>
  <si>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</si>
  <si>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</si>
  <si>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</si>
  <si>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</si>
  <si>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</si>
  <si>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</si>
  <si>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</si>
  <si>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</si>
  <si>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</si>
  <si>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</si>
  <si>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</si>
  <si>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</si>
  <si>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</si>
  <si>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</si>
  <si>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</si>
  <si>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</si>
  <si>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</si>
  <si>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</si>
  <si>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</si>
  <si>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</si>
  <si>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</si>
  <si>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</si>
  <si>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</si>
  <si>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</si>
  <si>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</si>
  <si>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</si>
  <si>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</si>
  <si>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</si>
  <si>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</si>
  <si>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</si>
  <si>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</si>
  <si>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</si>
  <si>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</si>
  <si>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</si>
  <si>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</si>
  <si>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</si>
  <si>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</si>
  <si>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</si>
  <si>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</si>
  <si>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</si>
  <si>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</si>
  <si>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</si>
  <si>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</si>
  <si>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</si>
  <si>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</si>
  <si>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</si>
  <si>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</si>
  <si>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</si>
  <si>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</si>
  <si>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</si>
  <si>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</si>
  <si>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</si>
  <si>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</si>
  <si>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</si>
  <si>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</si>
  <si>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</si>
  <si>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</si>
  <si>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</si>
  <si>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</si>
  <si>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</si>
  <si>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</si>
  <si>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</si>
  <si>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</si>
  <si>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</si>
  <si>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</si>
  <si>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</si>
  <si>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</si>
  <si>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</si>
  <si>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</si>
  <si>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</si>
  <si>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</si>
  <si>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</si>
  <si>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</si>
  <si>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</si>
  <si>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</si>
  <si>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</si>
  <si>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</si>
  <si>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</si>
  <si>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</si>
  <si>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</si>
  <si>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</si>
  <si>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</si>
  <si>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</si>
  <si>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</si>
  <si>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</si>
  <si>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</si>
  <si>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</si>
  <si>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</si>
  <si>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</si>
  <si>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</si>
  <si>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</si>
  <si>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</si>
  <si>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</si>
  <si>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</si>
  <si>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</si>
  <si>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</si>
  <si>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</si>
  <si>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</si>
  <si>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</si>
  <si>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</si>
  <si>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</si>
  <si>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</si>
  <si>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</si>
  <si>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</si>
  <si>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</si>
  <si>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</si>
  <si>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</si>
  <si>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</si>
  <si>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</si>
  <si>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</si>
  <si>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</si>
  <si>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</si>
  <si>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</si>
  <si>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</si>
  <si>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</si>
  <si>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</si>
  <si>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</si>
  <si>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</si>
  <si>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</si>
  <si>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</si>
  <si>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</si>
  <si>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</si>
  <si>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</si>
  <si>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</si>
  <si>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</si>
  <si>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</si>
  <si>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</si>
  <si>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</si>
  <si>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</si>
  <si>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</si>
  <si>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</si>
  <si>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</si>
  <si>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</si>
  <si>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</si>
  <si>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</si>
  <si>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</si>
  <si>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</si>
  <si>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</si>
  <si>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</si>
  <si>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</si>
  <si>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</si>
  <si>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</si>
  <si>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</si>
  <si>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</si>
  <si>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</si>
  <si>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</si>
  <si>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</si>
  <si>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</si>
  <si>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</si>
  <si>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</si>
  <si>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</si>
  <si>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</si>
  <si>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</si>
  <si>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</si>
  <si>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</si>
  <si>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</si>
  <si>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</si>
  <si>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</si>
  <si>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</si>
  <si>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</si>
  <si>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</si>
  <si>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</si>
  <si>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</si>
  <si>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</si>
  <si>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</si>
  <si>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</si>
  <si>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</si>
  <si>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</si>
  <si>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</si>
  <si>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</si>
  <si>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</si>
  <si>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</si>
  <si>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</si>
  <si>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</si>
  <si>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</si>
  <si>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</si>
  <si>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</si>
  <si>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</si>
  <si>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</si>
  <si>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</si>
  <si>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</si>
  <si>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</si>
  <si>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</si>
  <si>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</si>
  <si>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</si>
  <si>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</si>
  <si>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</si>
  <si>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</si>
  <si>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</si>
  <si>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</si>
  <si>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</si>
  <si>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</si>
  <si>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</si>
  <si>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</si>
  <si>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</si>
  <si>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</si>
  <si>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</si>
  <si>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</si>
  <si>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</si>
  <si>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</si>
  <si>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</si>
  <si>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</si>
  <si>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</si>
  <si>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</si>
  <si>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</si>
  <si>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</si>
  <si>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</si>
  <si>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</si>
  <si>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</si>
  <si>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</si>
  <si>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</si>
  <si>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</si>
  <si>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</si>
  <si>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</si>
  <si>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</si>
  <si>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</si>
  <si>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</si>
  <si>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</si>
  <si>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</si>
  <si>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</si>
  <si>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</si>
  <si>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</si>
  <si>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</si>
  <si>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</si>
  <si>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</si>
  <si>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</si>
  <si>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</si>
  <si>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</si>
  <si>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</si>
  <si>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</si>
  <si>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</si>
  <si>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</si>
  <si>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</si>
  <si>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</si>
  <si>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</si>
  <si>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</si>
  <si>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</si>
  <si>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</si>
  <si>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</si>
  <si>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</si>
  <si>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</si>
  <si>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</si>
  <si>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</si>
  <si>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</si>
  <si>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</si>
  <si>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</si>
  <si>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</si>
  <si>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</si>
  <si>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</si>
  <si>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</si>
  <si>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</si>
  <si>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</si>
  <si>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</si>
  <si>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</si>
  <si>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</si>
  <si>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</si>
  <si>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</si>
  <si>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</si>
  <si>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</si>
  <si>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</si>
  <si>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</si>
  <si>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</si>
  <si>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</si>
  <si>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</si>
  <si>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</si>
  <si>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</si>
  <si>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</si>
  <si>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</si>
  <si>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</si>
  <si>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</si>
  <si>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</si>
  <si>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</si>
  <si>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</si>
  <si>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</si>
  <si>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</si>
  <si>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</si>
  <si>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</si>
  <si>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</si>
  <si>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</si>
  <si>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</si>
  <si>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</si>
  <si>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</si>
  <si>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</si>
  <si>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</si>
  <si>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</si>
  <si>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</si>
  <si>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</si>
  <si>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</si>
  <si>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</si>
  <si>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</si>
  <si>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</si>
  <si>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</si>
  <si>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</si>
  <si>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</si>
  <si>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</si>
  <si>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</si>
  <si>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</si>
  <si>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</si>
  <si>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</si>
  <si>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</si>
  <si>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</si>
  <si>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</si>
  <si>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</si>
  <si>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</si>
  <si>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</si>
  <si>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</si>
  <si>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</si>
  <si>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</si>
  <si>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</si>
  <si>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</si>
  <si>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</si>
  <si>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</si>
  <si>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</si>
  <si>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</si>
  <si>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</si>
  <si>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</si>
  <si>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</si>
  <si>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</si>
  <si>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</si>
  <si>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</si>
  <si>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</si>
  <si>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</si>
  <si>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</si>
  <si>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</si>
  <si>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</si>
  <si>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</si>
  <si>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</si>
  <si>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</si>
  <si>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</si>
  <si>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</si>
  <si>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</si>
  <si>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</si>
  <si>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</si>
  <si>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</si>
  <si>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</si>
  <si>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</si>
  <si>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</si>
  <si>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</si>
  <si>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</si>
  <si>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</si>
  <si>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</si>
  <si>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</si>
  <si>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</si>
  <si>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</si>
  <si>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</si>
  <si>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</si>
  <si>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</si>
  <si>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</si>
  <si>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</si>
  <si>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</si>
  <si>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</si>
  <si>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</si>
  <si>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</si>
  <si>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</si>
  <si>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</si>
  <si>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</si>
  <si>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</si>
  <si>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</si>
  <si>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</si>
  <si>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</si>
  <si>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</si>
  <si>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</si>
  <si>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</si>
  <si>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</si>
  <si>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</si>
  <si>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</si>
  <si>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</si>
  <si>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</si>
  <si>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</si>
  <si>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</si>
  <si>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</si>
  <si>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</si>
  <si>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</si>
  <si>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</si>
  <si>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</si>
  <si>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</si>
  <si>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</si>
  <si>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</si>
  <si>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</si>
  <si>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</si>
  <si>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</si>
  <si>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</si>
  <si>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</si>
  <si>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</si>
  <si>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</si>
  <si>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</si>
  <si>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</si>
  <si>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</si>
  <si>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</si>
  <si>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</si>
  <si>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</si>
  <si>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</si>
  <si>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</si>
  <si>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</si>
  <si>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</si>
  <si>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</si>
  <si>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</si>
  <si>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</si>
  <si>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</si>
  <si>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</si>
  <si>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</si>
  <si>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</si>
  <si>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</si>
  <si>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</si>
  <si>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</si>
  <si>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</si>
  <si>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</si>
  <si>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</si>
  <si>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</si>
  <si>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</si>
  <si>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</si>
  <si>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</si>
  <si>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</si>
  <si>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</si>
  <si>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</si>
  <si>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</si>
  <si>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</si>
  <si>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</si>
  <si>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</si>
  <si>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</si>
  <si>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</si>
  <si>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</si>
  <si>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</si>
  <si>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</si>
  <si>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</si>
  <si>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</si>
  <si>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</si>
  <si>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</si>
  <si>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</si>
  <si>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</si>
  <si>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</si>
  <si>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</si>
  <si>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</si>
  <si>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</si>
  <si>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</si>
  <si>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</si>
  <si>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</si>
  <si>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</si>
  <si>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</si>
  <si>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</si>
  <si>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</si>
  <si>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</si>
  <si>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</si>
  <si>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</si>
  <si>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</si>
  <si>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</si>
  <si>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</si>
  <si>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</si>
  <si>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</si>
  <si>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</si>
  <si>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</si>
  <si>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</si>
  <si>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</si>
  <si>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</si>
  <si>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</si>
  <si>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</si>
  <si>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</si>
  <si>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</si>
  <si>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</si>
  <si>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</si>
  <si>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</si>
  <si>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</si>
  <si>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</si>
  <si>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</si>
  <si>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</si>
  <si>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</si>
  <si>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</si>
  <si>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</si>
  <si>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</si>
  <si>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</si>
  <si>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</si>
  <si>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</si>
  <si>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</si>
  <si>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</si>
  <si>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</si>
  <si>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</si>
  <si>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</si>
  <si>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</si>
  <si>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</si>
  <si>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</si>
  <si>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</si>
  <si>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</si>
  <si>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</si>
  <si>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</si>
  <si>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</si>
  <si>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</si>
  <si>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</si>
  <si>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</si>
  <si>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</si>
  <si>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</si>
  <si>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</si>
  <si>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</si>
  <si>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</si>
  <si>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</si>
  <si>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</si>
  <si>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</si>
  <si>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</si>
  <si>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</si>
  <si>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</si>
  <si>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</si>
  <si>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</si>
  <si>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</si>
  <si>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</si>
  <si>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</si>
  <si>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</si>
  <si>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</si>
  <si>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</si>
  <si>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</si>
  <si>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</si>
  <si>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</si>
  <si>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</si>
  <si>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</si>
  <si>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</si>
  <si>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</si>
  <si>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</si>
  <si>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</si>
  <si>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</si>
  <si>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</si>
  <si>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</si>
  <si>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</si>
  <si>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</si>
  <si>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</si>
  <si>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</si>
  <si>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</si>
  <si>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</si>
  <si>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</si>
  <si>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</si>
  <si>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</si>
  <si>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</si>
  <si>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</si>
  <si>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</si>
  <si>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</si>
  <si>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</si>
  <si>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</si>
  <si>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</si>
  <si>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</si>
  <si>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</si>
  <si>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</si>
  <si>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</si>
  <si>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</si>
  <si>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</si>
  <si>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</si>
  <si>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</si>
  <si>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</si>
  <si>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</si>
  <si>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</si>
  <si>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</si>
  <si>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</si>
  <si>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</si>
  <si>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</si>
  <si>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</si>
  <si>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</si>
  <si>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</si>
  <si>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</si>
  <si>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</si>
  <si>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</si>
  <si>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</si>
  <si>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</si>
  <si>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</si>
  <si>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</si>
  <si>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</si>
  <si>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</si>
  <si>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</si>
  <si>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</si>
  <si>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</si>
  <si>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</si>
  <si>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</si>
  <si>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</si>
  <si>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</si>
  <si>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</si>
  <si>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</si>
  <si>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</si>
  <si>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</si>
  <si>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</si>
  <si>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</si>
  <si>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</si>
  <si>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</si>
  <si>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</si>
  <si>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</si>
  <si>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</si>
  <si>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</si>
  <si>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</si>
  <si>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</si>
  <si>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</si>
  <si>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</si>
  <si>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</si>
  <si>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</si>
  <si>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</si>
  <si>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</si>
  <si>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</si>
  <si>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</si>
  <si>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</si>
  <si>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</si>
  <si>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</si>
  <si>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</si>
  <si>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</si>
  <si>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</si>
  <si>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</si>
  <si>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</si>
  <si>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</si>
  <si>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</si>
  <si>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</si>
  <si>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</si>
  <si>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</si>
  <si>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</si>
  <si>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</si>
  <si>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</si>
  <si>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</si>
  <si>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</si>
  <si>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</si>
  <si>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</si>
  <si>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</si>
  <si>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</si>
  <si>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</si>
  <si>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</si>
  <si>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</si>
  <si>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</si>
  <si>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</si>
  <si>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</si>
  <si>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</si>
  <si>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</si>
  <si>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</si>
  <si>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</si>
  <si>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</si>
  <si>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</si>
  <si>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</si>
  <si>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</si>
  <si>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</si>
  <si>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</si>
  <si>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</si>
  <si>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</si>
  <si>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</si>
  <si>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</si>
  <si>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</si>
  <si>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</si>
  <si>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</si>
  <si>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</si>
  <si>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</si>
  <si>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</si>
  <si>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</si>
  <si>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</si>
  <si>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</si>
  <si>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</si>
  <si>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</si>
  <si>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</si>
  <si>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</si>
  <si>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</si>
  <si>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</si>
  <si>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</si>
  <si>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</si>
  <si>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</si>
  <si>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</si>
  <si>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</si>
  <si>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</si>
  <si>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</si>
  <si>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</si>
  <si>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</si>
  <si>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</si>
  <si>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</si>
  <si>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</si>
  <si>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</si>
  <si>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</si>
  <si>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</si>
  <si>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</si>
  <si>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</si>
  <si>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</si>
  <si>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</si>
  <si>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</si>
  <si>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</si>
  <si>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</si>
  <si>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</si>
  <si>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</si>
  <si>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</si>
  <si>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</si>
  <si>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</si>
  <si>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</si>
  <si>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</si>
  <si>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</si>
  <si>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</si>
  <si>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</si>
  <si>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</si>
  <si>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</si>
  <si>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</si>
  <si>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</si>
  <si>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</si>
  <si>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</si>
  <si>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</si>
  <si>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</si>
  <si>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</si>
  <si>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</si>
  <si>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</si>
  <si>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</si>
  <si>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Pike, Adams</t>
  </si>
  <si>
    <t>Griggsville-Perry Community Unit School District #4</t>
  </si>
  <si>
    <t>P.O. Box 439</t>
  </si>
  <si>
    <t xml:space="preserve">Griggsville </t>
  </si>
  <si>
    <t>magelitzc@griggsvilleperry.org</t>
  </si>
  <si>
    <t>Kent Hawley</t>
  </si>
  <si>
    <t>hawleyk@griggsvilleperry.org</t>
  </si>
  <si>
    <t>217-833-2352</t>
  </si>
  <si>
    <t>217-833-2354</t>
  </si>
  <si>
    <t>Zumbahlen, Eyth, Surratt, Foote &amp; Flynn, Ltd</t>
  </si>
  <si>
    <t>Suzanne Steckel</t>
  </si>
  <si>
    <t>1395 Lincoln Ave</t>
  </si>
  <si>
    <t>Jacksonville</t>
  </si>
  <si>
    <t>IL</t>
  </si>
  <si>
    <t>217-245-5121</t>
  </si>
  <si>
    <t>217-243-3356</t>
  </si>
  <si>
    <t>066-004993</t>
  </si>
  <si>
    <t>ssteckel@zescpa.com</t>
  </si>
  <si>
    <t>x</t>
  </si>
  <si>
    <t>2010 Life Safety/Refunding Bond</t>
  </si>
  <si>
    <t>2015 General Obligation Bond</t>
  </si>
  <si>
    <t>2016 General Obligation Bond</t>
  </si>
  <si>
    <t>2004 Qualified Zone Bond</t>
  </si>
  <si>
    <t>2017 Working Cash Bond</t>
  </si>
  <si>
    <t>4,3</t>
  </si>
  <si>
    <t>Four Rivers Special Education</t>
  </si>
  <si>
    <t>Athletics-Pikeland CUSD #10</t>
  </si>
  <si>
    <t>Revenues, Line 91 - Edicational Fund - P.E. Uniforms</t>
  </si>
  <si>
    <t>Revenues, Line 72 -  Educational Fund - Extra Milk/Juice</t>
  </si>
  <si>
    <t>Revenues, Line 106 - Educational Fund - Sale of Items</t>
  </si>
  <si>
    <t>Revenues, Line 107 - Educational Fund - Credit Card Rebate, etc</t>
  </si>
  <si>
    <t>Revenues, Line 272 - Educational Fund - REAP Grant</t>
  </si>
  <si>
    <t>Revenues, Line 171 - Educational Fund - Library Grant</t>
  </si>
  <si>
    <t>Expenditures, Line 171-Other Objects- Agent and Wire Fee</t>
  </si>
  <si>
    <t>Wendelin Consulting Group</t>
  </si>
  <si>
    <t>10-2660-300</t>
  </si>
  <si>
    <t>ED - Data Processing Services - Purchased Services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</si>
</sst>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787977</xdr:colOff>
          <xdr:row>4</xdr:row>
          <xdr:rowOff>48491</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9</xdr:row>
          <xdr:rowOff>161925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sheetPr>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7075004026</v>
      </c>
      <c r="B13" s="2005"/>
      <c r="C13" s="2005"/>
      <c r="D13" s="2005"/>
      <c r="E13" s="2005"/>
      <c r="F13" s="2005"/>
      <c r="G13" s="2005"/>
      <c r="H13" s="2006"/>
      <c r="I13" s="31"/>
      <c r="J13" s="30"/>
      <c r="K13" s="28"/>
      <c r="L13" s="30"/>
      <c r="M13" s="30"/>
      <c r="N13" s="30"/>
      <c r="O13" s="30"/>
      <c r="P13" s="30"/>
      <c r="Q13" s="30"/>
      <c r="R13" s="30"/>
      <c r="S13" s="30"/>
      <c r="T13" s="2009" t="s">
        <v>2087</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2078</v>
      </c>
      <c r="B15" s="2007"/>
      <c r="C15" s="2007"/>
      <c r="D15" s="2007"/>
      <c r="E15" s="2007"/>
      <c r="F15" s="2007"/>
      <c r="G15" s="2007"/>
      <c r="H15" s="2008"/>
      <c r="T15" s="1970" t="s">
        <v>2088</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2079</v>
      </c>
      <c r="B17" s="2032"/>
      <c r="C17" s="2032"/>
      <c r="D17" s="2032"/>
      <c r="E17" s="2032"/>
      <c r="F17" s="2032"/>
      <c r="G17" s="2032"/>
      <c r="H17" s="2033"/>
      <c r="T17" s="2019" t="s">
        <v>2089</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2080</v>
      </c>
      <c r="B19" s="2003"/>
      <c r="C19" s="2003"/>
      <c r="D19" s="2003"/>
      <c r="E19" s="2003"/>
      <c r="F19" s="2003"/>
      <c r="G19" s="2003"/>
      <c r="H19" s="2001"/>
      <c r="I19" s="30"/>
      <c r="J19" s="99"/>
      <c r="K19" s="40"/>
      <c r="L19" s="38"/>
      <c r="M19" s="112" t="s">
        <v>333</v>
      </c>
      <c r="P19" s="27"/>
      <c r="Q19" s="27"/>
      <c r="R19" s="27"/>
      <c r="S19" s="31"/>
      <c r="T19" s="2002" t="s">
        <v>2090</v>
      </c>
      <c r="U19" s="2000"/>
      <c r="V19" s="2000"/>
      <c r="W19" s="2001"/>
      <c r="X19" s="2017" t="s">
        <v>2091</v>
      </c>
      <c r="Y19" s="2018"/>
      <c r="Z19" s="2015">
        <v>62650</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2081</v>
      </c>
      <c r="B21" s="2000"/>
      <c r="C21" s="2000"/>
      <c r="D21" s="2000"/>
      <c r="E21" s="2000"/>
      <c r="F21" s="2000"/>
      <c r="G21" s="2000"/>
      <c r="H21" s="2001"/>
      <c r="I21" s="2025" t="s">
        <v>699</v>
      </c>
      <c r="J21" s="1988"/>
      <c r="K21" s="1988"/>
      <c r="L21" s="1988"/>
      <c r="M21" s="1988"/>
      <c r="N21" s="1988"/>
      <c r="O21" s="1988"/>
      <c r="P21" s="1988"/>
      <c r="Q21" s="1988"/>
      <c r="R21" s="1988"/>
      <c r="S21" s="1989"/>
      <c r="T21" s="1967" t="s">
        <v>2092</v>
      </c>
      <c r="U21" s="1968"/>
      <c r="V21" s="1968"/>
      <c r="W21" s="1968"/>
      <c r="X21" s="1981" t="s">
        <v>2093</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2082</v>
      </c>
      <c r="B23" s="2023"/>
      <c r="C23" s="2023"/>
      <c r="D23" s="2023"/>
      <c r="E23" s="2023"/>
      <c r="F23" s="2023"/>
      <c r="G23" s="2023"/>
      <c r="H23" s="2024"/>
      <c r="T23" s="1962" t="s">
        <v>2094</v>
      </c>
      <c r="U23" s="1963"/>
      <c r="V23" s="1963"/>
      <c r="W23" s="1963"/>
      <c r="X23" s="1978">
        <v>43422</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62340</v>
      </c>
      <c r="B25" s="2000"/>
      <c r="C25" s="2000"/>
      <c r="D25" s="2000"/>
      <c r="E25" s="2000"/>
      <c r="F25" s="2000"/>
      <c r="G25" s="2000"/>
      <c r="H25" s="2001"/>
      <c r="I25" s="113"/>
      <c r="J25" s="2066"/>
      <c r="K25" s="2066"/>
      <c r="L25" s="2066"/>
      <c r="M25" s="2066"/>
      <c r="N25" s="2066"/>
      <c r="O25" s="2066"/>
      <c r="P25" s="2066"/>
      <c r="Q25" s="2066"/>
      <c r="R25" s="2066"/>
      <c r="S25" s="2067"/>
      <c r="T25" s="1959" t="s">
        <v>2095</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2083</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2084</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2085</v>
      </c>
      <c r="B42" s="2049"/>
      <c r="C42" s="2050"/>
      <c r="D42" s="2063" t="s">
        <v>2086</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710087</v>
      </c>
      <c r="C4" s="1546"/>
      <c r="D4" s="1774">
        <f>B4-C4</f>
        <v>710087</v>
      </c>
      <c r="E4" s="1546">
        <v>765000</v>
      </c>
      <c r="F4" s="1774">
        <f>E4-C4</f>
        <v>765000</v>
      </c>
    </row>
    <row r="5" spans="1:6" ht="13.7" customHeight="1" x14ac:dyDescent="0.2">
      <c r="A5" s="716" t="s">
        <v>925</v>
      </c>
      <c r="B5" s="1772">
        <f>'Revenues 9-14'!D5</f>
        <v>223600</v>
      </c>
      <c r="C5" s="585"/>
      <c r="D5" s="1775">
        <f t="shared" ref="D5:D18" si="0">B5-C5</f>
        <v>223600</v>
      </c>
      <c r="E5" s="585">
        <v>240000</v>
      </c>
      <c r="F5" s="1775">
        <f>E5-C5</f>
        <v>240000</v>
      </c>
    </row>
    <row r="6" spans="1:6" ht="13.7" customHeight="1" x14ac:dyDescent="0.2">
      <c r="A6" s="716" t="s">
        <v>431</v>
      </c>
      <c r="B6" s="1772">
        <f>'Revenues 9-14'!E5</f>
        <v>482098</v>
      </c>
      <c r="C6" s="585"/>
      <c r="D6" s="1775">
        <f t="shared" si="0"/>
        <v>482098</v>
      </c>
      <c r="E6" s="585">
        <v>339973</v>
      </c>
      <c r="F6" s="1775">
        <f t="shared" ref="F6:F18" si="1">E6-C6</f>
        <v>339973</v>
      </c>
    </row>
    <row r="7" spans="1:6" ht="13.7" customHeight="1" x14ac:dyDescent="0.2">
      <c r="A7" s="716" t="s">
        <v>157</v>
      </c>
      <c r="B7" s="1772">
        <f>'Revenues 9-14'!F5</f>
        <v>77773</v>
      </c>
      <c r="C7" s="585"/>
      <c r="D7" s="1775">
        <f t="shared" si="0"/>
        <v>77773</v>
      </c>
      <c r="E7" s="585">
        <v>88500</v>
      </c>
      <c r="F7" s="1775">
        <f t="shared" si="1"/>
        <v>88500</v>
      </c>
    </row>
    <row r="8" spans="1:6" ht="13.7" customHeight="1" x14ac:dyDescent="0.2">
      <c r="A8" s="716" t="s">
        <v>1241</v>
      </c>
      <c r="B8" s="1772">
        <f>'Revenues 9-14'!G5</f>
        <v>81440</v>
      </c>
      <c r="C8" s="585"/>
      <c r="D8" s="1775">
        <f t="shared" si="0"/>
        <v>81440</v>
      </c>
      <c r="E8" s="585">
        <v>68500</v>
      </c>
      <c r="F8" s="1775">
        <f t="shared" si="1"/>
        <v>68500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19316</v>
      </c>
      <c r="C10" s="585"/>
      <c r="D10" s="1775">
        <f t="shared" si="0"/>
        <v>19316</v>
      </c>
      <c r="E10" s="585">
        <v>20580</v>
      </c>
      <c r="F10" s="1775">
        <f t="shared" si="1"/>
        <v>20580</v>
      </c>
    </row>
    <row r="11" spans="1:6" x14ac:dyDescent="0.2">
      <c r="A11" s="716" t="s">
        <v>429</v>
      </c>
      <c r="B11" s="1772">
        <f>'Revenues 9-14'!J5</f>
        <v>501544</v>
      </c>
      <c r="C11" s="585"/>
      <c r="D11" s="1775">
        <f t="shared" si="0"/>
        <v>501544</v>
      </c>
      <c r="E11" s="585">
        <v>515000</v>
      </c>
      <c r="F11" s="1775">
        <f t="shared" si="1"/>
        <v>515000</v>
      </c>
    </row>
    <row r="12" spans="1:6" ht="13.7" customHeight="1" x14ac:dyDescent="0.2">
      <c r="A12" s="716" t="s">
        <v>159</v>
      </c>
      <c r="B12" s="1772">
        <f>'Revenues 9-14'!K5</f>
        <v>19443</v>
      </c>
      <c r="C12" s="585"/>
      <c r="D12" s="1775">
        <f t="shared" si="0"/>
        <v>19443</v>
      </c>
      <c r="E12" s="585">
        <v>20580</v>
      </c>
      <c r="F12" s="1775">
        <f t="shared" si="1"/>
        <v>20580</v>
      </c>
    </row>
    <row r="13" spans="1:6" ht="13.7" customHeight="1" x14ac:dyDescent="0.2">
      <c r="A13" s="716" t="s">
        <v>993</v>
      </c>
      <c r="B13" s="1772">
        <f>SUM('Revenues 9-14'!C6:D6)</f>
        <v>19269</v>
      </c>
      <c r="C13" s="585"/>
      <c r="D13" s="1775">
        <f t="shared" si="0"/>
        <v>19269</v>
      </c>
      <c r="E13" s="585">
        <v>20580</v>
      </c>
      <c r="F13" s="1775">
        <f t="shared" si="1"/>
        <v>20580</v>
      </c>
    </row>
    <row r="14" spans="1:6" ht="13.7" customHeight="1" x14ac:dyDescent="0.2">
      <c r="A14" s="716" t="s">
        <v>430</v>
      </c>
      <c r="B14" s="1772">
        <f>SUM('Revenues 9-14'!C7:D7,'Revenues 9-14'!F7:H7)</f>
        <v>15554</v>
      </c>
      <c r="C14" s="585"/>
      <c r="D14" s="1775">
        <f t="shared" si="0"/>
        <v>15554</v>
      </c>
      <c r="E14" s="585">
        <v>17000</v>
      </c>
      <c r="F14" s="1775">
        <f t="shared" si="1"/>
        <v>17000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81440</v>
      </c>
      <c r="C16" s="585"/>
      <c r="D16" s="1775">
        <f t="shared" si="0"/>
        <v>81440</v>
      </c>
      <c r="E16" s="585">
        <v>68500</v>
      </c>
      <c r="F16" s="1775">
        <f t="shared" si="1"/>
        <v>68500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2231564</v>
      </c>
      <c r="C19" s="1773">
        <f>SUM(C4:C18)</f>
        <v>0</v>
      </c>
      <c r="D19" s="1773">
        <f>SUM(D4:D18)</f>
        <v>2231564</v>
      </c>
      <c r="E19" s="1773">
        <f>SUM(E4:E18)</f>
        <v>2164213</v>
      </c>
      <c r="F19" s="1773">
        <f>SUM(F4:F18)</f>
        <v>2164213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50"/>
    <pageSetUpPr fitToPage="1"/>
  </sheetPr>
  <dimension ref="A1:K59"/>
  <sheetViews>
    <sheetView showGridLines="0" defaultGridColor="0" topLeftCell="A22" colorId="8" zoomScale="110" zoomScaleNormal="110" workbookViewId="0">
      <selection activeCell="H34" sqref="H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9" t="s">
        <v>2036</v>
      </c>
      <c r="D2" s="724" t="s">
        <v>2043</v>
      </c>
      <c r="E2" s="724" t="s">
        <v>2044</v>
      </c>
      <c r="F2" s="1909"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2038</v>
      </c>
      <c r="F30" s="1910" t="s">
        <v>2039</v>
      </c>
      <c r="G30" s="1910" t="s">
        <v>2042</v>
      </c>
      <c r="H30" s="1910" t="s">
        <v>2040</v>
      </c>
      <c r="I30" s="1910" t="s">
        <v>2041</v>
      </c>
      <c r="J30" s="1911" t="s">
        <v>2</v>
      </c>
      <c r="K30" s="732"/>
    </row>
    <row r="31" spans="1:11" ht="12" customHeight="1" x14ac:dyDescent="0.2">
      <c r="A31" s="733" t="s">
        <v>2100</v>
      </c>
      <c r="B31" s="734">
        <v>37817</v>
      </c>
      <c r="C31" s="735">
        <v>1002600</v>
      </c>
      <c r="D31" s="736">
        <v>4</v>
      </c>
      <c r="E31" s="735">
        <v>1002600</v>
      </c>
      <c r="F31" s="735"/>
      <c r="G31" s="735"/>
      <c r="H31" s="735"/>
      <c r="I31" s="1778">
        <f>((E31+F31)-H31)+G31</f>
        <v>1002600</v>
      </c>
      <c r="J31" s="735"/>
      <c r="K31" s="737"/>
    </row>
    <row r="32" spans="1:11" ht="12" customHeight="1" x14ac:dyDescent="0.2">
      <c r="A32" s="733" t="s">
        <v>2097</v>
      </c>
      <c r="B32" s="734">
        <v>40269</v>
      </c>
      <c r="C32" s="735">
        <v>2790000</v>
      </c>
      <c r="D32" s="736" t="s">
        <v>2102</v>
      </c>
      <c r="E32" s="735">
        <v>405000</v>
      </c>
      <c r="F32" s="735"/>
      <c r="G32" s="735"/>
      <c r="H32" s="735">
        <v>85000</v>
      </c>
      <c r="I32" s="1778">
        <f>((E32+F32)-H32)+G32</f>
        <v>320000</v>
      </c>
      <c r="J32" s="735">
        <v>265632</v>
      </c>
      <c r="K32" s="737"/>
    </row>
    <row r="33" spans="1:11" ht="12" customHeight="1" x14ac:dyDescent="0.2">
      <c r="A33" s="733" t="s">
        <v>2098</v>
      </c>
      <c r="B33" s="734">
        <v>42159</v>
      </c>
      <c r="C33" s="735">
        <v>600700</v>
      </c>
      <c r="D33" s="736">
        <v>1</v>
      </c>
      <c r="E33" s="735">
        <v>415900</v>
      </c>
      <c r="F33" s="735"/>
      <c r="G33" s="735"/>
      <c r="H33" s="735">
        <v>203600</v>
      </c>
      <c r="I33" s="1778">
        <f t="shared" ref="I33:I48" si="1">((E33+F33)-H33)+G33</f>
        <v>212300</v>
      </c>
      <c r="J33" s="735">
        <v>212300</v>
      </c>
      <c r="K33" s="737"/>
    </row>
    <row r="34" spans="1:11" ht="12" customHeight="1" x14ac:dyDescent="0.2">
      <c r="A34" s="733" t="s">
        <v>2099</v>
      </c>
      <c r="B34" s="734">
        <v>42703</v>
      </c>
      <c r="C34" s="735">
        <v>2135000</v>
      </c>
      <c r="D34" s="736">
        <v>3</v>
      </c>
      <c r="E34" s="735">
        <v>2135000</v>
      </c>
      <c r="F34" s="735"/>
      <c r="G34" s="735"/>
      <c r="H34" s="735"/>
      <c r="I34" s="1778">
        <f t="shared" si="1"/>
        <v>2135000</v>
      </c>
      <c r="J34" s="735">
        <v>2135000</v>
      </c>
      <c r="K34" s="738"/>
    </row>
    <row r="35" spans="1:11" ht="12" customHeight="1" x14ac:dyDescent="0.2">
      <c r="A35" s="733" t="s">
        <v>2101</v>
      </c>
      <c r="B35" s="734">
        <v>42915</v>
      </c>
      <c r="C35" s="739">
        <v>662300</v>
      </c>
      <c r="D35" s="736">
        <v>1</v>
      </c>
      <c r="E35" s="739">
        <v>662300</v>
      </c>
      <c r="F35" s="739"/>
      <c r="G35" s="739"/>
      <c r="H35" s="739"/>
      <c r="I35" s="1778">
        <f t="shared" si="1"/>
        <v>662300</v>
      </c>
      <c r="J35" s="739">
        <v>662300</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7190600</v>
      </c>
      <c r="D49" s="746"/>
      <c r="E49" s="1778">
        <f t="shared" ref="E49:J49" si="2">SUM(E31:E48)</f>
        <v>4620800</v>
      </c>
      <c r="F49" s="1778">
        <f t="shared" si="2"/>
        <v>0</v>
      </c>
      <c r="G49" s="1778">
        <f t="shared" si="2"/>
        <v>0</v>
      </c>
      <c r="H49" s="1778">
        <f t="shared" si="2"/>
        <v>288600</v>
      </c>
      <c r="I49" s="1778">
        <f t="shared" si="2"/>
        <v>4332200</v>
      </c>
      <c r="J49" s="1778">
        <f t="shared" si="2"/>
        <v>3275232</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50"/>
  </sheetPr>
  <dimension ref="A1:K48"/>
  <sheetViews>
    <sheetView showGridLines="0" defaultGridColor="0" colorId="8" zoomScale="110" zoomScaleNormal="110" workbookViewId="0">
      <selection activeCell="N38" sqref="N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v>199602</v>
      </c>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15554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900</v>
      </c>
    </row>
    <row r="8" spans="1:11" x14ac:dyDescent="0.2">
      <c r="A8" s="779" t="s">
        <v>363</v>
      </c>
      <c r="B8" s="780"/>
      <c r="C8" s="780"/>
      <c r="D8" s="780"/>
      <c r="E8" s="781"/>
      <c r="F8" s="771" t="s">
        <v>906</v>
      </c>
      <c r="G8" s="783"/>
      <c r="H8" s="783"/>
      <c r="I8" s="783"/>
      <c r="J8" s="766">
        <v>138569</v>
      </c>
      <c r="K8" s="770"/>
    </row>
    <row r="9" spans="1:11" x14ac:dyDescent="0.2">
      <c r="A9" s="779" t="s">
        <v>140</v>
      </c>
      <c r="B9" s="780"/>
      <c r="C9" s="780"/>
      <c r="D9" s="780"/>
      <c r="E9" s="781"/>
      <c r="F9" s="778" t="s">
        <v>908</v>
      </c>
      <c r="G9" s="783"/>
      <c r="H9" s="772"/>
      <c r="I9" s="772"/>
      <c r="J9" s="782"/>
      <c r="K9" s="766">
        <v>4150</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15554</v>
      </c>
      <c r="I12" s="1780">
        <f>SUM(I5:I11)</f>
        <v>0</v>
      </c>
      <c r="J12" s="1780">
        <f>SUM(J5:J11)</f>
        <v>138569</v>
      </c>
      <c r="K12" s="1780">
        <f>SUM(K5:K11)</f>
        <v>5050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15554</v>
      </c>
      <c r="I14" s="772"/>
      <c r="J14" s="774"/>
      <c r="K14" s="766">
        <v>5050</v>
      </c>
    </row>
    <row r="15" spans="1:11" x14ac:dyDescent="0.2">
      <c r="A15" s="2232" t="s">
        <v>4</v>
      </c>
      <c r="B15" s="2232"/>
      <c r="C15" s="2232"/>
      <c r="D15" s="2232"/>
      <c r="E15" s="2260"/>
      <c r="F15" s="790" t="s">
        <v>910</v>
      </c>
      <c r="G15" s="772"/>
      <c r="H15" s="765"/>
      <c r="I15" s="765"/>
      <c r="J15" s="766">
        <v>117707</v>
      </c>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15554</v>
      </c>
      <c r="I23" s="1780">
        <f>SUM(I14:I16,I21,I22)</f>
        <v>0</v>
      </c>
      <c r="J23" s="1780">
        <f>SUM(J14:J16,J21,J22)</f>
        <v>117707</v>
      </c>
      <c r="K23" s="1780">
        <f>SUM(K14:K16,K21,K22)</f>
        <v>5050</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220464</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220464</v>
      </c>
      <c r="K26" s="1780">
        <f>K24-K25</f>
        <v>0</v>
      </c>
    </row>
    <row r="27" spans="1:11" ht="5.25" customHeight="1" thickTop="1" x14ac:dyDescent="0.2">
      <c r="I27" s="202"/>
      <c r="J27" s="202"/>
    </row>
    <row r="28" spans="1:11" ht="29.25" customHeight="1" x14ac:dyDescent="0.2">
      <c r="A28" s="1905" t="s">
        <v>2034</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19253</v>
      </c>
      <c r="D5" s="842"/>
      <c r="E5" s="842"/>
      <c r="F5" s="1782">
        <f>(C5+D5)-E5</f>
        <v>19253</v>
      </c>
      <c r="G5" s="838"/>
      <c r="H5" s="843"/>
      <c r="I5" s="843"/>
      <c r="J5" s="843"/>
      <c r="K5" s="794"/>
      <c r="L5" s="1791">
        <f>F5-K5</f>
        <v>19253</v>
      </c>
    </row>
    <row r="6" spans="1:14" ht="14.25" thickTop="1" thickBot="1" x14ac:dyDescent="0.25">
      <c r="A6" s="779" t="s">
        <v>1179</v>
      </c>
      <c r="B6" s="841">
        <v>222</v>
      </c>
      <c r="C6" s="766">
        <v>33282</v>
      </c>
      <c r="D6" s="766"/>
      <c r="E6" s="766"/>
      <c r="F6" s="1782">
        <f>(C6+D6)-E6</f>
        <v>33282</v>
      </c>
      <c r="G6" s="838">
        <v>50</v>
      </c>
      <c r="H6" s="766">
        <v>27436</v>
      </c>
      <c r="I6" s="766">
        <v>700</v>
      </c>
      <c r="J6" s="766"/>
      <c r="K6" s="1791">
        <f>(H6+I6)-J6</f>
        <v>28136</v>
      </c>
      <c r="L6" s="1791">
        <f>F6-K6</f>
        <v>5146</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8665456</v>
      </c>
      <c r="D8" s="845">
        <v>117707</v>
      </c>
      <c r="E8" s="845"/>
      <c r="F8" s="1782">
        <f>(C8+D8)-E8</f>
        <v>8783163</v>
      </c>
      <c r="G8" s="844">
        <v>50</v>
      </c>
      <c r="H8" s="766">
        <v>3108708</v>
      </c>
      <c r="I8" s="766">
        <f>157026+1</f>
        <v>157027</v>
      </c>
      <c r="J8" s="766"/>
      <c r="K8" s="1791">
        <f>(H8+I8)-J8</f>
        <v>3265735</v>
      </c>
      <c r="L8" s="1791">
        <f>F8-K8</f>
        <v>5517428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1039574</v>
      </c>
      <c r="D12" s="845">
        <v>64397</v>
      </c>
      <c r="E12" s="845"/>
      <c r="F12" s="1782">
        <f>(C12+D12)-E12</f>
        <v>1103971</v>
      </c>
      <c r="G12" s="844">
        <v>10</v>
      </c>
      <c r="H12" s="766">
        <v>825319</v>
      </c>
      <c r="I12" s="766">
        <f>41667+3025</f>
        <v>44692</v>
      </c>
      <c r="J12" s="766"/>
      <c r="K12" s="1791">
        <f>(H12+I12)-J12</f>
        <v>870011</v>
      </c>
      <c r="L12" s="1791">
        <f>F12-K12</f>
        <v>233960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9757565</v>
      </c>
      <c r="D16" s="1782">
        <f>SUM(D3,D5:D6,D8:D10,D12:D15)</f>
        <v>182104</v>
      </c>
      <c r="E16" s="1782">
        <f>SUM(E3,E5:E6,E8:E10,E12:E15)</f>
        <v>0</v>
      </c>
      <c r="F16" s="1782">
        <f>SUM(F3,F5:F6,F8:F10,F12:F15)</f>
        <v>9939669</v>
      </c>
      <c r="G16" s="844"/>
      <c r="H16" s="1782">
        <f>SUM(H3,H6,H8:H10,H12:H14,)</f>
        <v>3961463</v>
      </c>
      <c r="I16" s="1782">
        <f>SUM(I3,I6,I8:I10,I12:I14,)</f>
        <v>202419</v>
      </c>
      <c r="J16" s="1782">
        <f>SUM(J3,J6,J8:J10,J12:J14,)</f>
        <v>0</v>
      </c>
      <c r="K16" s="1782">
        <f>(H16+I16)-J16</f>
        <v>4163882</v>
      </c>
      <c r="L16" s="1782">
        <f>F16-K16</f>
        <v>5775787</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202419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H206"/>
  <sheetViews>
    <sheetView showGridLines="0" defaultGridColor="0" colorId="8" zoomScale="110" zoomScaleNormal="110" workbookViewId="0">
      <pane ySplit="5" topLeftCell="A51" activePane="bottomLeft" state="frozen"/>
      <selection activeCell="A47" sqref="A47"/>
      <selection pane="bottomLeft" activeCell="D65" sqref="D65"/>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3169538</v>
      </c>
      <c r="G8" s="866"/>
    </row>
    <row r="9" spans="1:7" x14ac:dyDescent="0.2">
      <c r="A9" s="870" t="s">
        <v>480</v>
      </c>
      <c r="B9" s="871" t="s">
        <v>1988</v>
      </c>
      <c r="C9" s="872"/>
      <c r="D9" s="870" t="s">
        <v>522</v>
      </c>
      <c r="E9" s="869"/>
      <c r="F9" s="1935">
        <f>'Expenditures 15-22'!K151</f>
        <v>292421</v>
      </c>
      <c r="G9" s="873"/>
    </row>
    <row r="10" spans="1:7" x14ac:dyDescent="0.2">
      <c r="A10" s="870" t="s">
        <v>520</v>
      </c>
      <c r="B10" s="871" t="s">
        <v>1989</v>
      </c>
      <c r="C10" s="872"/>
      <c r="D10" s="870" t="s">
        <v>522</v>
      </c>
      <c r="E10" s="869"/>
      <c r="F10" s="1935">
        <f>'Expenditures 15-22'!K174</f>
        <v>421697</v>
      </c>
      <c r="G10" s="873"/>
    </row>
    <row r="11" spans="1:7" x14ac:dyDescent="0.2">
      <c r="A11" s="870" t="s">
        <v>481</v>
      </c>
      <c r="B11" s="871" t="s">
        <v>1990</v>
      </c>
      <c r="C11" s="872"/>
      <c r="D11" s="870" t="s">
        <v>522</v>
      </c>
      <c r="E11" s="869"/>
      <c r="F11" s="1935">
        <f>'Expenditures 15-22'!K210</f>
        <v>457533</v>
      </c>
      <c r="G11" s="873"/>
    </row>
    <row r="12" spans="1:7" x14ac:dyDescent="0.2">
      <c r="A12" s="870" t="s">
        <v>482</v>
      </c>
      <c r="B12" s="871" t="s">
        <v>1991</v>
      </c>
      <c r="C12" s="872"/>
      <c r="D12" s="870" t="s">
        <v>522</v>
      </c>
      <c r="E12" s="869"/>
      <c r="F12" s="1935">
        <f>'Expenditures 15-22'!K295</f>
        <v>126797</v>
      </c>
      <c r="G12" s="873"/>
    </row>
    <row r="13" spans="1:7" x14ac:dyDescent="0.2">
      <c r="A13" s="870" t="s">
        <v>108</v>
      </c>
      <c r="B13" s="871" t="s">
        <v>1992</v>
      </c>
      <c r="C13" s="872"/>
      <c r="D13" s="870" t="s">
        <v>522</v>
      </c>
      <c r="E13" s="869"/>
      <c r="F13" s="1935">
        <f>'Expenditures 15-22'!K342</f>
        <v>453207</v>
      </c>
      <c r="G13" s="874"/>
    </row>
    <row r="14" spans="1:7" ht="12" customHeight="1" thickBot="1" x14ac:dyDescent="0.25">
      <c r="A14" s="1792"/>
      <c r="B14" s="1793"/>
      <c r="C14" s="1794"/>
      <c r="D14" s="1795" t="s">
        <v>522</v>
      </c>
      <c r="E14" s="1796" t="s">
        <v>1015</v>
      </c>
      <c r="F14" s="1797">
        <f>SUM(F8:F13)</f>
        <v>4921193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24560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87794</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29853</v>
      </c>
      <c r="G52" s="866"/>
    </row>
    <row r="53" spans="1:7" x14ac:dyDescent="0.2">
      <c r="A53" s="870" t="s">
        <v>479</v>
      </c>
      <c r="B53" s="870" t="s">
        <v>1551</v>
      </c>
      <c r="C53" s="890">
        <f>'Expenditures 15-22'!B102</f>
        <v>4000</v>
      </c>
      <c r="D53" s="889" t="str">
        <f>'Expenditures 15-22'!A102</f>
        <v>Total Payments to Other Govt Units</v>
      </c>
      <c r="E53" s="869"/>
      <c r="F53" s="1939">
        <f>'Expenditures 15-22'!K102</f>
        <v>176962</v>
      </c>
      <c r="G53" s="866"/>
    </row>
    <row r="54" spans="1:7" x14ac:dyDescent="0.2">
      <c r="A54" s="870" t="s">
        <v>479</v>
      </c>
      <c r="B54" s="870" t="s">
        <v>1552</v>
      </c>
      <c r="C54" s="890" t="s">
        <v>1039</v>
      </c>
      <c r="D54" s="886" t="s">
        <v>1157</v>
      </c>
      <c r="E54" s="869"/>
      <c r="F54" s="1939">
        <f>'Expenditures 15-22'!G114</f>
        <v>64397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288600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3154</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4589</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679909</v>
      </c>
      <c r="G76" s="866"/>
    </row>
    <row r="77" spans="1:8" s="894" customFormat="1" ht="12" customHeight="1" thickTop="1" thickBot="1" x14ac:dyDescent="0.25">
      <c r="A77" s="1801"/>
      <c r="B77" s="1798"/>
      <c r="C77" s="1794"/>
      <c r="D77" s="1799" t="s">
        <v>2011</v>
      </c>
      <c r="E77" s="1796"/>
      <c r="F77" s="1802">
        <f>(F14-F76)</f>
        <v>4241284</v>
      </c>
      <c r="G77" s="870"/>
    </row>
    <row r="78" spans="1:8" s="894" customFormat="1" ht="12" customHeight="1" thickTop="1" x14ac:dyDescent="0.2">
      <c r="A78" s="1803"/>
      <c r="B78" s="1798"/>
      <c r="C78" s="1794"/>
      <c r="D78" s="1799" t="s">
        <v>2057</v>
      </c>
      <c r="E78" s="1796"/>
      <c r="F78" s="899">
        <v>355.13</v>
      </c>
      <c r="G78" s="900"/>
      <c r="H78" s="870"/>
    </row>
    <row r="79" spans="1:8" s="894" customFormat="1" ht="12" customHeight="1" thickBot="1" x14ac:dyDescent="0.25">
      <c r="A79" s="1804"/>
      <c r="B79" s="1798"/>
      <c r="C79" s="1794"/>
      <c r="D79" s="1799" t="s">
        <v>2012</v>
      </c>
      <c r="E79" s="1796" t="s">
        <v>1015</v>
      </c>
      <c r="F79" s="1805">
        <f>IF(F78&gt;0,F77/F78," Complete Line 78")</f>
        <v>11942.905414918481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5784</v>
      </c>
      <c r="G94" s="913"/>
    </row>
    <row r="95" spans="1:7" x14ac:dyDescent="0.2">
      <c r="A95" s="909" t="s">
        <v>142</v>
      </c>
      <c r="B95" s="909" t="s">
        <v>177</v>
      </c>
      <c r="C95" s="911">
        <v>1700</v>
      </c>
      <c r="D95" s="919" t="str">
        <f>'Revenues 9-14'!A82</f>
        <v>Total District/School Activity Income</v>
      </c>
      <c r="E95" s="907"/>
      <c r="F95" s="1811">
        <f>SUM('Revenues 9-14'!C82,'Revenues 9-14'!D82)</f>
        <v>31847</v>
      </c>
      <c r="G95" s="913"/>
    </row>
    <row r="96" spans="1:7" x14ac:dyDescent="0.2">
      <c r="A96" s="909" t="s">
        <v>479</v>
      </c>
      <c r="B96" s="909" t="s">
        <v>178</v>
      </c>
      <c r="C96" s="911">
        <f>'Revenues 9-14'!B84</f>
        <v>1811</v>
      </c>
      <c r="D96" s="912" t="str">
        <f>'Revenues 9-14'!A84</f>
        <v>Rentals - Regular Textbooks</v>
      </c>
      <c r="E96" s="907"/>
      <c r="F96" s="1811">
        <f>'Revenues 9-14'!C84</f>
        <v>6536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1810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39000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165</v>
      </c>
      <c r="G104" s="913"/>
    </row>
    <row r="105" spans="1:7" x14ac:dyDescent="0.2">
      <c r="A105" s="909" t="s">
        <v>524</v>
      </c>
      <c r="B105" s="909" t="s">
        <v>842</v>
      </c>
      <c r="C105" s="914">
        <v>3100</v>
      </c>
      <c r="D105" s="920" t="str">
        <f>'Revenues 9-14'!A131</f>
        <v>Total Special Education</v>
      </c>
      <c r="E105" s="907"/>
      <c r="F105" s="1811">
        <f>SUM('Revenues 9-14'!C131:D131,'Revenues 9-14'!F131)</f>
        <v>99891</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13535</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3424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4150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290331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229449</v>
      </c>
      <c r="G129" s="931"/>
    </row>
    <row r="130" spans="1:7" x14ac:dyDescent="0.2">
      <c r="A130" s="928" t="s">
        <v>689</v>
      </c>
      <c r="B130" s="928" t="s">
        <v>804</v>
      </c>
      <c r="C130" s="933">
        <v>4300</v>
      </c>
      <c r="D130" s="934" t="str">
        <f>'Revenues 9-14'!A211</f>
        <v>Total Title I</v>
      </c>
      <c r="E130" s="907"/>
      <c r="F130" s="1811">
        <f>SUM('Revenues 9-14'!C211,'Revenues 9-14'!D211,'Revenues 9-14'!F211,'Revenues 9-14'!G211)</f>
        <v>152675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12032</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10588</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51480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24858</v>
      </c>
      <c r="G174" s="928"/>
    </row>
    <row r="175" spans="1:7" x14ac:dyDescent="0.2">
      <c r="A175" s="1944" t="s">
        <v>5</v>
      </c>
      <c r="B175" s="1945" t="s">
        <v>2056</v>
      </c>
      <c r="C175" s="1946">
        <v>3100</v>
      </c>
      <c r="D175" s="1947" t="s">
        <v>2059</v>
      </c>
      <c r="E175" s="907"/>
      <c r="F175" s="1931"/>
      <c r="G175" s="928"/>
    </row>
    <row r="176" spans="1:7" x14ac:dyDescent="0.2">
      <c r="A176" s="1944" t="s">
        <v>685</v>
      </c>
      <c r="B176" s="1945" t="s">
        <v>2056</v>
      </c>
      <c r="C176" s="1946">
        <v>3300</v>
      </c>
      <c r="D176" s="1947" t="s">
        <v>2060</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979055</v>
      </c>
    </row>
    <row r="179" spans="1:7" ht="12" customHeight="1" x14ac:dyDescent="0.2">
      <c r="A179" s="1792"/>
      <c r="B179" s="1806"/>
      <c r="C179" s="1807"/>
      <c r="D179" s="1808" t="s">
        <v>2014</v>
      </c>
      <c r="E179" s="1809"/>
      <c r="F179" s="1811">
        <f>'PCTC-OEPP 27-28'!F77-F178</f>
        <v>3262229</v>
      </c>
    </row>
    <row r="180" spans="1:7" ht="12" customHeight="1" x14ac:dyDescent="0.2">
      <c r="A180" s="1792"/>
      <c r="B180" s="1806"/>
      <c r="C180" s="1807"/>
      <c r="D180" s="1808" t="s">
        <v>1924</v>
      </c>
      <c r="E180" s="1809"/>
      <c r="F180" s="1811">
        <f>'Cap Outlay Deprec 26'!I18</f>
        <v>202419</v>
      </c>
    </row>
    <row r="181" spans="1:7" ht="12" customHeight="1" x14ac:dyDescent="0.2">
      <c r="A181" s="1792"/>
      <c r="B181" s="1806"/>
      <c r="C181" s="1807"/>
      <c r="D181" s="1808" t="s">
        <v>2015</v>
      </c>
      <c r="E181" s="1809"/>
      <c r="F181" s="1811">
        <f>F179+F180</f>
        <v>3464648</v>
      </c>
    </row>
    <row r="182" spans="1:7" ht="12" customHeight="1" x14ac:dyDescent="0.2">
      <c r="A182" s="1792"/>
      <c r="B182" s="1812"/>
      <c r="C182" s="1807"/>
      <c r="D182" s="1808" t="str">
        <f>D78</f>
        <v>9 Month ADA from District Average Daily Attendance/Prior General State Aid Inquiry 2017-2018</v>
      </c>
      <c r="E182" s="1809"/>
      <c r="F182" s="1813">
        <f>'PCTC-OEPP 27-28'!F78</f>
        <v>355.13</v>
      </c>
      <c r="G182" s="931"/>
    </row>
    <row r="183" spans="1:7" ht="12" customHeight="1" thickBot="1" x14ac:dyDescent="0.25">
      <c r="A183" s="1792"/>
      <c r="B183" s="1812"/>
      <c r="C183" s="1807"/>
      <c r="D183" s="1808" t="s">
        <v>2016</v>
      </c>
      <c r="E183" s="1809" t="s">
        <v>1626</v>
      </c>
      <c r="F183" s="1814">
        <f>F181/F182</f>
        <v>9755.9992115563309</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8" customFormat="1" ht="12.2" customHeight="1" x14ac:dyDescent="0.2">
      <c r="A186" s="1948" t="s">
        <v>2063</v>
      </c>
      <c r="B186" s="1949"/>
      <c r="C186" s="1950"/>
      <c r="D186" s="1949"/>
      <c r="E186" s="1950"/>
      <c r="F186" s="1949"/>
      <c r="G186" s="1949"/>
    </row>
    <row r="187" spans="1:7" s="1948" customFormat="1" ht="12.2" customHeight="1" x14ac:dyDescent="0.2">
      <c r="A187" s="1951" t="s">
        <v>2064</v>
      </c>
      <c r="C187" s="1950"/>
      <c r="D187" s="1949"/>
      <c r="E187" s="1950"/>
      <c r="F187" s="1949"/>
      <c r="G187" s="1949"/>
    </row>
    <row r="188" spans="1:7" ht="12" customHeight="1" x14ac:dyDescent="0.2">
      <c r="C188" s="950"/>
      <c r="D188" s="931"/>
      <c r="E188" s="950"/>
      <c r="F188" s="931"/>
      <c r="G188" s="931"/>
    </row>
    <row r="189" spans="1:7" x14ac:dyDescent="0.2">
      <c r="A189" s="1952" t="s">
        <v>2062</v>
      </c>
      <c r="B189" s="1953"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41"/>
  <sheetViews>
    <sheetView showGridLines="0" workbookViewId="0">
      <pane ySplit="16" topLeftCell="A17" activePane="bottomLeft" state="frozen"/>
      <selection pane="bottomLeft" activeCell="F18" sqref="F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2114</v>
      </c>
      <c r="B17" s="1957" t="s">
        <v>2113</v>
      </c>
      <c r="C17" s="1958" t="s">
        <v>2112</v>
      </c>
      <c r="D17" s="1867">
        <v>26540</v>
      </c>
      <c r="E17" s="1562">
        <f t="shared" ref="E17:E141" si="1">IF(D17&lt;=25000,D17,IF(D17&gt;25000,25000,0))</f>
        <v>25000</v>
      </c>
      <c r="F17" s="1815">
        <f t="shared" si="0"/>
        <v>25000</v>
      </c>
      <c r="G17" s="1816">
        <f>IF(F17=0,0,D17-F17)</f>
        <v>1540</v>
      </c>
      <c r="H17" s="1669"/>
    </row>
    <row r="18" spans="1:8" x14ac:dyDescent="0.25">
      <c r="A18" s="1956"/>
      <c r="B18" s="1957"/>
      <c r="C18" s="195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26540</v>
      </c>
      <c r="E141" s="1563">
        <f t="shared" si="1"/>
        <v>25000</v>
      </c>
      <c r="F141" s="1817">
        <f>SUM(F17:F140)</f>
        <v>25000</v>
      </c>
      <c r="G141" s="1818">
        <f>SUM(G17:G140)</f>
        <v>1540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50"/>
  </sheetPr>
  <dimension ref="A1:I46"/>
  <sheetViews>
    <sheetView showGridLines="0" defaultGridColor="0" topLeftCell="A16"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150706</v>
      </c>
      <c r="F10" s="975"/>
      <c r="G10" s="976"/>
      <c r="H10" s="162"/>
      <c r="I10" s="162"/>
    </row>
    <row r="11" spans="1:9" s="669" customFormat="1" ht="22.5" customHeight="1" x14ac:dyDescent="0.2">
      <c r="A11" s="2305" t="s">
        <v>1944</v>
      </c>
      <c r="B11" s="2306"/>
      <c r="C11" s="2306"/>
      <c r="D11" s="2307"/>
      <c r="E11" s="978">
        <v>20072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2128109</v>
      </c>
      <c r="F19" s="1822"/>
      <c r="G19" s="1824">
        <f>'Expenditures 15-22'!K33-SUM('Expenditures 15-22'!G33,'Expenditures 15-22'!I33)+'Expenditures 15-22'!D229</f>
        <v>2128109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106835</v>
      </c>
      <c r="F21" s="1825"/>
      <c r="G21" s="1828">
        <f>'Expenditures 15-22'!K42-SUM('Expenditures 15-22'!G42,'Expenditures 15-22'!I42)+'Expenditures 15-22'!K120-SUM('Expenditures 15-22'!G120,'Expenditures 15-22'!I120)+'Expenditures 15-22'!K180-SUM('Expenditures 15-22'!G180,'Expenditures 15-22'!I180)+'Expenditures 15-22'!D238</f>
        <v>106835</v>
      </c>
      <c r="H21" s="988"/>
      <c r="I21" s="162"/>
    </row>
    <row r="22" spans="1:9" s="669" customFormat="1" ht="12" customHeight="1" x14ac:dyDescent="0.2">
      <c r="A22" s="995" t="s">
        <v>585</v>
      </c>
      <c r="B22" s="996"/>
      <c r="C22" s="994">
        <v>2200</v>
      </c>
      <c r="D22" s="1825"/>
      <c r="E22" s="1827">
        <f>'Expenditures 15-22'!K47-SUM('Expenditures 15-22'!G47,'Expenditures 15-22'!I47)+'Expenditures 15-22'!D243</f>
        <v>65047</v>
      </c>
      <c r="F22" s="1825"/>
      <c r="G22" s="1828">
        <f>'Expenditures 15-22'!K47-SUM('Expenditures 15-22'!G47,'Expenditures 15-22'!I47)+'Expenditures 15-22'!D243</f>
        <v>65047</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692872</v>
      </c>
      <c r="F23" s="1825"/>
      <c r="G23" s="1827">
        <f>'Expenditures 15-22'!K53-SUM('Expenditures 15-22'!G53,'Expenditures 15-22'!I53)+'Expenditures 15-22'!D257+'Expenditures 15-22'!K330-SUM('Expenditures 15-22'!G330,'Expenditures 15-22'!I330)</f>
        <v>692872</v>
      </c>
      <c r="H23" s="988"/>
      <c r="I23" s="162"/>
    </row>
    <row r="24" spans="1:9" s="669" customFormat="1" ht="12" customHeight="1" x14ac:dyDescent="0.2">
      <c r="A24" s="995" t="s">
        <v>587</v>
      </c>
      <c r="B24" s="996"/>
      <c r="C24" s="994">
        <v>2400</v>
      </c>
      <c r="D24" s="1825"/>
      <c r="E24" s="1827">
        <f>'Expenditures 15-22'!K57-SUM('Expenditures 15-22'!G57,'Expenditures 15-22'!I57)+'Expenditures 15-22'!D261</f>
        <v>161541</v>
      </c>
      <c r="F24" s="1825"/>
      <c r="G24" s="1828">
        <f>'Expenditures 15-22'!K57-SUM('Expenditures 15-22'!G57,'Expenditures 15-22'!I57)+'Expenditures 15-22'!D261</f>
        <v>161541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45653</v>
      </c>
      <c r="E27" s="1827">
        <f>E8</f>
        <v>0</v>
      </c>
      <c r="F27" s="1827">
        <f>'Expenditures 15-22'!K60-SUM('Expenditures 15-22'!G60,'Expenditures 15-22'!I60)+'Expenditures 15-22'!D264-E8</f>
        <v>45653</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313209</v>
      </c>
      <c r="F28" s="1829">
        <f>'Expenditures 15-22'!K61-SUM('Expenditures 15-22'!G61,'Expenditures 15-22'!I61)+'Expenditures 15-22'!K124-SUM('Expenditures 15-22'!G124,'Expenditures 15-22'!I124)+'Expenditures 15-22'!D266-E9</f>
        <v>313209</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457533</v>
      </c>
      <c r="F29" s="1825"/>
      <c r="G29" s="1828">
        <f>'Expenditures 15-22'!K62-SUM('Expenditures 15-22'!G62,'Expenditures 15-22'!I62)+'Expenditures 15-22'!K125-SUM('Expenditures 15-22'!G125,'Expenditures 15-22'!I125)+'Expenditures 15-22'!K182-SUM('Expenditures 15-22'!G182,'Expenditures 15-22'!I182)+'Expenditures 15-22'!D267</f>
        <v>457533</v>
      </c>
      <c r="H29" s="986"/>
    </row>
    <row r="30" spans="1:9" ht="12" customHeight="1" x14ac:dyDescent="0.2">
      <c r="A30" s="995" t="s">
        <v>102</v>
      </c>
      <c r="B30" s="998"/>
      <c r="C30" s="994">
        <v>2560</v>
      </c>
      <c r="D30" s="1825"/>
      <c r="E30" s="1827">
        <f>'Expenditures 15-22'!K63-SUM('Expenditures 15-22'!G63,'Expenditures 15-22'!I63)+'Expenditures 15-22'!D268-E10</f>
        <v>66993</v>
      </c>
      <c r="F30" s="1825"/>
      <c r="G30" s="1827">
        <f>'Expenditures 15-22'!K63-SUM('Expenditures 15-22'!G63,'Expenditures 15-22'!I63)+'Expenditures 15-22'!D268-E10</f>
        <v>66993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75</v>
      </c>
      <c r="E36" s="1827">
        <f>E13</f>
        <v>0</v>
      </c>
      <c r="F36" s="1827">
        <f>'Expenditures 15-22'!K70-SUM('Expenditures 15-22'!G70,'Expenditures 15-22'!I70)+'Expenditures 15-22'!D275-E13</f>
        <v>75</v>
      </c>
      <c r="G36" s="1827">
        <f>E13</f>
        <v>0</v>
      </c>
    </row>
    <row r="37" spans="1:7" ht="12" customHeight="1" x14ac:dyDescent="0.2">
      <c r="A37" s="995" t="s">
        <v>424</v>
      </c>
      <c r="B37" s="998"/>
      <c r="C37" s="994">
        <v>2660</v>
      </c>
      <c r="D37" s="1827">
        <f>'Expenditures 15-22'!K71-SUM('Expenditures 15-22'!G71,'Expenditures 15-22'!I71)+'Expenditures 15-22'!D276-E14</f>
        <v>35122</v>
      </c>
      <c r="E37" s="1827">
        <f>E14</f>
        <v>0</v>
      </c>
      <c r="F37" s="1827">
        <f>'Expenditures 15-22'!K71-SUM('Expenditures 15-22'!G71,'Expenditures 15-22'!I71)+'Expenditures 15-22'!D276-E14</f>
        <v>35122</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34442</v>
      </c>
      <c r="F39" s="1825"/>
      <c r="G39" s="1827">
        <f>'Expenditures 15-22'!K75-SUM('Expenditures 15-22'!G75,'Expenditures 15-22'!I75)+'Expenditures 15-22'!K130-SUM('Expenditures 15-22'!G130,'Expenditures 15-22'!I130)+'Expenditures 15-22'!K185-SUM('Expenditures 15-22'!G185,'Expenditures 15-22'!I185)+'Expenditures 15-22'!D280</f>
        <v>34442</v>
      </c>
    </row>
    <row r="40" spans="1:7" ht="12" customHeight="1" x14ac:dyDescent="0.2">
      <c r="A40" s="991" t="s">
        <v>1930</v>
      </c>
      <c r="B40" s="992"/>
      <c r="C40" s="994"/>
      <c r="D40" s="1825"/>
      <c r="E40" s="1829">
        <f>-'Contracts Paid in CY 29'!G141</f>
        <v>-1540</v>
      </c>
      <c r="F40" s="1825"/>
      <c r="G40" s="1829">
        <f>-'Contracts Paid in CY 29'!G141</f>
        <v>-1540</v>
      </c>
    </row>
    <row r="41" spans="1:7" ht="12" customHeight="1" x14ac:dyDescent="0.2">
      <c r="A41" s="999" t="s">
        <v>158</v>
      </c>
      <c r="B41" s="1000"/>
      <c r="C41" s="1001"/>
      <c r="D41" s="1829">
        <f>SUM(D19:D39)</f>
        <v>80850</v>
      </c>
      <c r="E41" s="1829">
        <f>SUM(E19:E40)</f>
        <v>4025041</v>
      </c>
      <c r="F41" s="1829">
        <f>SUM(F19:F39)</f>
        <v>394059</v>
      </c>
      <c r="G41" s="1829">
        <f>SUM(G19:G40)</f>
        <v>3711832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80850</v>
      </c>
      <c r="F43" s="1830" t="s">
        <v>495</v>
      </c>
      <c r="G43" s="1831">
        <f>F41</f>
        <v>394059</v>
      </c>
    </row>
    <row r="44" spans="1:7" ht="12" customHeight="1" x14ac:dyDescent="0.2">
      <c r="A44" s="988"/>
      <c r="B44" s="162"/>
      <c r="C44" s="1002"/>
      <c r="D44" s="1830" t="s">
        <v>494</v>
      </c>
      <c r="E44" s="1831">
        <f>E41</f>
        <v>4025041</v>
      </c>
      <c r="F44" s="1830" t="s">
        <v>494</v>
      </c>
      <c r="G44" s="1831">
        <f>G41</f>
        <v>3711832</v>
      </c>
    </row>
    <row r="45" spans="1:7" ht="12" customHeight="1" x14ac:dyDescent="0.2">
      <c r="A45" s="988"/>
      <c r="B45" s="162"/>
      <c r="C45" s="162"/>
      <c r="D45" s="1832" t="s">
        <v>1063</v>
      </c>
      <c r="E45" s="1833">
        <f>(E43/E44)</f>
        <v>2.0086751911346991E-2</v>
      </c>
      <c r="F45" s="1832" t="s">
        <v>1063</v>
      </c>
      <c r="G45" s="1833">
        <f>(G43/G44)</f>
        <v>0.10616294056412036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50"/>
    <pageSetUpPr fitToPage="1"/>
  </sheetPr>
  <dimension ref="A1:L97"/>
  <sheetViews>
    <sheetView showGridLines="0" zoomScale="110" zoomScaleNormal="110" workbookViewId="0">
      <pane ySplit="4" topLeftCell="A5" activePane="bottomLeft" state="frozen"/>
      <selection activeCell="A47" sqref="A47"/>
      <selection pane="bottomLeft" activeCell="E33" sqref="E33"/>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2046</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Griggsville-Perry Community Unit School District #4</v>
      </c>
      <c r="D6" s="2315"/>
      <c r="E6" s="2315"/>
      <c r="F6" s="1877"/>
    </row>
    <row r="7" spans="1:10" ht="11.25" customHeight="1" thickBot="1" x14ac:dyDescent="0.3">
      <c r="A7" s="1875"/>
      <c r="B7" s="1876"/>
      <c r="C7" s="2316">
        <f>COVER!A13</f>
        <v>7075004026</v>
      </c>
      <c r="D7" s="2316"/>
      <c r="E7" s="2316"/>
      <c r="F7" s="1877"/>
    </row>
    <row r="8" spans="1:10" ht="25.5" customHeight="1" thickBot="1" x14ac:dyDescent="0.25">
      <c r="A8" s="1918" t="s">
        <v>2023</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2077</v>
      </c>
      <c r="D26" s="1890" t="s">
        <v>2077</v>
      </c>
      <c r="E26" s="1893"/>
      <c r="F26" s="1892" t="s">
        <v>2103</v>
      </c>
      <c r="H26" s="1903">
        <f t="shared" si="0"/>
        <v>5</v>
      </c>
      <c r="I26" s="1903">
        <f t="shared" si="1"/>
        <v>5</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t="s">
        <v>2096</v>
      </c>
      <c r="D33" s="1890" t="s">
        <v>2096</v>
      </c>
      <c r="E33" s="1893"/>
      <c r="F33" s="1892" t="s">
        <v>2104</v>
      </c>
      <c r="H33" s="1903">
        <f t="shared" si="0"/>
        <v>5</v>
      </c>
      <c r="I33" s="1903">
        <f t="shared" si="1"/>
        <v>5</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Q40"/>
  <sheetViews>
    <sheetView showGridLines="0" defaultGridColor="0" colorId="8" zoomScale="110" zoomScaleNormal="110" workbookViewId="0">
      <selection activeCell="J20" sqref="J20"/>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Griggsville-Perry Community Unit School District #4</v>
      </c>
      <c r="J6" s="2336"/>
      <c r="Q6" s="1686"/>
    </row>
    <row r="7" spans="1:17" x14ac:dyDescent="0.2">
      <c r="A7" s="2337" t="s">
        <v>924</v>
      </c>
      <c r="B7" s="2338"/>
      <c r="C7" s="2338"/>
      <c r="D7" s="2338"/>
      <c r="E7" s="2339"/>
      <c r="F7" s="1018"/>
      <c r="G7" s="1010"/>
      <c r="H7" s="1017" t="s">
        <v>390</v>
      </c>
      <c r="I7" s="2340">
        <f>COVER!A13</f>
        <v>7075004026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161183</v>
      </c>
      <c r="F12" s="1040"/>
      <c r="G12" s="1834">
        <f t="shared" ref="G12:G18" si="0">SUM(E12:F12)</f>
        <v>161183</v>
      </c>
      <c r="H12" s="1041"/>
      <c r="I12" s="1040"/>
      <c r="J12" s="1834">
        <f t="shared" ref="J12:J18" si="1">SUM(H12:I12)</f>
        <v>0</v>
      </c>
    </row>
    <row r="13" spans="1:17" ht="15" customHeight="1" x14ac:dyDescent="0.2">
      <c r="A13" s="1036">
        <v>2</v>
      </c>
      <c r="B13" s="1037" t="s">
        <v>44</v>
      </c>
      <c r="C13" s="1038"/>
      <c r="D13" s="1039">
        <v>2330</v>
      </c>
      <c r="E13" s="1834">
        <f>'Expenditures 15-22'!K51</f>
        <v>1990</v>
      </c>
      <c r="F13" s="1040"/>
      <c r="G13" s="1834">
        <f t="shared" si="0"/>
        <v>1990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163173</v>
      </c>
      <c r="F19" s="1836">
        <f t="shared" si="2"/>
        <v>0</v>
      </c>
      <c r="G19" s="1836">
        <f t="shared" si="2"/>
        <v>163173</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50"/>
  </sheetPr>
  <dimension ref="A2:B65"/>
  <sheetViews>
    <sheetView showGridLines="0" zoomScale="110" zoomScaleNormal="110" workbookViewId="0">
      <selection activeCell="D8" sqref="D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2106</v>
      </c>
    </row>
    <row r="6" spans="1:2" x14ac:dyDescent="0.2">
      <c r="A6" s="1069">
        <v>2</v>
      </c>
      <c r="B6" s="329" t="s">
        <v>2105</v>
      </c>
    </row>
    <row r="7" spans="1:2" x14ac:dyDescent="0.2">
      <c r="A7" s="1069">
        <v>3</v>
      </c>
      <c r="B7" s="329" t="s">
        <v>2107</v>
      </c>
    </row>
    <row r="8" spans="1:2" x14ac:dyDescent="0.2">
      <c r="A8" s="1069">
        <v>4</v>
      </c>
      <c r="B8" s="329" t="s">
        <v>2108</v>
      </c>
    </row>
    <row r="9" spans="1:2" x14ac:dyDescent="0.2">
      <c r="A9" s="1070">
        <v>5</v>
      </c>
      <c r="B9" s="329" t="s">
        <v>2110</v>
      </c>
    </row>
    <row r="10" spans="1:2" x14ac:dyDescent="0.2">
      <c r="A10" s="1070">
        <v>6</v>
      </c>
      <c r="B10" s="329" t="s">
        <v>2109</v>
      </c>
    </row>
    <row r="11" spans="1:2" x14ac:dyDescent="0.2">
      <c r="A11" s="1070">
        <v>7</v>
      </c>
      <c r="B11" s="329" t="s">
        <v>2111</v>
      </c>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Griggsville-Perry Community Unit School District #4</v>
      </c>
    </row>
    <row r="65" spans="2:2" x14ac:dyDescent="0.2">
      <c r="B65" s="1071">
        <f>COVER!A13</f>
        <v>7075004026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84"/>
  <sheetViews>
    <sheetView showGridLines="0" topLeftCell="A31"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9</xdr:row>
                <xdr:rowOff>161925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3239891</v>
      </c>
      <c r="C8" s="1838">
        <f>'Acct Summary 7-8'!D8</f>
        <v>292562</v>
      </c>
      <c r="D8" s="1838">
        <f>'Acct Summary 7-8'!F8</f>
        <v>447484</v>
      </c>
      <c r="E8" s="1838">
        <f>'Acct Summary 7-8'!I8</f>
        <v>19316</v>
      </c>
      <c r="F8" s="1838">
        <f>SUM(B8:E8)</f>
        <v>3999253</v>
      </c>
    </row>
    <row r="9" spans="1:8" s="1080" customFormat="1" ht="14.25" customHeight="1" thickBot="1" x14ac:dyDescent="0.25">
      <c r="A9" s="1079" t="s">
        <v>1436</v>
      </c>
      <c r="B9" s="1839">
        <f>'Acct Summary 7-8'!C17</f>
        <v>3169538</v>
      </c>
      <c r="C9" s="1839">
        <f>'Acct Summary 7-8'!D17</f>
        <v>292421</v>
      </c>
      <c r="D9" s="1839">
        <f>'Acct Summary 7-8'!F17</f>
        <v>457533</v>
      </c>
      <c r="E9" s="1838"/>
      <c r="F9" s="1838">
        <f>SUM(B9:E9)</f>
        <v>3919492</v>
      </c>
    </row>
    <row r="10" spans="1:8" s="1080" customFormat="1" ht="14.25" thickTop="1" thickBot="1" x14ac:dyDescent="0.25">
      <c r="A10" s="1081" t="s">
        <v>1437</v>
      </c>
      <c r="B10" s="1840">
        <f>(B8-B9)</f>
        <v>70353</v>
      </c>
      <c r="C10" s="1840">
        <f>(C8-C9)</f>
        <v>141</v>
      </c>
      <c r="D10" s="1840">
        <f>(D8-D9)</f>
        <v>-10049</v>
      </c>
      <c r="E10" s="1839">
        <f>(E8-E9)</f>
        <v>19316</v>
      </c>
      <c r="F10" s="1841">
        <f>SUM(F8-F9)</f>
        <v>79761</v>
      </c>
    </row>
    <row r="11" spans="1:8" s="1080" customFormat="1" ht="14.25" thickTop="1" thickBot="1" x14ac:dyDescent="0.25">
      <c r="A11" s="1082" t="s">
        <v>1785</v>
      </c>
      <c r="B11" s="1842">
        <f>'Acct Summary 7-8'!C81</f>
        <v>506950</v>
      </c>
      <c r="C11" s="1842">
        <f>'Acct Summary 7-8'!D81</f>
        <v>110955</v>
      </c>
      <c r="D11" s="1842">
        <f>'Acct Summary 7-8'!F81</f>
        <v>317823</v>
      </c>
      <c r="E11" s="1842">
        <f>'Acct Summary 7-8'!I81</f>
        <v>2405</v>
      </c>
      <c r="F11" s="1843">
        <f>SUM(B11:E11)</f>
        <v>938133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3" colorId="8" zoomScale="110" zoomScaleNormal="110" workbookViewId="0">
      <selection activeCell="D82" sqref="D82"/>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7075004026</v>
      </c>
    </row>
    <row r="3" spans="1:2" x14ac:dyDescent="0.2">
      <c r="A3" t="s">
        <v>1013</v>
      </c>
      <c r="B3" s="138" t="str">
        <f>COVER!A15</f>
        <v>Pike, Adams</v>
      </c>
    </row>
    <row r="4" spans="1:2" x14ac:dyDescent="0.2">
      <c r="A4" t="s">
        <v>1064</v>
      </c>
      <c r="B4" s="138" t="str">
        <f>COVER!A17</f>
        <v>Griggsville-Perry Community Unit School District #4</v>
      </c>
    </row>
    <row r="5" spans="1:2" x14ac:dyDescent="0.2">
      <c r="A5" t="s">
        <v>728</v>
      </c>
      <c r="B5" s="138" t="str">
        <f>COVER!A38</f>
        <v>Kent Hawley</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066-004993</v>
      </c>
    </row>
    <row r="16" spans="1:2" x14ac:dyDescent="0.2">
      <c r="A16" t="s">
        <v>442</v>
      </c>
      <c r="B16" s="138" t="str">
        <f>COVER!T13</f>
        <v>Zumbahlen, Eyth, Surratt, Foote &amp; Flynn, Ltd</v>
      </c>
    </row>
    <row r="17" spans="1:2" x14ac:dyDescent="0.2">
      <c r="A17" t="s">
        <v>939</v>
      </c>
      <c r="B17" s="138" t="str">
        <f>COVER!T15</f>
        <v>Suzanne Steckel</v>
      </c>
    </row>
    <row r="18" spans="1:2" x14ac:dyDescent="0.2">
      <c r="A18" t="s">
        <v>1212</v>
      </c>
      <c r="B18" s="138" t="str">
        <f>COVER!T17</f>
        <v>1395 Lincoln Ave</v>
      </c>
    </row>
    <row r="19" spans="1:2" x14ac:dyDescent="0.2">
      <c r="A19" t="s">
        <v>941</v>
      </c>
      <c r="B19" s="138" t="str">
        <f>COVER!T25</f>
        <v>ssteckel@zescpa.com</v>
      </c>
    </row>
    <row r="20" spans="1:2" x14ac:dyDescent="0.2">
      <c r="A20" t="s">
        <v>942</v>
      </c>
      <c r="B20" s="138" t="str">
        <f>COVER!T19</f>
        <v>Jacksonville</v>
      </c>
    </row>
    <row r="21" spans="1:2" x14ac:dyDescent="0.2">
      <c r="A21" t="s">
        <v>500</v>
      </c>
      <c r="B21" s="138" t="str">
        <f>COVER!X19</f>
        <v>IL</v>
      </c>
    </row>
    <row r="22" spans="1:2" x14ac:dyDescent="0.2">
      <c r="A22" t="s">
        <v>943</v>
      </c>
      <c r="B22" s="138">
        <f>COVER!Z19</f>
        <v>62650</v>
      </c>
    </row>
    <row r="23" spans="1:2" x14ac:dyDescent="0.2">
      <c r="A23" t="s">
        <v>1214</v>
      </c>
      <c r="B23" s="138" t="str">
        <f>COVER!T21</f>
        <v>217-245-5121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506950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494212</v>
      </c>
      <c r="D92" s="2" t="str">
        <f t="shared" si="0"/>
        <v>Error?</v>
      </c>
    </row>
    <row r="93" spans="1:4" x14ac:dyDescent="0.2">
      <c r="A93" s="5">
        <v>32</v>
      </c>
      <c r="B93" s="138">
        <f>'Assets-Liab 5-6'!C41</f>
        <v>506950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110955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110955</v>
      </c>
      <c r="D123" s="2" t="str">
        <f t="shared" si="0"/>
        <v>Error?</v>
      </c>
    </row>
    <row r="124" spans="1:4" x14ac:dyDescent="0.2">
      <c r="A124" s="5">
        <v>63</v>
      </c>
      <c r="B124" s="138">
        <f>'Assets-Liab 5-6'!D41</f>
        <v>110955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1001268</v>
      </c>
      <c r="D129" s="2" t="str">
        <f t="shared" si="1"/>
        <v>Error?</v>
      </c>
    </row>
    <row r="130" spans="1:4" x14ac:dyDescent="0.2">
      <c r="A130" s="5">
        <v>69</v>
      </c>
      <c r="B130" s="138">
        <f>'Assets-Liab 5-6'!E12</f>
        <v>0</v>
      </c>
      <c r="D130" s="2" t="str">
        <f t="shared" si="1"/>
        <v>Error?</v>
      </c>
    </row>
    <row r="131" spans="1:4" x14ac:dyDescent="0.2">
      <c r="A131" s="5">
        <v>70</v>
      </c>
      <c r="B131" s="138">
        <f>'Assets-Liab 5-6'!E13</f>
        <v>1056968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1056968</v>
      </c>
      <c r="D140" s="2" t="str">
        <f t="shared" si="1"/>
        <v>Error?</v>
      </c>
    </row>
    <row r="141" spans="1:4" x14ac:dyDescent="0.2">
      <c r="A141" s="5">
        <v>80</v>
      </c>
      <c r="B141" s="138">
        <f>'Assets-Liab 5-6'!E41</f>
        <v>1056968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317823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317823</v>
      </c>
      <c r="D170" s="2" t="str">
        <f t="shared" si="1"/>
        <v>Error?</v>
      </c>
    </row>
    <row r="171" spans="1:4" x14ac:dyDescent="0.2">
      <c r="A171" s="5">
        <v>110</v>
      </c>
      <c r="B171" s="138">
        <f>'Assets-Liab 5-6'!F41</f>
        <v>317823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174973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118270</v>
      </c>
      <c r="D189" s="2" t="str">
        <f t="shared" si="1"/>
        <v>Error?</v>
      </c>
    </row>
    <row r="190" spans="1:4" x14ac:dyDescent="0.2">
      <c r="A190" s="5">
        <v>129</v>
      </c>
      <c r="B190" s="138">
        <f>'Assets-Liab 5-6'!G41</f>
        <v>174973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220464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220464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52535</v>
      </c>
      <c r="D273" s="2" t="str">
        <f t="shared" si="3"/>
        <v>Error?</v>
      </c>
    </row>
    <row r="274" spans="1:4" x14ac:dyDescent="0.2">
      <c r="A274" s="5">
        <v>213</v>
      </c>
      <c r="B274" s="138">
        <f>'Assets-Liab 5-6'!M17</f>
        <v>8783163</v>
      </c>
      <c r="D274" s="2" t="str">
        <f t="shared" si="3"/>
        <v>Error?</v>
      </c>
    </row>
    <row r="275" spans="1:4" x14ac:dyDescent="0.2">
      <c r="A275" s="5">
        <v>214</v>
      </c>
      <c r="B275" s="138">
        <f>'Assets-Liab 5-6'!M18</f>
        <v>0</v>
      </c>
      <c r="D275" s="2" t="str">
        <f t="shared" si="3"/>
        <v>Error?</v>
      </c>
    </row>
    <row r="276" spans="1:4" x14ac:dyDescent="0.2">
      <c r="A276" s="5">
        <v>215</v>
      </c>
      <c r="B276" s="138">
        <f>'Assets-Liab 5-6'!M19</f>
        <v>1103971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9939669</v>
      </c>
      <c r="C279" s="2" t="s">
        <v>594</v>
      </c>
      <c r="D279" s="2" t="str">
        <f t="shared" si="3"/>
        <v>Error?</v>
      </c>
    </row>
    <row r="280" spans="1:4" x14ac:dyDescent="0.2">
      <c r="A280" s="5">
        <v>219</v>
      </c>
      <c r="B280" s="138">
        <f>'Assets-Liab 5-6'!M40</f>
        <v>9939669</v>
      </c>
      <c r="D280" s="2" t="str">
        <f t="shared" si="3"/>
        <v>Error?</v>
      </c>
    </row>
    <row r="281" spans="1:4" x14ac:dyDescent="0.2">
      <c r="A281" s="5">
        <v>220</v>
      </c>
      <c r="B281" s="138">
        <f>'Assets-Liab 5-6'!M41</f>
        <v>9939669</v>
      </c>
      <c r="C281" s="2" t="s">
        <v>594</v>
      </c>
      <c r="D281" s="2" t="str">
        <f t="shared" si="3"/>
        <v>Error?</v>
      </c>
    </row>
    <row r="282" spans="1:4" x14ac:dyDescent="0.2">
      <c r="A282" s="5">
        <v>221</v>
      </c>
      <c r="B282" s="138">
        <f>'Assets-Liab 5-6'!N21</f>
        <v>1056968</v>
      </c>
      <c r="D282" s="2" t="str">
        <f t="shared" si="3"/>
        <v>Error?</v>
      </c>
    </row>
    <row r="283" spans="1:4" x14ac:dyDescent="0.2">
      <c r="A283" s="5">
        <v>222</v>
      </c>
      <c r="B283" s="138">
        <f>'Assets-Liab 5-6'!N22</f>
        <v>3275232</v>
      </c>
      <c r="D283" s="2" t="str">
        <f t="shared" si="3"/>
        <v>Error?</v>
      </c>
    </row>
    <row r="284" spans="1:4" x14ac:dyDescent="0.2">
      <c r="A284" s="5">
        <v>223</v>
      </c>
      <c r="B284" s="138">
        <f>'Assets-Liab 5-6'!N23</f>
        <v>4332200</v>
      </c>
      <c r="C284" s="2" t="s">
        <v>594</v>
      </c>
      <c r="D284" s="2" t="str">
        <f t="shared" si="3"/>
        <v>Error?</v>
      </c>
    </row>
    <row r="285" spans="1:4" x14ac:dyDescent="0.2">
      <c r="A285" s="5">
        <v>224</v>
      </c>
      <c r="B285" s="138">
        <f>'Assets-Liab 5-6'!N36</f>
        <v>4332200</v>
      </c>
      <c r="D285" s="2" t="str">
        <f t="shared" si="3"/>
        <v>Error?</v>
      </c>
    </row>
    <row r="286" spans="1:4" x14ac:dyDescent="0.2">
      <c r="A286" s="10">
        <v>225</v>
      </c>
      <c r="D286" s="2" t="str">
        <f t="shared" si="3"/>
        <v>OK</v>
      </c>
    </row>
    <row r="287" spans="1:4" x14ac:dyDescent="0.2">
      <c r="A287" s="5">
        <v>226</v>
      </c>
      <c r="B287" s="138">
        <f>'Assets-Liab 5-6'!N37</f>
        <v>4332200</v>
      </c>
      <c r="C287" s="2" t="s">
        <v>594</v>
      </c>
      <c r="D287" s="2" t="str">
        <f t="shared" si="3"/>
        <v>Error?</v>
      </c>
    </row>
    <row r="288" spans="1:4" x14ac:dyDescent="0.2">
      <c r="A288" s="5">
        <v>227</v>
      </c>
      <c r="B288" s="138">
        <f>'Assets-Liab 5-6'!N41</f>
        <v>4332200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1053346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85941</v>
      </c>
      <c r="D717" s="2" t="str">
        <f t="shared" si="10"/>
        <v>Error?</v>
      </c>
    </row>
    <row r="718" spans="1:4" x14ac:dyDescent="0.2">
      <c r="A718" s="5">
        <v>657</v>
      </c>
      <c r="B718" s="138">
        <f>'Expenditures 15-22'!C14</f>
        <v>32385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1630561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35058</v>
      </c>
      <c r="D722" s="2" t="str">
        <f t="shared" si="10"/>
        <v>Error?</v>
      </c>
    </row>
    <row r="723" spans="1:4" x14ac:dyDescent="0.2">
      <c r="A723" s="5">
        <v>662</v>
      </c>
      <c r="B723" s="138">
        <f>'Expenditures 15-22'!C38</f>
        <v>6970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39695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81723</v>
      </c>
      <c r="C727" s="2" t="s">
        <v>594</v>
      </c>
      <c r="D727" s="2" t="str">
        <f t="shared" si="10"/>
        <v>Error?</v>
      </c>
    </row>
    <row r="728" spans="1:4" x14ac:dyDescent="0.2">
      <c r="A728" s="5">
        <v>667</v>
      </c>
      <c r="B728" s="138">
        <f>'Expenditures 15-22'!C44</f>
        <v>4064</v>
      </c>
      <c r="D728" s="2" t="str">
        <f t="shared" si="10"/>
        <v>Error?</v>
      </c>
    </row>
    <row r="729" spans="1:4" x14ac:dyDescent="0.2">
      <c r="A729" s="5">
        <v>668</v>
      </c>
      <c r="B729" s="138">
        <f>'Expenditures 15-22'!C45</f>
        <v>36569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40633</v>
      </c>
      <c r="C731" s="2" t="s">
        <v>594</v>
      </c>
      <c r="D731" s="2" t="str">
        <f t="shared" si="10"/>
        <v>Error?</v>
      </c>
    </row>
    <row r="732" spans="1:4" x14ac:dyDescent="0.2">
      <c r="A732" s="5">
        <v>671</v>
      </c>
      <c r="B732" s="138">
        <f>'Expenditures 15-22'!C49</f>
        <v>3148</v>
      </c>
      <c r="D732" s="2" t="str">
        <f t="shared" si="10"/>
        <v>Error?</v>
      </c>
    </row>
    <row r="733" spans="1:4" x14ac:dyDescent="0.2">
      <c r="A733" s="5">
        <v>672</v>
      </c>
      <c r="B733" s="138">
        <f>'Expenditures 15-22'!C50</f>
        <v>129942</v>
      </c>
      <c r="D733" s="2" t="str">
        <f t="shared" si="10"/>
        <v>Error?</v>
      </c>
    </row>
    <row r="734" spans="1:4" x14ac:dyDescent="0.2">
      <c r="A734" s="5">
        <v>673</v>
      </c>
      <c r="B734" s="138">
        <f>'Expenditures 15-22'!C53</f>
        <v>133090</v>
      </c>
      <c r="C734" s="2" t="s">
        <v>594</v>
      </c>
      <c r="D734" s="2" t="str">
        <f t="shared" si="10"/>
        <v>Error?</v>
      </c>
    </row>
    <row r="735" spans="1:4" x14ac:dyDescent="0.2">
      <c r="A735" s="5">
        <v>674</v>
      </c>
      <c r="B735" s="138">
        <f>'Expenditures 15-22'!C55</f>
        <v>132877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132877</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27414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54264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81678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470001</v>
      </c>
      <c r="C755" s="2" t="s">
        <v>594</v>
      </c>
      <c r="D755" s="2" t="str">
        <f t="shared" si="10"/>
        <v>Error?</v>
      </c>
    </row>
    <row r="756" spans="1:4" x14ac:dyDescent="0.2">
      <c r="A756" s="5">
        <v>695</v>
      </c>
      <c r="B756" s="138">
        <f>'Expenditures 15-22'!C75</f>
        <v>28282</v>
      </c>
      <c r="D756" s="2" t="str">
        <f t="shared" si="10"/>
        <v>Error?</v>
      </c>
    </row>
    <row r="757" spans="1:4" x14ac:dyDescent="0.2">
      <c r="A757" s="5">
        <v>696</v>
      </c>
      <c r="B757" s="138">
        <f>'Expenditures 15-22'!C114</f>
        <v>2128844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211214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17267</v>
      </c>
      <c r="D775" s="2" t="str">
        <f t="shared" si="11"/>
        <v>Error?</v>
      </c>
    </row>
    <row r="776" spans="1:4" x14ac:dyDescent="0.2">
      <c r="A776" s="5">
        <v>715</v>
      </c>
      <c r="B776" s="138">
        <f>'Expenditures 15-22'!D14</f>
        <v>323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302274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7321</v>
      </c>
      <c r="D780" s="2" t="str">
        <f t="shared" si="11"/>
        <v>Error?</v>
      </c>
    </row>
    <row r="781" spans="1:4" x14ac:dyDescent="0.2">
      <c r="A781" s="5">
        <v>720</v>
      </c>
      <c r="B781" s="138">
        <f>'Expenditures 15-22'!D38</f>
        <v>3683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7389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18393</v>
      </c>
      <c r="C785" s="2" t="s">
        <v>594</v>
      </c>
      <c r="D785" s="2" t="str">
        <f t="shared" si="11"/>
        <v>Error?</v>
      </c>
    </row>
    <row r="786" spans="1:4" x14ac:dyDescent="0.2">
      <c r="A786" s="5">
        <v>725</v>
      </c>
      <c r="B786" s="138">
        <f>'Expenditures 15-22'!D44</f>
        <v>3</v>
      </c>
      <c r="D786" s="2" t="str">
        <f t="shared" si="11"/>
        <v>Error?</v>
      </c>
    </row>
    <row r="787" spans="1:4" x14ac:dyDescent="0.2">
      <c r="A787" s="5">
        <v>726</v>
      </c>
      <c r="B787" s="138">
        <f>'Expenditures 15-22'!D45</f>
        <v>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24919</v>
      </c>
      <c r="D791" s="2" t="str">
        <f t="shared" si="11"/>
        <v>Error?</v>
      </c>
    </row>
    <row r="792" spans="1:4" x14ac:dyDescent="0.2">
      <c r="A792" s="5">
        <v>731</v>
      </c>
      <c r="B792" s="138">
        <f>'Expenditures 15-22'!D53</f>
        <v>24919</v>
      </c>
      <c r="C792" s="2" t="s">
        <v>594</v>
      </c>
      <c r="D792" s="2" t="str">
        <f t="shared" si="11"/>
        <v>Error?</v>
      </c>
    </row>
    <row r="793" spans="1:4" x14ac:dyDescent="0.2">
      <c r="A793" s="5">
        <v>732</v>
      </c>
      <c r="B793" s="138">
        <f>'Expenditures 15-22'!D55</f>
        <v>15864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15864</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4786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4877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64086</v>
      </c>
      <c r="C813" s="2" t="s">
        <v>594</v>
      </c>
      <c r="D813" s="2" t="str">
        <f t="shared" si="11"/>
        <v>Error?</v>
      </c>
    </row>
    <row r="814" spans="1:4" x14ac:dyDescent="0.2">
      <c r="A814" s="5">
        <v>753</v>
      </c>
      <c r="B814" s="138">
        <f>'Expenditures 15-22'!D75</f>
        <v>176</v>
      </c>
      <c r="D814" s="2" t="str">
        <f t="shared" si="11"/>
        <v>Error?</v>
      </c>
    </row>
    <row r="815" spans="1:4" x14ac:dyDescent="0.2">
      <c r="A815" s="5">
        <v>754</v>
      </c>
      <c r="B815" s="138">
        <f>'Expenditures 15-22'!D114</f>
        <v>366536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15797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12840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40555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1910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1156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3066</v>
      </c>
      <c r="C843" s="2" t="s">
        <v>594</v>
      </c>
      <c r="D843" s="2" t="str">
        <f t="shared" si="12"/>
        <v>Error?</v>
      </c>
    </row>
    <row r="844" spans="1:4" x14ac:dyDescent="0.2">
      <c r="A844" s="5">
        <v>783</v>
      </c>
      <c r="B844" s="138">
        <f>'Expenditures 15-22'!E44</f>
        <v>17376</v>
      </c>
      <c r="D844" s="2" t="str">
        <f t="shared" si="12"/>
        <v>Error?</v>
      </c>
    </row>
    <row r="845" spans="1:4" x14ac:dyDescent="0.2">
      <c r="A845" s="5">
        <v>784</v>
      </c>
      <c r="B845" s="138">
        <f>'Expenditures 15-22'!E45</f>
        <v>30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17406</v>
      </c>
      <c r="C847" s="2" t="s">
        <v>594</v>
      </c>
      <c r="D847" s="2" t="str">
        <f t="shared" si="12"/>
        <v>Error?</v>
      </c>
    </row>
    <row r="848" spans="1:4" x14ac:dyDescent="0.2">
      <c r="A848" s="5">
        <v>787</v>
      </c>
      <c r="B848" s="138">
        <f>'Expenditures 15-22'!E49</f>
        <v>44817</v>
      </c>
      <c r="D848" s="2" t="str">
        <f t="shared" si="12"/>
        <v>Error?</v>
      </c>
    </row>
    <row r="849" spans="1:4" x14ac:dyDescent="0.2">
      <c r="A849" s="5">
        <v>788</v>
      </c>
      <c r="B849" s="138">
        <f>'Expenditures 15-22'!E50</f>
        <v>3152</v>
      </c>
      <c r="D849" s="2" t="str">
        <f t="shared" si="12"/>
        <v>Error?</v>
      </c>
    </row>
    <row r="850" spans="1:4" x14ac:dyDescent="0.2">
      <c r="A850" s="5">
        <v>789</v>
      </c>
      <c r="B850" s="138">
        <f>'Expenditures 15-22'!E53</f>
        <v>49663</v>
      </c>
      <c r="C850" s="2" t="s">
        <v>594</v>
      </c>
      <c r="D850" s="2" t="str">
        <f t="shared" si="12"/>
        <v>Error?</v>
      </c>
    </row>
    <row r="851" spans="1:4" x14ac:dyDescent="0.2">
      <c r="A851" s="5">
        <v>790</v>
      </c>
      <c r="B851" s="138">
        <f>'Expenditures 15-22'!E55</f>
        <v>3165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3165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6757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4552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11309</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75</v>
      </c>
      <c r="D865" s="2" t="str">
        <f t="shared" si="12"/>
        <v>Error?</v>
      </c>
    </row>
    <row r="866" spans="1:4" x14ac:dyDescent="0.2">
      <c r="A866" s="10">
        <v>805</v>
      </c>
      <c r="D866" s="2" t="str">
        <f t="shared" si="12"/>
        <v>OK</v>
      </c>
    </row>
    <row r="867" spans="1:4" x14ac:dyDescent="0.2">
      <c r="A867" s="5">
        <v>806</v>
      </c>
      <c r="B867" s="138">
        <f>'Expenditures 15-22'!E71</f>
        <v>34953</v>
      </c>
      <c r="D867" s="2" t="str">
        <f t="shared" si="12"/>
        <v>Error?</v>
      </c>
    </row>
    <row r="868" spans="1:4" x14ac:dyDescent="0.2">
      <c r="A868" s="10">
        <v>807</v>
      </c>
      <c r="D868" s="2" t="str">
        <f t="shared" si="12"/>
        <v>OK</v>
      </c>
    </row>
    <row r="869" spans="1:4" x14ac:dyDescent="0.2">
      <c r="A869" s="5">
        <v>808</v>
      </c>
      <c r="B869" s="138">
        <f>'Expenditures 15-22'!E72</f>
        <v>35028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119637</v>
      </c>
      <c r="C871" s="2" t="s">
        <v>594</v>
      </c>
      <c r="D871" s="2" t="str">
        <f t="shared" si="12"/>
        <v>Error?</v>
      </c>
    </row>
    <row r="872" spans="1:4" x14ac:dyDescent="0.2">
      <c r="A872" s="5">
        <v>811</v>
      </c>
      <c r="B872" s="138">
        <f>'Expenditures 15-22'!E75</f>
        <v>753</v>
      </c>
      <c r="D872" s="2" t="str">
        <f t="shared" si="12"/>
        <v>Error?</v>
      </c>
    </row>
    <row r="873" spans="1:4" x14ac:dyDescent="0.2">
      <c r="A873" s="5">
        <v>812</v>
      </c>
      <c r="B873" s="138">
        <f>'Expenditures 15-22'!E114</f>
        <v>252477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49636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3913</v>
      </c>
      <c r="D891" s="2" t="str">
        <f t="shared" si="12"/>
        <v>Error?</v>
      </c>
    </row>
    <row r="892" spans="1:4" x14ac:dyDescent="0.2">
      <c r="A892" s="5">
        <v>831</v>
      </c>
      <c r="B892" s="138">
        <f>'Expenditures 15-22'!F14</f>
        <v>1387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98259</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335</v>
      </c>
      <c r="D896" s="2" t="str">
        <f t="shared" si="13"/>
        <v>Error?</v>
      </c>
    </row>
    <row r="897" spans="1:4" x14ac:dyDescent="0.2">
      <c r="A897" s="5">
        <v>836</v>
      </c>
      <c r="B897" s="138">
        <f>'Expenditures 15-22'!F38</f>
        <v>1192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100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1627</v>
      </c>
      <c r="C901" s="2" t="s">
        <v>594</v>
      </c>
      <c r="D901" s="2" t="str">
        <f t="shared" si="13"/>
        <v>Error?</v>
      </c>
    </row>
    <row r="902" spans="1:4" x14ac:dyDescent="0.2">
      <c r="A902" s="5">
        <v>841</v>
      </c>
      <c r="B902" s="138">
        <f>'Expenditures 15-22'!F44</f>
        <v>415</v>
      </c>
      <c r="D902" s="2" t="str">
        <f t="shared" si="13"/>
        <v>Error?</v>
      </c>
    </row>
    <row r="903" spans="1:4" x14ac:dyDescent="0.2">
      <c r="A903" s="5">
        <v>842</v>
      </c>
      <c r="B903" s="138">
        <f>'Expenditures 15-22'!F45</f>
        <v>627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1042</v>
      </c>
      <c r="C905" s="2" t="s">
        <v>594</v>
      </c>
      <c r="D905" s="2" t="str">
        <f t="shared" si="13"/>
        <v>Error?</v>
      </c>
    </row>
    <row r="906" spans="1:4" x14ac:dyDescent="0.2">
      <c r="A906" s="5">
        <v>845</v>
      </c>
      <c r="B906" s="138">
        <f>'Expenditures 15-22'!F49</f>
        <v>2980</v>
      </c>
      <c r="D906" s="2" t="str">
        <f t="shared" si="13"/>
        <v>Error?</v>
      </c>
    </row>
    <row r="907" spans="1:4" x14ac:dyDescent="0.2">
      <c r="A907" s="5">
        <v>846</v>
      </c>
      <c r="B907" s="138">
        <f>'Expenditures 15-22'!F50</f>
        <v>1759</v>
      </c>
      <c r="D907" s="2" t="str">
        <f t="shared" si="13"/>
        <v>Error?</v>
      </c>
    </row>
    <row r="908" spans="1:4" x14ac:dyDescent="0.2">
      <c r="A908" s="5">
        <v>847</v>
      </c>
      <c r="B908" s="138">
        <f>'Expenditures 15-22'!F53</f>
        <v>5035</v>
      </c>
      <c r="C908" s="2" t="s">
        <v>594</v>
      </c>
      <c r="D908" s="2" t="str">
        <f t="shared" si="13"/>
        <v>Error?</v>
      </c>
    </row>
    <row r="909" spans="1:4" x14ac:dyDescent="0.2">
      <c r="A909" s="5">
        <v>848</v>
      </c>
      <c r="B909" s="138">
        <f>'Expenditures 15-22'!F55</f>
        <v>2681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2681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2331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150706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153037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169</v>
      </c>
      <c r="D925" s="2" t="str">
        <f t="shared" si="13"/>
        <v>Error?</v>
      </c>
    </row>
    <row r="926" spans="1:4" x14ac:dyDescent="0.2">
      <c r="A926" s="10">
        <v>865</v>
      </c>
      <c r="D926" s="2" t="str">
        <f t="shared" si="13"/>
        <v>OK</v>
      </c>
    </row>
    <row r="927" spans="1:4" x14ac:dyDescent="0.2">
      <c r="A927" s="5">
        <v>866</v>
      </c>
      <c r="B927" s="138">
        <f>'Expenditures 15-22'!F72</f>
        <v>169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163591</v>
      </c>
      <c r="C929" s="2" t="s">
        <v>594</v>
      </c>
      <c r="D929" s="2" t="str">
        <f t="shared" si="13"/>
        <v>Error?</v>
      </c>
    </row>
    <row r="930" spans="1:4" x14ac:dyDescent="0.2">
      <c r="A930" s="5">
        <v>869</v>
      </c>
      <c r="B930" s="138">
        <f>'Expenditures 15-22'!F75</f>
        <v>642</v>
      </c>
      <c r="D930" s="2" t="str">
        <f t="shared" si="13"/>
        <v>Error?</v>
      </c>
    </row>
    <row r="931" spans="1:4" x14ac:dyDescent="0.2">
      <c r="A931" s="5">
        <v>870</v>
      </c>
      <c r="B931" s="138">
        <f>'Expenditures 15-22'!F114</f>
        <v>262492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24858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63822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575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575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64397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7286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7286</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1411</v>
      </c>
      <c r="D1023" s="2" t="str">
        <f t="shared" ref="D1023:D1086" si="15">IF(ISBLANK(B1023),"OK",IF(A1023-B1023=0,"OK","Error?"))</f>
        <v>Error?</v>
      </c>
    </row>
    <row r="1024" spans="1:4" x14ac:dyDescent="0.2">
      <c r="A1024" s="5">
        <v>963</v>
      </c>
      <c r="B1024" s="138">
        <f>'Expenditures 15-22'!H53</f>
        <v>1411</v>
      </c>
      <c r="C1024" s="2" t="s">
        <v>594</v>
      </c>
      <c r="D1024" s="2" t="str">
        <f t="shared" si="15"/>
        <v>Error?</v>
      </c>
    </row>
    <row r="1025" spans="1:4" x14ac:dyDescent="0.2">
      <c r="A1025" s="5">
        <v>964</v>
      </c>
      <c r="B1025" s="138">
        <f>'Expenditures 15-22'!H55</f>
        <v>665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665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2076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85430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94792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1354851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107121</v>
      </c>
      <c r="C1105" s="2" t="s">
        <v>594</v>
      </c>
      <c r="D1105" s="2" t="str">
        <f t="shared" si="16"/>
        <v>Error?</v>
      </c>
    </row>
    <row r="1106" spans="1:4" x14ac:dyDescent="0.2">
      <c r="A1106" s="5">
        <v>1045</v>
      </c>
      <c r="B1106" s="138">
        <f>'Expenditures 15-22'!K14</f>
        <v>54221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2142757</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42714</v>
      </c>
      <c r="C1110" s="2" t="s">
        <v>594</v>
      </c>
      <c r="D1110" s="2" t="str">
        <f t="shared" si="16"/>
        <v>Error?</v>
      </c>
    </row>
    <row r="1111" spans="1:4" x14ac:dyDescent="0.2">
      <c r="A1111" s="5">
        <v>1050</v>
      </c>
      <c r="B1111" s="138">
        <f>'Expenditures 15-22'!K38</f>
        <v>13755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48340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104809</v>
      </c>
      <c r="C1115" s="2" t="s">
        <v>594</v>
      </c>
      <c r="D1115" s="2" t="str">
        <f t="shared" si="16"/>
        <v>Error?</v>
      </c>
    </row>
    <row r="1116" spans="1:4" x14ac:dyDescent="0.2">
      <c r="A1116" s="5">
        <v>1055</v>
      </c>
      <c r="B1116" s="138">
        <f>'Expenditures 15-22'!K44</f>
        <v>21858</v>
      </c>
      <c r="C1116" s="2" t="s">
        <v>594</v>
      </c>
      <c r="D1116" s="2" t="str">
        <f t="shared" si="16"/>
        <v>Error?</v>
      </c>
    </row>
    <row r="1117" spans="1:4" x14ac:dyDescent="0.2">
      <c r="A1117" s="5">
        <v>1056</v>
      </c>
      <c r="B1117" s="138">
        <f>'Expenditures 15-22'!K45</f>
        <v>37256</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59114</v>
      </c>
      <c r="C1119" s="2" t="s">
        <v>594</v>
      </c>
      <c r="D1119" s="2" t="str">
        <f t="shared" si="16"/>
        <v>Error?</v>
      </c>
    </row>
    <row r="1120" spans="1:4" x14ac:dyDescent="0.2">
      <c r="A1120" s="5">
        <v>1059</v>
      </c>
      <c r="B1120" s="138">
        <f>'Expenditures 15-22'!K49</f>
        <v>50945</v>
      </c>
      <c r="C1120" s="2" t="s">
        <v>594</v>
      </c>
      <c r="D1120" s="2" t="str">
        <f t="shared" si="16"/>
        <v>Error?</v>
      </c>
    </row>
    <row r="1121" spans="1:4" x14ac:dyDescent="0.2">
      <c r="A1121" s="5">
        <v>1060</v>
      </c>
      <c r="B1121" s="138">
        <f>'Expenditures 15-22'!K50</f>
        <v>161183</v>
      </c>
      <c r="C1121" s="2" t="s">
        <v>594</v>
      </c>
      <c r="D1121" s="2" t="str">
        <f t="shared" si="16"/>
        <v>Error?</v>
      </c>
    </row>
    <row r="1122" spans="1:4" x14ac:dyDescent="0.2">
      <c r="A1122" s="5">
        <v>1061</v>
      </c>
      <c r="B1122" s="138">
        <f>'Expenditures 15-22'!K53</f>
        <v>214118</v>
      </c>
      <c r="C1122" s="2" t="s">
        <v>594</v>
      </c>
      <c r="D1122" s="2" t="str">
        <f t="shared" si="16"/>
        <v>Error?</v>
      </c>
    </row>
    <row r="1123" spans="1:4" x14ac:dyDescent="0.2">
      <c r="A1123" s="5">
        <v>1062</v>
      </c>
      <c r="B1123" s="138">
        <f>'Expenditures 15-22'!K55</f>
        <v>155252</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155252</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41288</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210188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251476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75</v>
      </c>
      <c r="C1137" s="2" t="s">
        <v>594</v>
      </c>
      <c r="D1137" s="2" t="str">
        <f t="shared" si="16"/>
        <v>Error?</v>
      </c>
    </row>
    <row r="1138" spans="1:4" x14ac:dyDescent="0.2">
      <c r="A1138" s="10">
        <v>1077</v>
      </c>
      <c r="D1138" s="2" t="str">
        <f t="shared" si="16"/>
        <v>OK</v>
      </c>
    </row>
    <row r="1139" spans="1:4" x14ac:dyDescent="0.2">
      <c r="A1139" s="5">
        <v>1078</v>
      </c>
      <c r="B1139" s="138">
        <f>'Expenditures 15-22'!K71</f>
        <v>35122</v>
      </c>
      <c r="C1139" s="2" t="s">
        <v>594</v>
      </c>
      <c r="D1139" s="2" t="str">
        <f t="shared" si="16"/>
        <v>Error?</v>
      </c>
    </row>
    <row r="1140" spans="1:4" x14ac:dyDescent="0.2">
      <c r="A1140" s="10">
        <v>1079</v>
      </c>
      <c r="D1140" s="2" t="str">
        <f t="shared" si="16"/>
        <v>OK</v>
      </c>
    </row>
    <row r="1141" spans="1:4" x14ac:dyDescent="0.2">
      <c r="A1141" s="5">
        <v>1080</v>
      </c>
      <c r="B1141" s="138">
        <f>'Expenditures 15-22'!K72</f>
        <v>35197</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819966</v>
      </c>
      <c r="C1143" s="2" t="s">
        <v>594</v>
      </c>
      <c r="D1143" s="2" t="str">
        <f t="shared" si="16"/>
        <v>Error?</v>
      </c>
    </row>
    <row r="1144" spans="1:4" x14ac:dyDescent="0.2">
      <c r="A1144" s="5">
        <v>1083</v>
      </c>
      <c r="B1144" s="138">
        <f>'Expenditures 15-22'!K75</f>
        <v>29853</v>
      </c>
      <c r="C1144" s="2" t="s">
        <v>594</v>
      </c>
      <c r="D1144" s="2" t="str">
        <f t="shared" si="16"/>
        <v>Error?</v>
      </c>
    </row>
    <row r="1145" spans="1:4" x14ac:dyDescent="0.2">
      <c r="A1145" s="5">
        <v>1084</v>
      </c>
      <c r="B1145" s="138">
        <f>'Expenditures 15-22'!K102</f>
        <v>176962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3169538</v>
      </c>
      <c r="C1152" s="2" t="s">
        <v>594</v>
      </c>
      <c r="D1152" s="2" t="str">
        <f t="shared" si="17"/>
        <v>Error?</v>
      </c>
    </row>
    <row r="1153" spans="1:4" x14ac:dyDescent="0.2">
      <c r="A1153" s="5">
        <v>1092</v>
      </c>
      <c r="B1153" s="138">
        <f>'Expenditures 15-22'!K115</f>
        <v>70353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130766</v>
      </c>
      <c r="D1221" s="2" t="str">
        <f t="shared" si="18"/>
        <v>Error?</v>
      </c>
    </row>
    <row r="1222" spans="1:4" x14ac:dyDescent="0.2">
      <c r="A1222" s="10">
        <v>1161</v>
      </c>
      <c r="D1222" s="2" t="str">
        <f t="shared" si="18"/>
        <v>OK</v>
      </c>
    </row>
    <row r="1223" spans="1:4" x14ac:dyDescent="0.2">
      <c r="A1223" s="5">
        <v>1162</v>
      </c>
      <c r="B1223" s="138">
        <f>'Expenditures 15-22'!C127</f>
        <v>130766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130766</v>
      </c>
      <c r="C1225" s="2" t="s">
        <v>594</v>
      </c>
      <c r="D1225" s="2" t="str">
        <f t="shared" si="18"/>
        <v>Error?</v>
      </c>
    </row>
    <row r="1226" spans="1:4" x14ac:dyDescent="0.2">
      <c r="A1226" s="5">
        <v>1165</v>
      </c>
      <c r="B1226" s="138">
        <f>'Expenditures 15-22'!C151</f>
        <v>130766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13380</v>
      </c>
      <c r="D1229" s="2" t="str">
        <f t="shared" si="18"/>
        <v>Error?</v>
      </c>
    </row>
    <row r="1230" spans="1:4" x14ac:dyDescent="0.2">
      <c r="A1230" s="10">
        <v>1169</v>
      </c>
      <c r="D1230" s="2" t="str">
        <f t="shared" si="18"/>
        <v>OK</v>
      </c>
    </row>
    <row r="1231" spans="1:4" x14ac:dyDescent="0.2">
      <c r="A1231" s="5">
        <v>1170</v>
      </c>
      <c r="B1231" s="138">
        <f>'Expenditures 15-22'!D127</f>
        <v>13380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13380</v>
      </c>
      <c r="C1233" s="2" t="s">
        <v>594</v>
      </c>
      <c r="D1233" s="2" t="str">
        <f t="shared" si="18"/>
        <v>Error?</v>
      </c>
    </row>
    <row r="1234" spans="1:4" x14ac:dyDescent="0.2">
      <c r="A1234" s="5">
        <v>1173</v>
      </c>
      <c r="B1234" s="138">
        <f>'Expenditures 15-22'!D151</f>
        <v>13380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27934</v>
      </c>
      <c r="D1237" s="2" t="str">
        <f t="shared" si="18"/>
        <v>Error?</v>
      </c>
    </row>
    <row r="1238" spans="1:4" x14ac:dyDescent="0.2">
      <c r="A1238" s="10">
        <v>1177</v>
      </c>
      <c r="D1238" s="2" t="str">
        <f t="shared" si="18"/>
        <v>OK</v>
      </c>
    </row>
    <row r="1239" spans="1:4" x14ac:dyDescent="0.2">
      <c r="A1239" s="5">
        <v>1178</v>
      </c>
      <c r="B1239" s="138">
        <f>'Expenditures 15-22'!E127</f>
        <v>27934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27934</v>
      </c>
      <c r="C1241" s="2" t="s">
        <v>594</v>
      </c>
      <c r="D1241" s="2" t="str">
        <f t="shared" si="18"/>
        <v>Error?</v>
      </c>
    </row>
    <row r="1242" spans="1:4" x14ac:dyDescent="0.2">
      <c r="A1242" s="5">
        <v>1181</v>
      </c>
      <c r="B1242" s="138">
        <f>'Expenditures 15-22'!E151</f>
        <v>27934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120341</v>
      </c>
      <c r="D1245" s="2" t="str">
        <f t="shared" si="18"/>
        <v>Error?</v>
      </c>
    </row>
    <row r="1246" spans="1:4" x14ac:dyDescent="0.2">
      <c r="A1246" s="10">
        <v>1185</v>
      </c>
      <c r="D1246" s="2" t="str">
        <f t="shared" si="18"/>
        <v>OK</v>
      </c>
    </row>
    <row r="1247" spans="1:4" x14ac:dyDescent="0.2">
      <c r="A1247" s="5">
        <v>1186</v>
      </c>
      <c r="B1247" s="138">
        <f>'Expenditures 15-22'!F127</f>
        <v>120341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120341</v>
      </c>
      <c r="C1249" s="2" t="s">
        <v>594</v>
      </c>
      <c r="D1249" s="2" t="str">
        <f t="shared" si="18"/>
        <v>Error?</v>
      </c>
    </row>
    <row r="1250" spans="1:4" x14ac:dyDescent="0.2">
      <c r="A1250" s="5">
        <v>1189</v>
      </c>
      <c r="B1250" s="138">
        <f>'Expenditures 15-22'!F151</f>
        <v>120341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292421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292421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292421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292421</v>
      </c>
      <c r="C1288" s="2" t="s">
        <v>594</v>
      </c>
      <c r="D1288" s="2" t="str">
        <f t="shared" si="19"/>
        <v>Error?</v>
      </c>
    </row>
    <row r="1289" spans="1:4" x14ac:dyDescent="0.2">
      <c r="A1289" s="5">
        <v>1228</v>
      </c>
      <c r="B1289" s="138">
        <f>'Expenditures 15-22'!K152</f>
        <v>141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132567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288600</v>
      </c>
      <c r="D1315" s="2" t="str">
        <f t="shared" si="19"/>
        <v>Error?</v>
      </c>
    </row>
    <row r="1316" spans="1:4" x14ac:dyDescent="0.2">
      <c r="A1316" s="5">
        <v>1255</v>
      </c>
      <c r="B1316" s="138">
        <f>'Expenditures 15-22'!H171</f>
        <v>530</v>
      </c>
      <c r="D1316" s="2" t="str">
        <f t="shared" si="19"/>
        <v>Error?</v>
      </c>
    </row>
    <row r="1317" spans="1:4" x14ac:dyDescent="0.2">
      <c r="A1317" s="5">
        <v>1256</v>
      </c>
      <c r="B1317" s="138">
        <f>'Expenditures 15-22'!H172</f>
        <v>421697</v>
      </c>
      <c r="C1317" s="2" t="s">
        <v>594</v>
      </c>
      <c r="D1317" s="2" t="str">
        <f t="shared" si="19"/>
        <v>Error?</v>
      </c>
    </row>
    <row r="1318" spans="1:4" x14ac:dyDescent="0.2">
      <c r="A1318" s="5">
        <v>1257</v>
      </c>
      <c r="B1318" s="138">
        <f>'Expenditures 15-22'!H174</f>
        <v>421697</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132567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288600</v>
      </c>
      <c r="C1329" s="2" t="s">
        <v>594</v>
      </c>
      <c r="D1329" s="2" t="str">
        <f t="shared" si="19"/>
        <v>Error?</v>
      </c>
    </row>
    <row r="1330" spans="1:4" x14ac:dyDescent="0.2">
      <c r="A1330" s="5">
        <v>1269</v>
      </c>
      <c r="B1330" s="138">
        <f>'Expenditures 15-22'!K171</f>
        <v>530</v>
      </c>
      <c r="C1330" s="2" t="s">
        <v>594</v>
      </c>
      <c r="D1330" s="2" t="str">
        <f t="shared" si="19"/>
        <v>Error?</v>
      </c>
    </row>
    <row r="1331" spans="1:4" x14ac:dyDescent="0.2">
      <c r="A1331" s="5">
        <v>1270</v>
      </c>
      <c r="B1331" s="138">
        <f>'Expenditures 15-22'!K172</f>
        <v>421697</v>
      </c>
      <c r="C1331" s="2" t="s">
        <v>594</v>
      </c>
      <c r="D1331" s="2" t="str">
        <f t="shared" si="19"/>
        <v>Error?</v>
      </c>
    </row>
    <row r="1332" spans="1:4" x14ac:dyDescent="0.2">
      <c r="A1332" s="5">
        <v>1271</v>
      </c>
      <c r="B1332" s="138">
        <f>'Expenditures 15-22'!K174</f>
        <v>421697</v>
      </c>
      <c r="C1332" s="2" t="s">
        <v>594</v>
      </c>
      <c r="D1332" s="2" t="str">
        <f t="shared" si="19"/>
        <v>Error?</v>
      </c>
    </row>
    <row r="1333" spans="1:4" x14ac:dyDescent="0.2">
      <c r="A1333" s="5">
        <v>1272</v>
      </c>
      <c r="B1333" s="138">
        <f>'Expenditures 15-22'!K175</f>
        <v>125267</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422145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422145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422145</v>
      </c>
      <c r="C1353" s="2" t="s">
        <v>594</v>
      </c>
      <c r="D1353" s="2" t="str">
        <f t="shared" si="20"/>
        <v>Error?</v>
      </c>
    </row>
    <row r="1354" spans="1:4" x14ac:dyDescent="0.2">
      <c r="A1354" s="5">
        <v>1293</v>
      </c>
      <c r="B1354" s="138">
        <f>'Expenditures 15-22'!F182</f>
        <v>35388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35388</v>
      </c>
      <c r="C1358" s="2" t="s">
        <v>594</v>
      </c>
      <c r="D1358" s="2" t="str">
        <f t="shared" si="20"/>
        <v>Error?</v>
      </c>
    </row>
    <row r="1359" spans="1:4" x14ac:dyDescent="0.2">
      <c r="A1359" s="5">
        <v>1298</v>
      </c>
      <c r="B1359" s="138">
        <f>'Expenditures 15-22'!F210</f>
        <v>35388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457533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457533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457533</v>
      </c>
      <c r="C1388" s="2" t="s">
        <v>594</v>
      </c>
      <c r="D1388" s="2" t="str">
        <f t="shared" si="20"/>
        <v>Error?</v>
      </c>
    </row>
    <row r="1389" spans="1:4" x14ac:dyDescent="0.2">
      <c r="A1389" s="5">
        <v>1328</v>
      </c>
      <c r="B1389" s="138">
        <f>'Expenditures 15-22'!K211</f>
        <v>-10049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1054</v>
      </c>
      <c r="D1407" s="2" t="str">
        <f t="shared" ref="D1407:D1470" si="21">IF(ISBLANK(B1407),"OK",IF(A1407-B1407=0,"OK","Error?"))</f>
        <v>Error?</v>
      </c>
    </row>
    <row r="1408" spans="1:4" x14ac:dyDescent="0.2">
      <c r="A1408" s="5">
        <v>1347</v>
      </c>
      <c r="B1408" s="138">
        <f>'Expenditures 15-22'!D223</f>
        <v>1296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49174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486</v>
      </c>
      <c r="D1412" s="2" t="str">
        <f t="shared" si="21"/>
        <v>Error?</v>
      </c>
    </row>
    <row r="1413" spans="1:4" x14ac:dyDescent="0.2">
      <c r="A1413" s="5">
        <v>1352</v>
      </c>
      <c r="B1413" s="138">
        <f>'Expenditures 15-22'!D234</f>
        <v>1128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412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2026</v>
      </c>
      <c r="C1417" s="2" t="s">
        <v>594</v>
      </c>
      <c r="D1417" s="2" t="str">
        <f t="shared" si="21"/>
        <v>Error?</v>
      </c>
    </row>
    <row r="1418" spans="1:4" x14ac:dyDescent="0.2">
      <c r="A1418" s="5">
        <v>1357</v>
      </c>
      <c r="B1418" s="138">
        <f>'Expenditures 15-22'!D240</f>
        <v>59</v>
      </c>
      <c r="D1418" s="2" t="str">
        <f t="shared" si="21"/>
        <v>Error?</v>
      </c>
    </row>
    <row r="1419" spans="1:4" x14ac:dyDescent="0.2">
      <c r="A1419" s="5">
        <v>1358</v>
      </c>
      <c r="B1419" s="138">
        <f>'Expenditures 15-22'!D241</f>
        <v>5874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5933</v>
      </c>
      <c r="C1421" s="2" t="s">
        <v>594</v>
      </c>
      <c r="D1421" s="2" t="str">
        <f t="shared" si="21"/>
        <v>Error?</v>
      </c>
    </row>
    <row r="1422" spans="1:4" x14ac:dyDescent="0.2">
      <c r="A1422" s="5">
        <v>1361</v>
      </c>
      <c r="B1422" s="138">
        <f>'Expenditures 15-22'!D245</f>
        <v>385</v>
      </c>
      <c r="D1422" s="2" t="str">
        <f t="shared" si="21"/>
        <v>Error?</v>
      </c>
    </row>
    <row r="1423" spans="1:4" x14ac:dyDescent="0.2">
      <c r="A1423" s="5">
        <v>1362</v>
      </c>
      <c r="B1423" s="138">
        <f>'Expenditures 15-22'!D246</f>
        <v>6513</v>
      </c>
      <c r="D1423" s="2" t="str">
        <f t="shared" si="21"/>
        <v>Error?</v>
      </c>
    </row>
    <row r="1424" spans="1:4" x14ac:dyDescent="0.2">
      <c r="A1424" s="5">
        <v>1363</v>
      </c>
      <c r="B1424" s="138">
        <f>'Expenditures 15-22'!D257</f>
        <v>25547</v>
      </c>
      <c r="C1424" s="2" t="s">
        <v>594</v>
      </c>
      <c r="D1424" s="2" t="str">
        <f t="shared" si="21"/>
        <v>Error?</v>
      </c>
    </row>
    <row r="1425" spans="1:4" x14ac:dyDescent="0.2">
      <c r="A1425" s="5">
        <v>1364</v>
      </c>
      <c r="B1425" s="138">
        <f>'Expenditures 15-22'!D259</f>
        <v>6289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6289</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4365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20788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8086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33239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73034</v>
      </c>
      <c r="C1446" s="2" t="s">
        <v>594</v>
      </c>
      <c r="D1446" s="2" t="str">
        <f t="shared" si="21"/>
        <v>Error?</v>
      </c>
    </row>
    <row r="1447" spans="1:4" x14ac:dyDescent="0.2">
      <c r="A1447" s="5">
        <v>1386</v>
      </c>
      <c r="B1447" s="138">
        <f>'Expenditures 15-22'!D280</f>
        <v>4589</v>
      </c>
      <c r="D1447" s="2" t="str">
        <f t="shared" si="21"/>
        <v>Error?</v>
      </c>
    </row>
    <row r="1448" spans="1:4" x14ac:dyDescent="0.2">
      <c r="A1448" s="5">
        <v>1387</v>
      </c>
      <c r="B1448" s="138">
        <f>'Expenditures 15-22'!D295</f>
        <v>126797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1054</v>
      </c>
      <c r="C1471" s="2" t="s">
        <v>594</v>
      </c>
      <c r="D1471" s="2" t="str">
        <f t="shared" ref="D1471:D1534" si="22">IF(ISBLANK(B1471),"OK",IF(A1471-B1471=0,"OK","Error?"))</f>
        <v>Error?</v>
      </c>
    </row>
    <row r="1472" spans="1:4" x14ac:dyDescent="0.2">
      <c r="A1472" s="5">
        <v>1411</v>
      </c>
      <c r="B1472" s="138">
        <f>'Expenditures 15-22'!K223</f>
        <v>1296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49174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486</v>
      </c>
      <c r="C1476" s="2" t="s">
        <v>594</v>
      </c>
      <c r="D1476" s="2" t="str">
        <f t="shared" si="22"/>
        <v>Error?</v>
      </c>
    </row>
    <row r="1477" spans="1:4" x14ac:dyDescent="0.2">
      <c r="A1477" s="5">
        <v>1416</v>
      </c>
      <c r="B1477" s="138">
        <f>'Expenditures 15-22'!K234</f>
        <v>1128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412</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2026</v>
      </c>
      <c r="C1481" s="2" t="s">
        <v>594</v>
      </c>
      <c r="D1481" s="2" t="str">
        <f t="shared" si="22"/>
        <v>Error?</v>
      </c>
    </row>
    <row r="1482" spans="1:4" x14ac:dyDescent="0.2">
      <c r="A1482" s="5">
        <v>1421</v>
      </c>
      <c r="B1482" s="138">
        <f>'Expenditures 15-22'!K240</f>
        <v>59</v>
      </c>
      <c r="C1482" s="2" t="s">
        <v>594</v>
      </c>
      <c r="D1482" s="2" t="str">
        <f t="shared" si="22"/>
        <v>Error?</v>
      </c>
    </row>
    <row r="1483" spans="1:4" x14ac:dyDescent="0.2">
      <c r="A1483" s="5">
        <v>1422</v>
      </c>
      <c r="B1483" s="138">
        <f>'Expenditures 15-22'!K241</f>
        <v>5874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5933</v>
      </c>
      <c r="C1485" s="2" t="s">
        <v>594</v>
      </c>
      <c r="D1485" s="2" t="str">
        <f t="shared" si="22"/>
        <v>Error?</v>
      </c>
    </row>
    <row r="1486" spans="1:4" x14ac:dyDescent="0.2">
      <c r="A1486" s="5">
        <v>1425</v>
      </c>
      <c r="B1486" s="138">
        <f>'Expenditures 15-22'!K245</f>
        <v>385</v>
      </c>
      <c r="C1486" s="2" t="s">
        <v>594</v>
      </c>
      <c r="D1486" s="2" t="str">
        <f t="shared" si="22"/>
        <v>Error?</v>
      </c>
    </row>
    <row r="1487" spans="1:4" x14ac:dyDescent="0.2">
      <c r="A1487" s="5">
        <v>1426</v>
      </c>
      <c r="B1487" s="138">
        <f>'Expenditures 15-22'!K246</f>
        <v>6513</v>
      </c>
      <c r="C1487" s="2" t="s">
        <v>594</v>
      </c>
      <c r="D1487" s="2" t="str">
        <f t="shared" si="22"/>
        <v>Error?</v>
      </c>
    </row>
    <row r="1488" spans="1:4" x14ac:dyDescent="0.2">
      <c r="A1488" s="5">
        <v>1427</v>
      </c>
      <c r="B1488" s="138">
        <f>'Expenditures 15-22'!K257</f>
        <v>25547</v>
      </c>
      <c r="C1488" s="2" t="s">
        <v>594</v>
      </c>
      <c r="D1488" s="2" t="str">
        <f t="shared" si="22"/>
        <v>Error?</v>
      </c>
    </row>
    <row r="1489" spans="1:4" x14ac:dyDescent="0.2">
      <c r="A1489" s="5">
        <v>1428</v>
      </c>
      <c r="B1489" s="138">
        <f>'Expenditures 15-22'!K259</f>
        <v>6289</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6289</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4365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20788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8086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33239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73034</v>
      </c>
      <c r="C1510" s="2" t="s">
        <v>594</v>
      </c>
      <c r="D1510" s="2" t="str">
        <f t="shared" si="22"/>
        <v>Error?</v>
      </c>
    </row>
    <row r="1511" spans="1:4" x14ac:dyDescent="0.2">
      <c r="A1511" s="5">
        <v>1450</v>
      </c>
      <c r="B1511" s="138">
        <f>'Expenditures 15-22'!K280</f>
        <v>4589</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126797</v>
      </c>
      <c r="C1517" s="2" t="s">
        <v>594</v>
      </c>
      <c r="D1517" s="2" t="str">
        <f t="shared" si="22"/>
        <v>Error?</v>
      </c>
    </row>
    <row r="1518" spans="1:4" x14ac:dyDescent="0.2">
      <c r="A1518" s="5">
        <v>1457</v>
      </c>
      <c r="B1518" s="138">
        <f>'Expenditures 15-22'!K296</f>
        <v>41083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117707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117707</v>
      </c>
      <c r="C1547" s="2" t="s">
        <v>594</v>
      </c>
      <c r="D1547" s="2" t="str">
        <f t="shared" si="23"/>
        <v>Error?</v>
      </c>
    </row>
    <row r="1548" spans="1:4" x14ac:dyDescent="0.2">
      <c r="A1548" s="5">
        <v>1487</v>
      </c>
      <c r="B1548" s="138">
        <f>'Expenditures 15-22'!G312</f>
        <v>117707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117707</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117707</v>
      </c>
      <c r="C1559" s="2" t="s">
        <v>594</v>
      </c>
      <c r="D1559" s="2" t="str">
        <f t="shared" si="23"/>
        <v>Error?</v>
      </c>
    </row>
    <row r="1560" spans="1:4" x14ac:dyDescent="0.2">
      <c r="A1560" s="5">
        <v>1499</v>
      </c>
      <c r="B1560" s="138">
        <f>'Expenditures 15-22'!K312</f>
        <v>117707</v>
      </c>
      <c r="C1560" s="2" t="s">
        <v>594</v>
      </c>
      <c r="D1560" s="2" t="str">
        <f t="shared" si="23"/>
        <v>Error?</v>
      </c>
    </row>
    <row r="1561" spans="1:4" x14ac:dyDescent="0.2">
      <c r="A1561" s="5">
        <v>1500</v>
      </c>
      <c r="B1561" s="138">
        <f>'Expenditures 15-22'!K313</f>
        <v>20862</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381597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506950</v>
      </c>
      <c r="C1630" s="2" t="s">
        <v>594</v>
      </c>
      <c r="D1630" s="2" t="str">
        <f t="shared" si="24"/>
        <v>Error?</v>
      </c>
    </row>
    <row r="1631" spans="1:4" x14ac:dyDescent="0.2">
      <c r="A1631" s="5">
        <v>1570</v>
      </c>
      <c r="B1631" s="138">
        <f>'Acct Summary 7-8'!D79</f>
        <v>110814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110955</v>
      </c>
      <c r="C1644" s="2" t="s">
        <v>594</v>
      </c>
      <c r="D1644" s="2" t="str">
        <f t="shared" si="24"/>
        <v>Error?</v>
      </c>
    </row>
    <row r="1645" spans="1:4" x14ac:dyDescent="0.2">
      <c r="A1645" s="5">
        <v>1584</v>
      </c>
      <c r="B1645" s="138">
        <f>'Acct Summary 7-8'!E79</f>
        <v>931701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1056968</v>
      </c>
      <c r="C1658" s="2" t="s">
        <v>594</v>
      </c>
      <c r="D1658" s="2" t="str">
        <f t="shared" si="24"/>
        <v>Error?</v>
      </c>
    </row>
    <row r="1659" spans="1:4" x14ac:dyDescent="0.2">
      <c r="A1659" s="5">
        <v>1598</v>
      </c>
      <c r="B1659" s="138">
        <f>'Acct Summary 7-8'!F79</f>
        <v>327872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317823</v>
      </c>
      <c r="C1672" s="2" t="s">
        <v>594</v>
      </c>
      <c r="D1672" s="2" t="str">
        <f t="shared" si="25"/>
        <v>Error?</v>
      </c>
    </row>
    <row r="1673" spans="1:4" x14ac:dyDescent="0.2">
      <c r="A1673" s="5">
        <v>1612</v>
      </c>
      <c r="B1673" s="138">
        <f>'Acct Summary 7-8'!G79</f>
        <v>133890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174973</v>
      </c>
      <c r="C1686" s="2" t="s">
        <v>594</v>
      </c>
      <c r="D1686" s="2" t="str">
        <f t="shared" si="25"/>
        <v>Error?</v>
      </c>
    </row>
    <row r="1687" spans="1:4" x14ac:dyDescent="0.2">
      <c r="A1687" s="5">
        <v>1626</v>
      </c>
      <c r="B1687" s="138">
        <f>'Acct Summary 7-8'!H79</f>
        <v>199602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220464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710087</v>
      </c>
      <c r="C1744" s="2" t="s">
        <v>594</v>
      </c>
      <c r="D1744" s="2" t="str">
        <f t="shared" si="26"/>
        <v>Error?</v>
      </c>
    </row>
    <row r="1745" spans="1:5" x14ac:dyDescent="0.2">
      <c r="A1745" s="5">
        <v>1684</v>
      </c>
      <c r="B1745" s="138">
        <f>'Tax Sched 23'!B5</f>
        <v>223600</v>
      </c>
      <c r="C1745" s="2" t="s">
        <v>594</v>
      </c>
      <c r="D1745" s="2" t="str">
        <f t="shared" si="26"/>
        <v>Error?</v>
      </c>
    </row>
    <row r="1746" spans="1:5" x14ac:dyDescent="0.2">
      <c r="A1746" s="5">
        <v>1685</v>
      </c>
      <c r="B1746" s="138">
        <f>'Tax Sched 23'!B6</f>
        <v>482098</v>
      </c>
      <c r="C1746" s="2" t="s">
        <v>594</v>
      </c>
      <c r="D1746" s="2" t="str">
        <f t="shared" si="26"/>
        <v>Error?</v>
      </c>
    </row>
    <row r="1747" spans="1:5" x14ac:dyDescent="0.2">
      <c r="A1747" s="5">
        <v>1686</v>
      </c>
      <c r="B1747" s="138">
        <f>'Tax Sched 23'!B7</f>
        <v>77773</v>
      </c>
      <c r="C1747" s="2" t="s">
        <v>594</v>
      </c>
      <c r="D1747" s="2" t="str">
        <f t="shared" si="26"/>
        <v>Error?</v>
      </c>
    </row>
    <row r="1748" spans="1:5" x14ac:dyDescent="0.2">
      <c r="A1748" s="5">
        <v>1687</v>
      </c>
      <c r="B1748" s="138">
        <f>'Tax Sched 23'!B8</f>
        <v>81440</v>
      </c>
      <c r="C1748" s="2" t="s">
        <v>594</v>
      </c>
      <c r="D1748" s="2" t="str">
        <f t="shared" si="26"/>
        <v>Error?</v>
      </c>
    </row>
    <row r="1749" spans="1:5" x14ac:dyDescent="0.2">
      <c r="A1749" s="5">
        <v>1688</v>
      </c>
      <c r="B1749" s="138">
        <f>'Tax Sched 23'!B10</f>
        <v>19316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501544</v>
      </c>
      <c r="C1752" s="2" t="s">
        <v>594</v>
      </c>
      <c r="D1752" s="2" t="str">
        <f t="shared" si="26"/>
        <v>Error?</v>
      </c>
    </row>
    <row r="1753" spans="1:5" x14ac:dyDescent="0.2">
      <c r="A1753" s="5">
        <v>1692</v>
      </c>
      <c r="B1753" s="138">
        <f>'Tax Sched 23'!B12</f>
        <v>19443</v>
      </c>
      <c r="C1753" s="2" t="s">
        <v>594</v>
      </c>
      <c r="D1753" s="2" t="str">
        <f t="shared" si="26"/>
        <v>Error?</v>
      </c>
    </row>
    <row r="1754" spans="1:5" x14ac:dyDescent="0.2">
      <c r="A1754" s="5">
        <v>1693</v>
      </c>
      <c r="B1754" s="138">
        <f>'Tax Sched 23'!B14</f>
        <v>15554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2231564</v>
      </c>
      <c r="C1759" s="2" t="s">
        <v>594</v>
      </c>
      <c r="D1759" s="2" t="str">
        <f t="shared" si="26"/>
        <v>Error?</v>
      </c>
    </row>
    <row r="1760" spans="1:5" x14ac:dyDescent="0.2">
      <c r="A1760" s="5">
        <v>1699</v>
      </c>
      <c r="B1760" s="138">
        <f>'Tax Sched 23'!D4</f>
        <v>710087</v>
      </c>
      <c r="C1760" s="2" t="s">
        <v>594</v>
      </c>
      <c r="D1760" s="2" t="str">
        <f t="shared" si="26"/>
        <v>Error?</v>
      </c>
    </row>
    <row r="1761" spans="1:5" x14ac:dyDescent="0.2">
      <c r="A1761" s="5">
        <v>1700</v>
      </c>
      <c r="B1761" s="138">
        <f>'Tax Sched 23'!D5</f>
        <v>223600</v>
      </c>
      <c r="C1761" s="2" t="s">
        <v>594</v>
      </c>
      <c r="D1761" s="2" t="str">
        <f t="shared" si="26"/>
        <v>Error?</v>
      </c>
    </row>
    <row r="1762" spans="1:5" s="8" customFormat="1" x14ac:dyDescent="0.2">
      <c r="A1762" s="5">
        <v>1701</v>
      </c>
      <c r="B1762" s="138">
        <f>'Tax Sched 23'!D6</f>
        <v>482098</v>
      </c>
      <c r="C1762" s="2" t="s">
        <v>594</v>
      </c>
      <c r="D1762" s="2" t="str">
        <f t="shared" si="26"/>
        <v>Error?</v>
      </c>
      <c r="E1762" s="9"/>
    </row>
    <row r="1763" spans="1:5" x14ac:dyDescent="0.2">
      <c r="A1763" s="5">
        <v>1702</v>
      </c>
      <c r="B1763" s="138">
        <f>'Tax Sched 23'!D7</f>
        <v>77773</v>
      </c>
      <c r="C1763" s="2" t="s">
        <v>594</v>
      </c>
      <c r="D1763" s="2" t="str">
        <f t="shared" si="26"/>
        <v>Error?</v>
      </c>
    </row>
    <row r="1764" spans="1:5" x14ac:dyDescent="0.2">
      <c r="A1764" s="5">
        <v>1703</v>
      </c>
      <c r="B1764" s="138">
        <f>'Tax Sched 23'!D8</f>
        <v>81440</v>
      </c>
      <c r="C1764" s="2" t="s">
        <v>594</v>
      </c>
      <c r="D1764" s="2" t="str">
        <f t="shared" si="26"/>
        <v>Error?</v>
      </c>
    </row>
    <row r="1765" spans="1:5" x14ac:dyDescent="0.2">
      <c r="A1765" s="5">
        <v>1704</v>
      </c>
      <c r="B1765" s="138">
        <f>'Tax Sched 23'!D10</f>
        <v>19316</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501544</v>
      </c>
      <c r="C1768" s="2" t="s">
        <v>594</v>
      </c>
      <c r="D1768" s="2" t="str">
        <f t="shared" si="26"/>
        <v>Error?</v>
      </c>
    </row>
    <row r="1769" spans="1:5" x14ac:dyDescent="0.2">
      <c r="A1769" s="5">
        <v>1708</v>
      </c>
      <c r="B1769" s="138">
        <f>'Tax Sched 23'!D12</f>
        <v>19443</v>
      </c>
      <c r="C1769" s="2" t="s">
        <v>594</v>
      </c>
      <c r="D1769" s="2" t="str">
        <f t="shared" si="26"/>
        <v>Error?</v>
      </c>
    </row>
    <row r="1770" spans="1:5" x14ac:dyDescent="0.2">
      <c r="A1770" s="5">
        <v>1709</v>
      </c>
      <c r="B1770" s="138">
        <f>'Tax Sched 23'!D14</f>
        <v>15554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2231564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765000</v>
      </c>
      <c r="C1792" s="2" t="s">
        <v>594</v>
      </c>
      <c r="D1792" s="2" t="str">
        <f t="shared" si="27"/>
        <v>Error?</v>
      </c>
    </row>
    <row r="1793" spans="1:4" x14ac:dyDescent="0.2">
      <c r="A1793" s="5">
        <v>1732</v>
      </c>
      <c r="B1793" s="138">
        <f>'Tax Sched 23'!F5</f>
        <v>240000</v>
      </c>
      <c r="C1793" s="2" t="s">
        <v>594</v>
      </c>
      <c r="D1793" s="2" t="str">
        <f t="shared" si="27"/>
        <v>Error?</v>
      </c>
    </row>
    <row r="1794" spans="1:4" x14ac:dyDescent="0.2">
      <c r="A1794" s="5">
        <v>1733</v>
      </c>
      <c r="B1794" s="138">
        <f>'Tax Sched 23'!F6</f>
        <v>339973</v>
      </c>
      <c r="C1794" s="2" t="s">
        <v>594</v>
      </c>
      <c r="D1794" s="2" t="str">
        <f t="shared" si="27"/>
        <v>Error?</v>
      </c>
    </row>
    <row r="1795" spans="1:4" x14ac:dyDescent="0.2">
      <c r="A1795" s="5">
        <v>1734</v>
      </c>
      <c r="B1795" s="138">
        <f>'Tax Sched 23'!F7</f>
        <v>88500</v>
      </c>
      <c r="C1795" s="2" t="s">
        <v>594</v>
      </c>
      <c r="D1795" s="2" t="str">
        <f t="shared" si="27"/>
        <v>Error?</v>
      </c>
    </row>
    <row r="1796" spans="1:4" x14ac:dyDescent="0.2">
      <c r="A1796" s="5">
        <v>1735</v>
      </c>
      <c r="B1796" s="138">
        <f>'Tax Sched 23'!F8</f>
        <v>68500</v>
      </c>
      <c r="C1796" s="2" t="s">
        <v>594</v>
      </c>
      <c r="D1796" s="2" t="str">
        <f t="shared" si="27"/>
        <v>Error?</v>
      </c>
    </row>
    <row r="1797" spans="1:4" x14ac:dyDescent="0.2">
      <c r="A1797" s="5">
        <v>1736</v>
      </c>
      <c r="B1797" s="138">
        <f>'Tax Sched 23'!F10</f>
        <v>20580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515000</v>
      </c>
      <c r="C1800" s="2" t="s">
        <v>594</v>
      </c>
      <c r="D1800" s="2" t="str">
        <f t="shared" si="27"/>
        <v>Error?</v>
      </c>
    </row>
    <row r="1801" spans="1:4" x14ac:dyDescent="0.2">
      <c r="A1801" s="5">
        <v>1740</v>
      </c>
      <c r="B1801" s="138">
        <f>'Tax Sched 23'!F12</f>
        <v>20580</v>
      </c>
      <c r="C1801" s="2" t="s">
        <v>594</v>
      </c>
      <c r="D1801" s="2" t="str">
        <f t="shared" si="27"/>
        <v>Error?</v>
      </c>
    </row>
    <row r="1802" spans="1:4" x14ac:dyDescent="0.2">
      <c r="A1802" s="5">
        <v>1741</v>
      </c>
      <c r="B1802" s="138">
        <f>'Tax Sched 23'!F14</f>
        <v>17000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2164213</v>
      </c>
      <c r="C1807" s="2" t="s">
        <v>594</v>
      </c>
      <c r="D1807" s="2" t="str">
        <f t="shared" si="27"/>
        <v>Error?</v>
      </c>
    </row>
    <row r="1808" spans="1:4" x14ac:dyDescent="0.2">
      <c r="A1808" s="5">
        <v>1747</v>
      </c>
      <c r="B1808" s="138">
        <f>'Tax Sched 23'!E4</f>
        <v>765000</v>
      </c>
      <c r="D1808" s="2" t="str">
        <f t="shared" si="27"/>
        <v>Error?</v>
      </c>
    </row>
    <row r="1809" spans="1:4" x14ac:dyDescent="0.2">
      <c r="A1809" s="5">
        <v>1748</v>
      </c>
      <c r="B1809" s="138">
        <f>'Tax Sched 23'!E5</f>
        <v>240000</v>
      </c>
      <c r="D1809" s="2" t="str">
        <f t="shared" si="27"/>
        <v>Error?</v>
      </c>
    </row>
    <row r="1810" spans="1:4" x14ac:dyDescent="0.2">
      <c r="A1810" s="5">
        <v>1749</v>
      </c>
      <c r="B1810" s="138">
        <f>'Tax Sched 23'!E6</f>
        <v>339973</v>
      </c>
      <c r="D1810" s="2" t="str">
        <f t="shared" si="27"/>
        <v>Error?</v>
      </c>
    </row>
    <row r="1811" spans="1:4" x14ac:dyDescent="0.2">
      <c r="A1811" s="5">
        <v>1750</v>
      </c>
      <c r="B1811" s="138">
        <f>'Tax Sched 23'!E7</f>
        <v>88500</v>
      </c>
      <c r="D1811" s="2" t="str">
        <f t="shared" si="27"/>
        <v>Error?</v>
      </c>
    </row>
    <row r="1812" spans="1:4" x14ac:dyDescent="0.2">
      <c r="A1812" s="5">
        <v>1751</v>
      </c>
      <c r="B1812" s="138">
        <f>'Tax Sched 23'!E8</f>
        <v>68500</v>
      </c>
      <c r="D1812" s="2" t="str">
        <f t="shared" si="27"/>
        <v>Error?</v>
      </c>
    </row>
    <row r="1813" spans="1:4" x14ac:dyDescent="0.2">
      <c r="A1813" s="5">
        <v>1752</v>
      </c>
      <c r="B1813" s="138">
        <f>'Tax Sched 23'!E10</f>
        <v>20580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515000</v>
      </c>
      <c r="D1816" s="2" t="str">
        <f t="shared" si="27"/>
        <v>Error?</v>
      </c>
    </row>
    <row r="1817" spans="1:4" x14ac:dyDescent="0.2">
      <c r="A1817" s="5">
        <v>1756</v>
      </c>
      <c r="B1817" s="138">
        <f>'Tax Sched 23'!E12</f>
        <v>20580</v>
      </c>
      <c r="D1817" s="2" t="str">
        <f t="shared" si="27"/>
        <v>Error?</v>
      </c>
    </row>
    <row r="1818" spans="1:4" x14ac:dyDescent="0.2">
      <c r="A1818" s="5">
        <v>1757</v>
      </c>
      <c r="B1818" s="138">
        <f>'Tax Sched 23'!E14</f>
        <v>17000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2164213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4620800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15554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15554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15554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19253</v>
      </c>
      <c r="D2008" s="2" t="str">
        <f t="shared" si="30"/>
        <v>Error?</v>
      </c>
    </row>
    <row r="2009" spans="1:4" x14ac:dyDescent="0.2">
      <c r="A2009" s="5">
        <v>1948</v>
      </c>
      <c r="B2009" s="138">
        <f>'Cap Outlay Deprec 26'!C8</f>
        <v>8665456</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1039574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9757565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117707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64397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182104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19253</v>
      </c>
      <c r="C2026" s="2" t="s">
        <v>594</v>
      </c>
      <c r="D2026" s="2" t="str">
        <f t="shared" si="30"/>
        <v>Error?</v>
      </c>
    </row>
    <row r="2027" spans="1:4" x14ac:dyDescent="0.2">
      <c r="A2027" s="5">
        <v>1966</v>
      </c>
      <c r="B2027" s="138">
        <f>'Cap Outlay Deprec 26'!F8</f>
        <v>8783163</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1103971</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9939669</v>
      </c>
      <c r="C2031" s="2" t="s">
        <v>594</v>
      </c>
      <c r="D2031" s="2" t="str">
        <f t="shared" si="30"/>
        <v>Error?</v>
      </c>
    </row>
    <row r="2032" spans="1:4" x14ac:dyDescent="0.2">
      <c r="A2032" s="10">
        <v>1971</v>
      </c>
      <c r="D2032" s="2" t="str">
        <f t="shared" si="30"/>
        <v>OK</v>
      </c>
    </row>
    <row r="2033" spans="1:4" x14ac:dyDescent="0.2">
      <c r="A2033" s="5">
        <v>1972</v>
      </c>
      <c r="B2033" s="138">
        <f>'Cap Outlay Deprec 26'!H8</f>
        <v>3108708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825319</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3961463</v>
      </c>
      <c r="C2037" s="2" t="s">
        <v>594</v>
      </c>
      <c r="D2037" s="2" t="str">
        <f t="shared" si="30"/>
        <v>Error?</v>
      </c>
    </row>
    <row r="2038" spans="1:4" x14ac:dyDescent="0.2">
      <c r="A2038" s="10">
        <v>1977</v>
      </c>
      <c r="D2038" s="2" t="str">
        <f t="shared" si="30"/>
        <v>OK</v>
      </c>
    </row>
    <row r="2039" spans="1:4" x14ac:dyDescent="0.2">
      <c r="A2039" s="5">
        <v>1978</v>
      </c>
      <c r="B2039" s="138">
        <f>'Cap Outlay Deprec 26'!I8</f>
        <v>157027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44692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202419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3265735</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870011</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4163882</v>
      </c>
      <c r="C2055" s="2" t="s">
        <v>594</v>
      </c>
      <c r="D2055" s="2" t="str">
        <f t="shared" si="31"/>
        <v>Error?</v>
      </c>
    </row>
    <row r="2056" spans="1:4" x14ac:dyDescent="0.2">
      <c r="A2056" s="5">
        <v>1995</v>
      </c>
      <c r="B2056" s="138">
        <f>'Cap Outlay Deprec 26'!L5</f>
        <v>19253</v>
      </c>
      <c r="C2056" s="2" t="s">
        <v>594</v>
      </c>
      <c r="D2056" s="2" t="str">
        <f t="shared" si="31"/>
        <v>Error?</v>
      </c>
    </row>
    <row r="2057" spans="1:4" x14ac:dyDescent="0.2">
      <c r="A2057" s="5">
        <v>1996</v>
      </c>
      <c r="B2057" s="138">
        <f>'Cap Outlay Deprec 26'!L8</f>
        <v>5517428</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233960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5775787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91532</v>
      </c>
      <c r="C2088" s="2" t="s">
        <v>594</v>
      </c>
      <c r="D2088" s="2" t="str">
        <f t="shared" si="31"/>
        <v>Error?</v>
      </c>
    </row>
    <row r="2089" spans="1:4" x14ac:dyDescent="0.2">
      <c r="A2089" s="5">
        <v>2028</v>
      </c>
      <c r="B2089" s="138">
        <f>'Expenditures 15-22'!K92</f>
        <v>85430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55000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12738</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56703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220464</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947733</v>
      </c>
      <c r="C2551" s="2" t="s">
        <v>594</v>
      </c>
      <c r="D2551" s="2" t="str">
        <f t="shared" si="38"/>
        <v>Error?</v>
      </c>
    </row>
    <row r="2552" spans="1:4" x14ac:dyDescent="0.2">
      <c r="A2552" s="10">
        <v>2491</v>
      </c>
      <c r="D2552" s="2" t="str">
        <f t="shared" si="38"/>
        <v>OK</v>
      </c>
    </row>
    <row r="2553" spans="1:4" x14ac:dyDescent="0.2">
      <c r="A2553" s="5">
        <v>2492</v>
      </c>
      <c r="B2553" s="138">
        <f>'Acct Summary 7-8'!C6</f>
        <v>1811076</v>
      </c>
      <c r="C2553" s="2" t="s">
        <v>594</v>
      </c>
      <c r="D2553" s="2" t="str">
        <f t="shared" si="38"/>
        <v>Error?</v>
      </c>
    </row>
    <row r="2554" spans="1:4" x14ac:dyDescent="0.2">
      <c r="A2554" s="5">
        <v>2493</v>
      </c>
      <c r="B2554" s="138">
        <f>'Acct Summary 7-8'!C7</f>
        <v>481082</v>
      </c>
      <c r="C2554" s="2" t="s">
        <v>594</v>
      </c>
      <c r="D2554" s="2" t="str">
        <f t="shared" si="38"/>
        <v>Error?</v>
      </c>
    </row>
    <row r="2555" spans="1:4" x14ac:dyDescent="0.2">
      <c r="A2555" s="5">
        <v>2494</v>
      </c>
      <c r="B2555" s="138">
        <f>'Acct Summary 7-8'!C8</f>
        <v>3239891</v>
      </c>
      <c r="C2555" s="2" t="s">
        <v>594</v>
      </c>
      <c r="D2555" s="2" t="str">
        <f t="shared" si="38"/>
        <v>Error?</v>
      </c>
    </row>
    <row r="2556" spans="1:4" x14ac:dyDescent="0.2">
      <c r="A2556" s="5">
        <v>2495</v>
      </c>
      <c r="B2556" s="138">
        <f>'Acct Summary 7-8'!C12</f>
        <v>2142757</v>
      </c>
      <c r="C2556" s="2" t="s">
        <v>594</v>
      </c>
      <c r="D2556" s="2" t="str">
        <f t="shared" si="38"/>
        <v>Error?</v>
      </c>
    </row>
    <row r="2557" spans="1:4" x14ac:dyDescent="0.2">
      <c r="A2557" s="5">
        <v>2496</v>
      </c>
      <c r="B2557" s="138">
        <f>'Acct Summary 7-8'!C13</f>
        <v>819966</v>
      </c>
      <c r="C2557" s="2" t="s">
        <v>594</v>
      </c>
      <c r="D2557" s="2" t="str">
        <f t="shared" si="38"/>
        <v>Error?</v>
      </c>
    </row>
    <row r="2558" spans="1:4" x14ac:dyDescent="0.2">
      <c r="A2558" s="5">
        <v>2497</v>
      </c>
      <c r="B2558" s="138">
        <f>'Acct Summary 7-8'!C14</f>
        <v>29853</v>
      </c>
      <c r="C2558" s="2" t="s">
        <v>594</v>
      </c>
      <c r="D2558" s="2" t="str">
        <f t="shared" si="38"/>
        <v>Error?</v>
      </c>
    </row>
    <row r="2559" spans="1:4" x14ac:dyDescent="0.2">
      <c r="A2559" s="5">
        <v>2498</v>
      </c>
      <c r="B2559" s="138">
        <f>'Acct Summary 7-8'!C15</f>
        <v>176962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3169538</v>
      </c>
      <c r="C2561" s="2" t="s">
        <v>594</v>
      </c>
      <c r="D2561" s="2" t="str">
        <f t="shared" si="39"/>
        <v>Error?</v>
      </c>
    </row>
    <row r="2562" spans="1:4" x14ac:dyDescent="0.2">
      <c r="A2562" s="5">
        <v>2501</v>
      </c>
      <c r="B2562" s="138">
        <f>'Acct Summary 7-8'!C20</f>
        <v>70353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227300</v>
      </c>
      <c r="C2564" s="2" t="s">
        <v>594</v>
      </c>
      <c r="D2564" s="2" t="str">
        <f t="shared" si="39"/>
        <v>Error?</v>
      </c>
    </row>
    <row r="2565" spans="1:4" x14ac:dyDescent="0.2">
      <c r="A2565" s="10">
        <v>2504</v>
      </c>
      <c r="D2565" s="2" t="str">
        <f t="shared" si="39"/>
        <v>OK</v>
      </c>
    </row>
    <row r="2566" spans="1:4" x14ac:dyDescent="0.2">
      <c r="A2566" s="5">
        <v>2505</v>
      </c>
      <c r="B2566" s="138">
        <f>'Acct Summary 7-8'!D6</f>
        <v>65262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292562</v>
      </c>
      <c r="C2568" s="2" t="s">
        <v>594</v>
      </c>
      <c r="D2568" s="2" t="str">
        <f t="shared" si="39"/>
        <v>Error?</v>
      </c>
    </row>
    <row r="2569" spans="1:4" x14ac:dyDescent="0.2">
      <c r="A2569" s="5">
        <v>2508</v>
      </c>
      <c r="B2569" s="138">
        <f>'Acct Summary 7-8'!D13</f>
        <v>292421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292421</v>
      </c>
      <c r="C2573" s="2" t="s">
        <v>594</v>
      </c>
      <c r="D2573" s="2" t="str">
        <f t="shared" si="39"/>
        <v>Error?</v>
      </c>
    </row>
    <row r="2574" spans="1:4" x14ac:dyDescent="0.2">
      <c r="A2574" s="5">
        <v>2513</v>
      </c>
      <c r="B2574" s="138">
        <f>'Acct Summary 7-8'!D20</f>
        <v>141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102333</v>
      </c>
      <c r="C2591" s="2" t="s">
        <v>594</v>
      </c>
      <c r="D2591" s="2" t="str">
        <f t="shared" si="39"/>
        <v>Error?</v>
      </c>
    </row>
    <row r="2592" spans="1:4" x14ac:dyDescent="0.2">
      <c r="A2592" s="10">
        <v>2531</v>
      </c>
      <c r="D2592" s="2" t="str">
        <f t="shared" si="39"/>
        <v>OK</v>
      </c>
    </row>
    <row r="2593" spans="1:4" x14ac:dyDescent="0.2">
      <c r="A2593" s="5">
        <v>2532</v>
      </c>
      <c r="B2593" s="138">
        <f>'Acct Summary 7-8'!F6</f>
        <v>345151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447484</v>
      </c>
      <c r="C2595" s="2" t="s">
        <v>594</v>
      </c>
      <c r="D2595" s="2" t="str">
        <f t="shared" si="39"/>
        <v>Error?</v>
      </c>
    </row>
    <row r="2596" spans="1:4" x14ac:dyDescent="0.2">
      <c r="A2596" s="5">
        <v>2535</v>
      </c>
      <c r="B2596" s="138">
        <f>'Acct Summary 7-8'!F13</f>
        <v>457533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457533</v>
      </c>
      <c r="C2600" s="2" t="s">
        <v>594</v>
      </c>
      <c r="D2600" s="2" t="str">
        <f t="shared" si="39"/>
        <v>Error?</v>
      </c>
    </row>
    <row r="2601" spans="1:4" x14ac:dyDescent="0.2">
      <c r="A2601" s="5">
        <v>2540</v>
      </c>
      <c r="B2601" s="138">
        <f>'Acct Summary 7-8'!F20</f>
        <v>-10049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167880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167880</v>
      </c>
      <c r="C2606" s="2" t="s">
        <v>594</v>
      </c>
      <c r="D2606" s="2" t="str">
        <f t="shared" si="39"/>
        <v>Error?</v>
      </c>
    </row>
    <row r="2607" spans="1:4" x14ac:dyDescent="0.2">
      <c r="A2607" s="5">
        <v>2546</v>
      </c>
      <c r="B2607" s="138">
        <f>'Acct Summary 7-8'!G12</f>
        <v>49174</v>
      </c>
      <c r="C2607" s="2" t="s">
        <v>594</v>
      </c>
      <c r="D2607" s="2" t="str">
        <f t="shared" si="39"/>
        <v>Error?</v>
      </c>
    </row>
    <row r="2608" spans="1:4" x14ac:dyDescent="0.2">
      <c r="A2608" s="5">
        <v>2547</v>
      </c>
      <c r="B2608" s="138">
        <f>'Acct Summary 7-8'!G13</f>
        <v>73034</v>
      </c>
      <c r="C2608" s="2" t="s">
        <v>594</v>
      </c>
      <c r="D2608" s="2" t="str">
        <f t="shared" si="39"/>
        <v>Error?</v>
      </c>
    </row>
    <row r="2609" spans="1:4" x14ac:dyDescent="0.2">
      <c r="A2609" s="5">
        <v>2548</v>
      </c>
      <c r="B2609" s="138">
        <f>'Acct Summary 7-8'!G14</f>
        <v>4589</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126797</v>
      </c>
      <c r="C2612" s="2" t="s">
        <v>594</v>
      </c>
      <c r="D2612" s="2" t="str">
        <f t="shared" si="39"/>
        <v>Error?</v>
      </c>
    </row>
    <row r="2613" spans="1:4" x14ac:dyDescent="0.2">
      <c r="A2613" s="5">
        <v>2552</v>
      </c>
      <c r="B2613" s="138">
        <f>'Acct Summary 7-8'!G20</f>
        <v>41083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546964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546964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421697</v>
      </c>
      <c r="C2634" s="2" t="s">
        <v>594</v>
      </c>
      <c r="D2634" s="2" t="str">
        <f t="shared" si="40"/>
        <v>Error?</v>
      </c>
    </row>
    <row r="2635" spans="1:4" x14ac:dyDescent="0.2">
      <c r="A2635" s="5">
        <v>2574</v>
      </c>
      <c r="B2635" s="138">
        <f>'Acct Summary 7-8'!E17</f>
        <v>421697</v>
      </c>
      <c r="C2635" s="2" t="s">
        <v>594</v>
      </c>
      <c r="D2635" s="2" t="str">
        <f t="shared" si="40"/>
        <v>Error?</v>
      </c>
    </row>
    <row r="2636" spans="1:4" x14ac:dyDescent="0.2">
      <c r="A2636" s="5">
        <v>2575</v>
      </c>
      <c r="B2636" s="138">
        <f>'Acct Summary 7-8'!E20</f>
        <v>125267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138569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138569</v>
      </c>
      <c r="C2658" s="2" t="s">
        <v>594</v>
      </c>
      <c r="D2658" s="2" t="str">
        <f t="shared" si="40"/>
        <v>Error?</v>
      </c>
    </row>
    <row r="2659" spans="1:4" x14ac:dyDescent="0.2">
      <c r="A2659" s="5">
        <v>2598</v>
      </c>
      <c r="B2659" s="138">
        <f>'Acct Summary 7-8'!H13</f>
        <v>117707</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117707</v>
      </c>
      <c r="C2661" s="2" t="s">
        <v>594</v>
      </c>
      <c r="D2661" s="2" t="str">
        <f t="shared" si="40"/>
        <v>Error?</v>
      </c>
    </row>
    <row r="2662" spans="1:4" x14ac:dyDescent="0.2">
      <c r="A2662" s="5">
        <v>2601</v>
      </c>
      <c r="B2662" s="138">
        <f>'Acct Summary 7-8'!H20</f>
        <v>20862</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1694</v>
      </c>
      <c r="D2720" s="2" t="str">
        <f t="shared" si="41"/>
        <v>Error?</v>
      </c>
    </row>
    <row r="2721" spans="1:4" x14ac:dyDescent="0.2">
      <c r="A2721" s="5">
        <v>2660</v>
      </c>
      <c r="B2721" s="138">
        <f>'Expenditures 15-22'!F51</f>
        <v>296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1990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91532</v>
      </c>
      <c r="C2789" s="2" t="s">
        <v>594</v>
      </c>
      <c r="D2789" s="2" t="str">
        <f t="shared" si="42"/>
        <v>Error?</v>
      </c>
    </row>
    <row r="2790" spans="1:4" x14ac:dyDescent="0.2">
      <c r="A2790" s="5">
        <v>2729</v>
      </c>
      <c r="B2790" s="138">
        <f>'Expenditures 15-22'!E102</f>
        <v>91532</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2405</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171553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2405</v>
      </c>
      <c r="D2912" s="2" t="str">
        <f t="shared" si="44"/>
        <v>Error?</v>
      </c>
    </row>
    <row r="2913" spans="1:4" x14ac:dyDescent="0.2">
      <c r="A2913" s="5">
        <v>2852</v>
      </c>
      <c r="B2913" s="138">
        <f>'Assets-Liab 5-6'!I41</f>
        <v>2405</v>
      </c>
      <c r="C2913" s="2" t="s">
        <v>594</v>
      </c>
      <c r="D2913" s="2" t="str">
        <f t="shared" si="44"/>
        <v>Error?</v>
      </c>
    </row>
    <row r="2914" spans="1:4" x14ac:dyDescent="0.2">
      <c r="A2914" s="5">
        <v>2853</v>
      </c>
      <c r="B2914" s="138">
        <f>'Assets-Liab 5-6'!L33</f>
        <v>171553</v>
      </c>
      <c r="D2914" s="2" t="str">
        <f t="shared" si="44"/>
        <v>Error?</v>
      </c>
    </row>
    <row r="2915" spans="1:4" x14ac:dyDescent="0.2">
      <c r="A2915" s="10">
        <v>2854</v>
      </c>
      <c r="D2915" s="2" t="str">
        <f t="shared" si="44"/>
        <v>OK</v>
      </c>
    </row>
    <row r="2916" spans="1:4" x14ac:dyDescent="0.2">
      <c r="A2916" s="5">
        <v>2855</v>
      </c>
      <c r="B2916" s="138">
        <f>'Assets-Liab 5-6'!L34</f>
        <v>171553</v>
      </c>
      <c r="C2916" s="2" t="s">
        <v>594</v>
      </c>
      <c r="D2916" s="2" t="str">
        <f t="shared" si="44"/>
        <v>Error?</v>
      </c>
    </row>
    <row r="2917" spans="1:4" x14ac:dyDescent="0.2">
      <c r="A2917" s="5">
        <v>2856</v>
      </c>
      <c r="B2917" s="138">
        <f>'Assets-Liab 5-6'!L41</f>
        <v>171553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12630</v>
      </c>
      <c r="D2949" s="2" t="str">
        <f t="shared" si="45"/>
        <v>Error?</v>
      </c>
    </row>
    <row r="2950" spans="1:4" x14ac:dyDescent="0.2">
      <c r="A2950" s="5">
        <v>2889</v>
      </c>
      <c r="B2950" s="138">
        <f>'Expenditures 15-22'!E79</f>
        <v>78902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12630</v>
      </c>
      <c r="C2973" s="2" t="s">
        <v>594</v>
      </c>
      <c r="D2973" s="2" t="str">
        <f t="shared" si="45"/>
        <v>Error?</v>
      </c>
    </row>
    <row r="2974" spans="1:4" x14ac:dyDescent="0.2">
      <c r="A2974" s="5">
        <v>2913</v>
      </c>
      <c r="B2974" s="138">
        <f>'Expenditures 15-22'!K79</f>
        <v>78902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54630</v>
      </c>
      <c r="D3055" s="2" t="str">
        <f t="shared" si="46"/>
        <v>Error?</v>
      </c>
    </row>
    <row r="3056" spans="1:4" x14ac:dyDescent="0.2">
      <c r="A3056" s="5">
        <v>2995</v>
      </c>
      <c r="B3056" s="138">
        <f>'Expenditures 15-22'!D10</f>
        <v>14570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26960</v>
      </c>
      <c r="D3058" s="2" t="str">
        <f t="shared" si="46"/>
        <v>Error?</v>
      </c>
    </row>
    <row r="3059" spans="1:4" x14ac:dyDescent="0.2">
      <c r="A3059" s="5">
        <v>2998</v>
      </c>
      <c r="B3059" s="138">
        <f>'Expenditures 15-22'!G10</f>
        <v>38964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135124</v>
      </c>
      <c r="C3062" s="2" t="s">
        <v>594</v>
      </c>
      <c r="D3062" s="2" t="str">
        <f t="shared" si="46"/>
        <v>Error?</v>
      </c>
    </row>
    <row r="3063" spans="1:4" x14ac:dyDescent="0.2">
      <c r="A3063" s="10">
        <v>3002</v>
      </c>
      <c r="D3063" s="2" t="str">
        <f t="shared" si="46"/>
        <v>OK</v>
      </c>
    </row>
    <row r="3064" spans="1:4" x14ac:dyDescent="0.2">
      <c r="A3064" s="5">
        <v>3003</v>
      </c>
      <c r="B3064" s="138">
        <f>'Expenditures 15-22'!D219</f>
        <v>780</v>
      </c>
      <c r="D3064" s="2" t="str">
        <f t="shared" si="46"/>
        <v>Error?</v>
      </c>
    </row>
    <row r="3065" spans="1:4" x14ac:dyDescent="0.2">
      <c r="A3065" s="5">
        <v>3004</v>
      </c>
      <c r="B3065" s="138">
        <f>'Expenditures 15-22'!K219</f>
        <v>780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19316</v>
      </c>
      <c r="C3225" s="2" t="s">
        <v>594</v>
      </c>
      <c r="D3225" s="2" t="str">
        <f t="shared" si="49"/>
        <v>Error?</v>
      </c>
    </row>
    <row r="3226" spans="1:4" x14ac:dyDescent="0.2">
      <c r="A3226" s="5">
        <v>3165</v>
      </c>
      <c r="B3226" s="138">
        <f>'Acct Summary 7-8'!I8</f>
        <v>19316</v>
      </c>
      <c r="C3226" s="2" t="s">
        <v>594</v>
      </c>
      <c r="D3226" s="2" t="str">
        <f t="shared" si="49"/>
        <v>Error?</v>
      </c>
    </row>
    <row r="3227" spans="1:4" x14ac:dyDescent="0.2">
      <c r="A3227" s="5">
        <v>3166</v>
      </c>
      <c r="B3227" s="138">
        <f>'Acct Summary 7-8'!I20</f>
        <v>19316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55000</v>
      </c>
      <c r="C3232" s="2" t="s">
        <v>594</v>
      </c>
      <c r="D3232" s="2" t="str">
        <f t="shared" si="49"/>
        <v>Error?</v>
      </c>
    </row>
    <row r="3233" spans="1:4" x14ac:dyDescent="0.2">
      <c r="A3233" s="5">
        <v>3172</v>
      </c>
      <c r="B3233" s="138">
        <f>'Acct Summary 7-8'!C78</f>
        <v>125353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-10049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41083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125267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20862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55000</v>
      </c>
      <c r="C3318" s="2" t="s">
        <v>594</v>
      </c>
      <c r="D3318" s="2" t="str">
        <f t="shared" si="50"/>
        <v>Error?</v>
      </c>
    </row>
    <row r="3319" spans="1:4" x14ac:dyDescent="0.2">
      <c r="A3319" s="5">
        <v>3258</v>
      </c>
      <c r="B3319" s="138">
        <f>'Acct Summary 7-8'!I77</f>
        <v>-55000</v>
      </c>
      <c r="C3319" s="2" t="s">
        <v>594</v>
      </c>
      <c r="D3319" s="2" t="str">
        <f t="shared" si="50"/>
        <v>Error?</v>
      </c>
    </row>
    <row r="3320" spans="1:4" x14ac:dyDescent="0.2">
      <c r="A3320" s="5">
        <v>3259</v>
      </c>
      <c r="B3320" s="138">
        <f>'Acct Summary 7-8'!I78</f>
        <v>-35684</v>
      </c>
      <c r="C3320" s="2" t="s">
        <v>594</v>
      </c>
      <c r="D3320" s="2" t="str">
        <f t="shared" si="50"/>
        <v>Error?</v>
      </c>
    </row>
    <row r="3321" spans="1:4" x14ac:dyDescent="0.2">
      <c r="A3321" s="5">
        <v>3260</v>
      </c>
      <c r="B3321" s="138">
        <f>'Acct Summary 7-8'!I79</f>
        <v>38089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2405</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328436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44512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6580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390380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15035</v>
      </c>
      <c r="D3387" s="2" t="str">
        <f t="shared" si="51"/>
        <v>Error?</v>
      </c>
    </row>
    <row r="3388" spans="1:4" x14ac:dyDescent="0.2">
      <c r="A3388" s="5">
        <v>3327</v>
      </c>
      <c r="B3388" s="138">
        <f>'Expenditures 15-22'!D217</f>
        <v>27728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15035</v>
      </c>
      <c r="C3390" s="2" t="s">
        <v>594</v>
      </c>
      <c r="D3390" s="2" t="str">
        <f t="shared" si="51"/>
        <v>Error?</v>
      </c>
    </row>
    <row r="3391" spans="1:4" x14ac:dyDescent="0.2">
      <c r="A3391" s="5">
        <v>3330</v>
      </c>
      <c r="B3391" s="138">
        <f>'Expenditures 15-22'!K217</f>
        <v>27728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506950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110955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55700</v>
      </c>
      <c r="D3417" s="2" t="str">
        <f t="shared" si="52"/>
        <v>Error?</v>
      </c>
    </row>
    <row r="3418" spans="1:4" x14ac:dyDescent="0.2">
      <c r="A3418" s="10">
        <v>3357</v>
      </c>
      <c r="D3418" s="2" t="str">
        <f t="shared" si="52"/>
        <v>OK</v>
      </c>
    </row>
    <row r="3419" spans="1:4" x14ac:dyDescent="0.2">
      <c r="A3419" s="5">
        <v>3358</v>
      </c>
      <c r="B3419" s="138">
        <f>'Assets-Liab 5-6'!F4</f>
        <v>317823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174973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220464</v>
      </c>
      <c r="D3425" s="2" t="str">
        <f t="shared" si="52"/>
        <v>Error?</v>
      </c>
    </row>
    <row r="3426" spans="1:4" x14ac:dyDescent="0.2">
      <c r="A3426" s="10">
        <v>3365</v>
      </c>
      <c r="D3426" s="2" t="str">
        <f t="shared" si="52"/>
        <v>OK</v>
      </c>
    </row>
    <row r="3427" spans="1:4" x14ac:dyDescent="0.2">
      <c r="A3427" s="5">
        <v>3366</v>
      </c>
      <c r="B3427" s="138">
        <f>'Assets-Liab 5-6'!I4</f>
        <v>2405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171553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81440</v>
      </c>
      <c r="C3446" s="2" t="s">
        <v>594</v>
      </c>
      <c r="D3446" s="2" t="str">
        <f t="shared" si="52"/>
        <v>Error?</v>
      </c>
    </row>
    <row r="3447" spans="1:4" x14ac:dyDescent="0.2">
      <c r="A3447" s="5">
        <v>3386</v>
      </c>
      <c r="B3447" s="138">
        <f>'Tax Sched 23'!D16</f>
        <v>81440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68500</v>
      </c>
      <c r="C3449" s="2" t="s">
        <v>594</v>
      </c>
      <c r="D3449" s="2" t="str">
        <f t="shared" si="52"/>
        <v>Error?</v>
      </c>
    </row>
    <row r="3450" spans="1:4" x14ac:dyDescent="0.2">
      <c r="A3450" s="5">
        <v>3389</v>
      </c>
      <c r="B3450" s="138">
        <f>'Tax Sched 23'!E16</f>
        <v>68500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71715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71715</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71715</v>
      </c>
      <c r="D3567" s="2" t="str">
        <f t="shared" si="54"/>
        <v>Error?</v>
      </c>
    </row>
    <row r="3568" spans="1:4" x14ac:dyDescent="0.2">
      <c r="A3568" s="5">
        <v>3507</v>
      </c>
      <c r="B3568" s="138">
        <f>'Assets-Liab 5-6'!K41</f>
        <v>71715</v>
      </c>
      <c r="C3568" s="2" t="s">
        <v>594</v>
      </c>
      <c r="D3568" s="2" t="str">
        <f t="shared" si="54"/>
        <v>Error?</v>
      </c>
    </row>
    <row r="3569" spans="1:4" x14ac:dyDescent="0.2">
      <c r="A3569" s="5">
        <v>3508</v>
      </c>
      <c r="B3569" s="138">
        <f>'Acct Summary 7-8'!K4</f>
        <v>19443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19443</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19443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19443</v>
      </c>
      <c r="C3588" s="2" t="s">
        <v>594</v>
      </c>
      <c r="D3588" s="2" t="str">
        <f t="shared" si="55"/>
        <v>Error?</v>
      </c>
    </row>
    <row r="3589" spans="1:4" x14ac:dyDescent="0.2">
      <c r="A3589" s="5">
        <v>3528</v>
      </c>
      <c r="B3589" s="138">
        <f>'Acct Summary 7-8'!K79</f>
        <v>52272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71715</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19443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19269</v>
      </c>
      <c r="C3725" s="2" t="s">
        <v>594</v>
      </c>
      <c r="D3725" s="2" t="str">
        <f t="shared" si="57"/>
        <v>Error?</v>
      </c>
    </row>
    <row r="3726" spans="1:4" x14ac:dyDescent="0.2">
      <c r="A3726" s="5">
        <v>3665</v>
      </c>
      <c r="B3726" s="138">
        <f>'Tax Sched 23'!D13</f>
        <v>19269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20580</v>
      </c>
      <c r="C3728" s="2" t="s">
        <v>594</v>
      </c>
      <c r="D3728" s="2" t="str">
        <f t="shared" si="57"/>
        <v>Error?</v>
      </c>
    </row>
    <row r="3729" spans="1:4" x14ac:dyDescent="0.2">
      <c r="A3729" s="5">
        <v>3668</v>
      </c>
      <c r="B3729" s="138">
        <f>'Tax Sched 23'!E13</f>
        <v>20580</v>
      </c>
      <c r="D3729" s="2" t="str">
        <f t="shared" si="57"/>
        <v>Error?</v>
      </c>
    </row>
    <row r="3730" spans="1:4" x14ac:dyDescent="0.2">
      <c r="A3730" s="5">
        <v>3669</v>
      </c>
      <c r="B3730" s="138">
        <f>'ICR Computation 30'!E10</f>
        <v>150706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962910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4202801</v>
      </c>
      <c r="C4122" s="2" t="s">
        <v>594</v>
      </c>
      <c r="D4122" s="2" t="str">
        <f t="shared" si="63"/>
        <v>Error?</v>
      </c>
    </row>
    <row r="4123" spans="1:4" x14ac:dyDescent="0.2">
      <c r="A4123" s="5">
        <v>4062</v>
      </c>
      <c r="B4123" s="138">
        <f>'Acct Summary 7-8'!D10</f>
        <v>292562</v>
      </c>
      <c r="C4123" s="2" t="s">
        <v>594</v>
      </c>
      <c r="D4123" s="2" t="str">
        <f t="shared" si="63"/>
        <v>Error?</v>
      </c>
    </row>
    <row r="4124" spans="1:4" x14ac:dyDescent="0.2">
      <c r="A4124" s="5">
        <v>4063</v>
      </c>
      <c r="B4124" s="138">
        <f>'Acct Summary 7-8'!E10</f>
        <v>546964</v>
      </c>
      <c r="C4124" s="2" t="s">
        <v>594</v>
      </c>
      <c r="D4124" s="2" t="str">
        <f t="shared" si="63"/>
        <v>Error?</v>
      </c>
    </row>
    <row r="4125" spans="1:4" x14ac:dyDescent="0.2">
      <c r="A4125" s="5">
        <v>4064</v>
      </c>
      <c r="B4125" s="138">
        <f>'Acct Summary 7-8'!F10</f>
        <v>447484</v>
      </c>
      <c r="C4125" s="2" t="s">
        <v>594</v>
      </c>
      <c r="D4125" s="2" t="str">
        <f t="shared" si="63"/>
        <v>Error?</v>
      </c>
    </row>
    <row r="4126" spans="1:4" x14ac:dyDescent="0.2">
      <c r="A4126" s="5">
        <v>4065</v>
      </c>
      <c r="B4126" s="138">
        <f>'Acct Summary 7-8'!G10</f>
        <v>167880</v>
      </c>
      <c r="C4126" s="2" t="s">
        <v>594</v>
      </c>
      <c r="D4126" s="2" t="str">
        <f t="shared" si="63"/>
        <v>Error?</v>
      </c>
    </row>
    <row r="4127" spans="1:4" x14ac:dyDescent="0.2">
      <c r="A4127" s="5">
        <v>4066</v>
      </c>
      <c r="B4127" s="138">
        <f>'Acct Summary 7-8'!H10</f>
        <v>138569</v>
      </c>
      <c r="C4127" s="2" t="s">
        <v>594</v>
      </c>
      <c r="D4127" s="2" t="str">
        <f t="shared" si="63"/>
        <v>Error?</v>
      </c>
    </row>
    <row r="4128" spans="1:4" x14ac:dyDescent="0.2">
      <c r="A4128" s="5">
        <v>4067</v>
      </c>
      <c r="B4128" s="138">
        <f>'Acct Summary 7-8'!I10</f>
        <v>19316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19443</v>
      </c>
      <c r="C4130" s="2" t="s">
        <v>594</v>
      </c>
      <c r="D4130" s="2" t="str">
        <f t="shared" si="63"/>
        <v>Error?</v>
      </c>
    </row>
    <row r="4131" spans="1:4" x14ac:dyDescent="0.2">
      <c r="A4131" s="5">
        <v>4070</v>
      </c>
      <c r="B4131" s="138">
        <f>'Acct Summary 7-8'!C18</f>
        <v>962910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4132448</v>
      </c>
      <c r="C4136" s="2" t="s">
        <v>594</v>
      </c>
      <c r="D4136" s="2" t="str">
        <f t="shared" si="63"/>
        <v>Error?</v>
      </c>
    </row>
    <row r="4137" spans="1:4" x14ac:dyDescent="0.2">
      <c r="A4137" s="5">
        <v>4076</v>
      </c>
      <c r="B4137" s="138">
        <f>'Acct Summary 7-8'!D19</f>
        <v>292421</v>
      </c>
      <c r="C4137" s="2" t="s">
        <v>594</v>
      </c>
      <c r="D4137" s="2" t="str">
        <f t="shared" si="63"/>
        <v>Error?</v>
      </c>
    </row>
    <row r="4138" spans="1:4" x14ac:dyDescent="0.2">
      <c r="A4138" s="5">
        <v>4077</v>
      </c>
      <c r="B4138" s="138">
        <f>'Acct Summary 7-8'!E19</f>
        <v>421697</v>
      </c>
      <c r="C4138" s="2" t="s">
        <v>594</v>
      </c>
      <c r="D4138" s="2" t="str">
        <f t="shared" si="63"/>
        <v>Error?</v>
      </c>
    </row>
    <row r="4139" spans="1:4" x14ac:dyDescent="0.2">
      <c r="A4139" s="5">
        <v>4078</v>
      </c>
      <c r="B4139" s="138">
        <f>'Acct Summary 7-8'!F19</f>
        <v>457533</v>
      </c>
      <c r="C4139" s="2" t="s">
        <v>594</v>
      </c>
      <c r="D4139" s="2" t="str">
        <f t="shared" si="63"/>
        <v>Error?</v>
      </c>
    </row>
    <row r="4140" spans="1:4" x14ac:dyDescent="0.2">
      <c r="A4140" s="5">
        <v>4079</v>
      </c>
      <c r="B4140" s="138">
        <f>'Acct Summary 7-8'!G19</f>
        <v>126797</v>
      </c>
      <c r="C4140" s="2" t="s">
        <v>594</v>
      </c>
      <c r="D4140" s="2" t="str">
        <f t="shared" si="63"/>
        <v>Error?</v>
      </c>
    </row>
    <row r="4141" spans="1:4" x14ac:dyDescent="0.2">
      <c r="A4141" s="5">
        <v>4080</v>
      </c>
      <c r="B4141" s="138">
        <f>'Acct Summary 7-8'!H19</f>
        <v>117707</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4332200</v>
      </c>
      <c r="C4171" s="2" t="s">
        <v>594</v>
      </c>
      <c r="D4171" s="2" t="str">
        <f t="shared" si="64"/>
        <v>Error?</v>
      </c>
    </row>
    <row r="4172" spans="1:4" x14ac:dyDescent="0.2">
      <c r="A4172" s="5">
        <v>4111</v>
      </c>
      <c r="B4172" s="138">
        <f>'Short-Term Long-Term Debt 24'!J49</f>
        <v>3275232</v>
      </c>
      <c r="C4172" s="2" t="s">
        <v>594</v>
      </c>
      <c r="D4172" s="2" t="str">
        <f t="shared" si="64"/>
        <v>Error?</v>
      </c>
    </row>
    <row r="4173" spans="1:4" x14ac:dyDescent="0.2">
      <c r="A4173" s="5">
        <v>4112</v>
      </c>
      <c r="B4173" s="138">
        <f>'Short-Term Long-Term Debt 24'!H49</f>
        <v>288600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575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2615</v>
      </c>
      <c r="C4268" s="2" t="s">
        <v>594</v>
      </c>
      <c r="D4268" s="2" t="str">
        <f t="shared" si="65"/>
        <v>Error?</v>
      </c>
    </row>
    <row r="4269" spans="1:5" x14ac:dyDescent="0.2">
      <c r="A4269" s="12">
        <v>4208</v>
      </c>
      <c r="B4269" s="138">
        <f>'FP Info 3'!J16</f>
        <v>938133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10588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51480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12032</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24858</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40896954</v>
      </c>
      <c r="D4995" s="2" t="str">
        <f t="shared" si="77"/>
        <v>Error?</v>
      </c>
    </row>
    <row r="4996" spans="1:4" x14ac:dyDescent="0.2">
      <c r="A4996" s="12">
        <v>4935</v>
      </c>
      <c r="B4996" s="138">
        <f>'FP Info 3'!H31</f>
        <v>5643779.6520000007</v>
      </c>
      <c r="D4996" s="2" t="str">
        <f t="shared" si="77"/>
        <v>Error?</v>
      </c>
    </row>
    <row r="4997" spans="1:4" x14ac:dyDescent="0.2">
      <c r="A4997" s="12">
        <v>4936</v>
      </c>
      <c r="B4997" s="138">
        <f>'FP Info 3'!H37</f>
        <v>4332200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19269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710087</v>
      </c>
      <c r="D5061" s="2" t="str">
        <f t="shared" si="78"/>
        <v>Error?</v>
      </c>
    </row>
    <row r="5062" spans="1:4" x14ac:dyDescent="0.2">
      <c r="A5062" s="10">
        <v>5001</v>
      </c>
      <c r="D5062" s="2" t="str">
        <f t="shared" si="78"/>
        <v>OK</v>
      </c>
    </row>
    <row r="5063" spans="1:4" x14ac:dyDescent="0.2">
      <c r="A5063" s="5">
        <v>5002</v>
      </c>
      <c r="B5063" s="138">
        <f>'Revenues 9-14'!C7</f>
        <v>15554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744910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82806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82806</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4226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4226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900</v>
      </c>
      <c r="D5093" s="2" t="str">
        <f t="shared" si="78"/>
        <v>Error?</v>
      </c>
    </row>
    <row r="5094" spans="1:4" x14ac:dyDescent="0.2">
      <c r="A5094" s="5">
        <v>5033</v>
      </c>
      <c r="B5094" s="138">
        <f>'Revenues 9-14'!C73</f>
        <v>4884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5784</v>
      </c>
      <c r="C5096" s="2" t="s">
        <v>594</v>
      </c>
      <c r="D5096" s="2" t="str">
        <f t="shared" si="78"/>
        <v>Error?</v>
      </c>
    </row>
    <row r="5097" spans="1:4" x14ac:dyDescent="0.2">
      <c r="A5097" s="5">
        <v>5036</v>
      </c>
      <c r="B5097" s="138">
        <f>'Revenues 9-14'!C77</f>
        <v>18815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13032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31847</v>
      </c>
      <c r="C5102" s="2" t="s">
        <v>594</v>
      </c>
      <c r="D5102" s="2" t="str">
        <f t="shared" si="78"/>
        <v>Error?</v>
      </c>
    </row>
    <row r="5103" spans="1:4" x14ac:dyDescent="0.2">
      <c r="A5103" s="5">
        <v>5042</v>
      </c>
      <c r="B5103" s="138">
        <f>'Revenues 9-14'!C84</f>
        <v>6536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1810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8346</v>
      </c>
      <c r="C5112" s="2" t="s">
        <v>594</v>
      </c>
      <c r="D5112" s="2" t="str">
        <f t="shared" si="78"/>
        <v>Error?</v>
      </c>
    </row>
    <row r="5113" spans="1:4" x14ac:dyDescent="0.2">
      <c r="A5113" s="5">
        <v>5052</v>
      </c>
      <c r="B5113" s="138">
        <f>'Revenues 9-14'!C95</f>
        <v>39000</v>
      </c>
      <c r="D5113" s="2" t="str">
        <f t="shared" si="78"/>
        <v>Error?</v>
      </c>
    </row>
    <row r="5114" spans="1:4" x14ac:dyDescent="0.2">
      <c r="A5114" s="5">
        <v>5053</v>
      </c>
      <c r="B5114" s="138">
        <f>'Revenues 9-14'!C96</f>
        <v>5641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21752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165</v>
      </c>
      <c r="D5118" s="2" t="str">
        <f t="shared" si="78"/>
        <v>Error?</v>
      </c>
    </row>
    <row r="5119" spans="1:4" x14ac:dyDescent="0.2">
      <c r="A5119" s="5">
        <v>5058</v>
      </c>
      <c r="B5119" s="138">
        <f>'Revenues 9-14'!C107</f>
        <v>2356</v>
      </c>
      <c r="D5119" s="2" t="str">
        <f t="shared" ref="D5119:D5182" si="79">IF(ISBLANK(B5119),"OK",IF(A5119-B5119=0,"OK","Error?"))</f>
        <v>Error?</v>
      </c>
    </row>
    <row r="5120" spans="1:4" x14ac:dyDescent="0.2">
      <c r="A5120" s="5">
        <v>5059</v>
      </c>
      <c r="B5120" s="138">
        <f>'Revenues 9-14'!C108</f>
        <v>69814</v>
      </c>
      <c r="C5120" s="2" t="s">
        <v>594</v>
      </c>
      <c r="D5120" s="2" t="str">
        <f t="shared" si="79"/>
        <v>Error?</v>
      </c>
    </row>
    <row r="5121" spans="1:4" x14ac:dyDescent="0.2">
      <c r="A5121" s="5">
        <v>5060</v>
      </c>
      <c r="B5121" s="138">
        <f>'Revenues 9-14'!C109</f>
        <v>947733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1549969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1549969</v>
      </c>
      <c r="C5132" s="2" t="s">
        <v>594</v>
      </c>
      <c r="D5132" s="2" t="str">
        <f t="shared" si="79"/>
        <v>Error?</v>
      </c>
    </row>
    <row r="5133" spans="1:4" x14ac:dyDescent="0.2">
      <c r="A5133" s="5">
        <v>5072</v>
      </c>
      <c r="B5133" s="138">
        <f>'Revenues 9-14'!C124</f>
        <v>28610</v>
      </c>
      <c r="D5133" s="2" t="str">
        <f t="shared" si="79"/>
        <v>Error?</v>
      </c>
    </row>
    <row r="5134" spans="1:4" x14ac:dyDescent="0.2">
      <c r="A5134" s="5">
        <v>5073</v>
      </c>
      <c r="B5134" s="138">
        <f>'Revenues 9-14'!C125</f>
        <v>26519</v>
      </c>
      <c r="D5134" s="2" t="str">
        <f t="shared" si="79"/>
        <v>Error?</v>
      </c>
    </row>
    <row r="5135" spans="1:4" x14ac:dyDescent="0.2">
      <c r="A5135" s="5">
        <v>5074</v>
      </c>
      <c r="B5135" s="138">
        <f>'Revenues 9-14'!C126</f>
        <v>44207</v>
      </c>
      <c r="D5135" s="2" t="str">
        <f t="shared" si="79"/>
        <v>Error?</v>
      </c>
    </row>
    <row r="5136" spans="1:4" x14ac:dyDescent="0.2">
      <c r="A5136" s="10">
        <v>5075</v>
      </c>
      <c r="D5136" s="2" t="str">
        <f t="shared" si="79"/>
        <v>OK</v>
      </c>
    </row>
    <row r="5137" spans="1:4" x14ac:dyDescent="0.2">
      <c r="A5137" s="5">
        <v>5076</v>
      </c>
      <c r="B5137" s="138">
        <f>'Revenues 9-14'!C127</f>
        <v>555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99891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7522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13535</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3424</v>
      </c>
      <c r="D5167" s="2" t="str">
        <f t="shared" si="79"/>
        <v>Error?</v>
      </c>
    </row>
    <row r="5168" spans="1:4" x14ac:dyDescent="0.2">
      <c r="A5168" s="5">
        <v>5107</v>
      </c>
      <c r="B5168" s="138">
        <f>'Revenues 9-14'!C147</f>
        <v>4150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138607</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261107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1811076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145567</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83882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229449</v>
      </c>
      <c r="C5246" s="2" t="s">
        <v>594</v>
      </c>
      <c r="D5246" s="2" t="str">
        <f t="shared" si="80"/>
        <v>Error?</v>
      </c>
    </row>
    <row r="5247" spans="1:4" x14ac:dyDescent="0.2">
      <c r="A5247" s="5">
        <v>5186</v>
      </c>
      <c r="B5247" s="138">
        <f>'Revenues 9-14'!C203</f>
        <v>152675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152675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481082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481082</v>
      </c>
      <c r="C5326" s="2" t="s">
        <v>594</v>
      </c>
      <c r="D5326" s="2" t="str">
        <f t="shared" si="82"/>
        <v>Error?</v>
      </c>
    </row>
    <row r="5327" spans="1:4" x14ac:dyDescent="0.2">
      <c r="A5327" s="5">
        <v>5266</v>
      </c>
      <c r="B5327" s="138">
        <f>'Revenues 9-14'!C275</f>
        <v>3239891</v>
      </c>
      <c r="C5327" s="2" t="s">
        <v>594</v>
      </c>
      <c r="D5327" s="2" t="str">
        <f t="shared" si="82"/>
        <v>Error?</v>
      </c>
    </row>
    <row r="5328" spans="1:4" x14ac:dyDescent="0.2">
      <c r="A5328" s="5">
        <v>5267</v>
      </c>
      <c r="B5328" s="138">
        <f>'Revenues 9-14'!D5</f>
        <v>223600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223600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3700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3700</v>
      </c>
      <c r="C5355" s="2" t="s">
        <v>594</v>
      </c>
      <c r="D5355" s="2" t="str">
        <f t="shared" si="82"/>
        <v>Error?</v>
      </c>
    </row>
    <row r="5356" spans="1:4" x14ac:dyDescent="0.2">
      <c r="A5356" s="5">
        <v>5295</v>
      </c>
      <c r="B5356" s="138">
        <f>'Revenues 9-14'!D109</f>
        <v>227300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65262</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65262</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65262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292562</v>
      </c>
      <c r="C5508" s="2" t="s">
        <v>594</v>
      </c>
      <c r="D5508" s="2" t="str">
        <f t="shared" si="85"/>
        <v>Error?</v>
      </c>
    </row>
    <row r="5509" spans="1:4" x14ac:dyDescent="0.2">
      <c r="A5509" s="5">
        <v>5448</v>
      </c>
      <c r="B5509" s="138">
        <f>'Revenues 9-14'!E5</f>
        <v>482098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482098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20546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20546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44320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44320</v>
      </c>
      <c r="C5526" s="2" t="s">
        <v>594</v>
      </c>
      <c r="D5526" s="2" t="str">
        <f t="shared" si="85"/>
        <v>Error?</v>
      </c>
    </row>
    <row r="5527" spans="1:4" x14ac:dyDescent="0.2">
      <c r="A5527" s="5">
        <v>5466</v>
      </c>
      <c r="B5527" s="138">
        <f>'Revenues 9-14'!E109</f>
        <v>546964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546964</v>
      </c>
      <c r="C5552" s="2" t="s">
        <v>594</v>
      </c>
      <c r="D5552" s="2" t="str">
        <f t="shared" si="85"/>
        <v>Error?</v>
      </c>
    </row>
    <row r="5553" spans="1:4" x14ac:dyDescent="0.2">
      <c r="A5553" s="5">
        <v>5492</v>
      </c>
      <c r="B5553" s="138">
        <f>'Revenues 9-14'!F5</f>
        <v>77773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77773</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24560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24560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102333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16315</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16315</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173309</v>
      </c>
      <c r="D5615" s="2" t="str">
        <f t="shared" si="86"/>
        <v>Error?</v>
      </c>
    </row>
    <row r="5616" spans="1:4" x14ac:dyDescent="0.2">
      <c r="A5616" s="10">
        <v>5555</v>
      </c>
      <c r="D5616" s="2" t="str">
        <f t="shared" si="86"/>
        <v>OK</v>
      </c>
    </row>
    <row r="5617" spans="1:4" x14ac:dyDescent="0.2">
      <c r="A5617" s="5">
        <v>5556</v>
      </c>
      <c r="B5617" s="138">
        <f>'Revenues 9-14'!F152</f>
        <v>117022</v>
      </c>
      <c r="D5617" s="2" t="str">
        <f t="shared" si="86"/>
        <v>Error?</v>
      </c>
    </row>
    <row r="5618" spans="1:4" x14ac:dyDescent="0.2">
      <c r="A5618" s="5">
        <v>5557</v>
      </c>
      <c r="B5618" s="138">
        <f>'Revenues 9-14'!F154</f>
        <v>290331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38505</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328836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345151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447484</v>
      </c>
      <c r="C5720" s="2" t="s">
        <v>594</v>
      </c>
      <c r="D5720" s="2" t="str">
        <f t="shared" si="88"/>
        <v>Error?</v>
      </c>
    </row>
    <row r="5721" spans="1:4" x14ac:dyDescent="0.2">
      <c r="A5721" s="5">
        <v>5660</v>
      </c>
      <c r="B5721" s="138">
        <f>'Revenues 9-14'!G5</f>
        <v>81440</v>
      </c>
      <c r="D5721" s="2" t="str">
        <f t="shared" si="88"/>
        <v>Error?</v>
      </c>
    </row>
    <row r="5722" spans="1:4" x14ac:dyDescent="0.2">
      <c r="A5722" s="5">
        <v>5661</v>
      </c>
      <c r="B5722" s="138">
        <f>'Revenues 9-14'!G7</f>
        <v>0</v>
      </c>
      <c r="D5722" s="2" t="str">
        <f t="shared" si="88"/>
        <v>Error?</v>
      </c>
    </row>
    <row r="5723" spans="1:4" x14ac:dyDescent="0.2">
      <c r="A5723" s="5">
        <v>5662</v>
      </c>
      <c r="B5723" s="138">
        <f>'Revenues 9-14'!G8</f>
        <v>81440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162880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167880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138569</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138569</v>
      </c>
      <c r="C5915" s="2" t="s">
        <v>594</v>
      </c>
      <c r="D5915" s="2" t="str">
        <f t="shared" si="91"/>
        <v>Error?</v>
      </c>
    </row>
    <row r="5916" spans="1:4" x14ac:dyDescent="0.2">
      <c r="A5916" s="5">
        <v>5855</v>
      </c>
      <c r="B5916" s="138">
        <f>'Revenues 9-14'!I5</f>
        <v>19316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19316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19316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19443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19443</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19443</v>
      </c>
      <c r="C6023" s="2" t="s">
        <v>594</v>
      </c>
      <c r="D6023" s="2" t="str">
        <f t="shared" si="93"/>
        <v>Error?</v>
      </c>
    </row>
    <row r="6024" spans="1:5" x14ac:dyDescent="0.2">
      <c r="A6024" s="5">
        <v>5963</v>
      </c>
      <c r="B6024" s="138">
        <f>'Revenues 9-14'!G109</f>
        <v>167880</v>
      </c>
      <c r="C6024" s="2" t="s">
        <v>594</v>
      </c>
      <c r="D6024" s="2" t="str">
        <f t="shared" si="93"/>
        <v>Error?</v>
      </c>
    </row>
    <row r="6025" spans="1:5" x14ac:dyDescent="0.2">
      <c r="A6025" s="5">
        <v>5964</v>
      </c>
      <c r="B6025" s="138">
        <f>'Revenues 9-14'!H109</f>
        <v>138569</v>
      </c>
      <c r="C6025" s="2" t="s">
        <v>594</v>
      </c>
      <c r="D6025" s="2" t="str">
        <f t="shared" si="93"/>
        <v>Error?</v>
      </c>
    </row>
    <row r="6026" spans="1:5" x14ac:dyDescent="0.2">
      <c r="A6026" s="5">
        <v>5965</v>
      </c>
      <c r="B6026" s="138">
        <f>'Revenues 9-14'!I109</f>
        <v>19316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19443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20072</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355.13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224127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224127</v>
      </c>
      <c r="D6215" s="2" t="str">
        <f t="shared" si="96"/>
        <v>Error?</v>
      </c>
      <c r="E6215" s="2" t="s">
        <v>199</v>
      </c>
    </row>
    <row r="6216" spans="1:5" x14ac:dyDescent="0.2">
      <c r="A6216">
        <v>6155</v>
      </c>
      <c r="B6216" s="138">
        <f>'Assets-Liab 5-6'!J41</f>
        <v>224127</v>
      </c>
      <c r="D6216" s="2" t="str">
        <f t="shared" si="96"/>
        <v>Error?</v>
      </c>
      <c r="E6216" s="2" t="s">
        <v>199</v>
      </c>
    </row>
    <row r="6217" spans="1:5" x14ac:dyDescent="0.2">
      <c r="A6217">
        <v>6156</v>
      </c>
      <c r="B6217" s="138">
        <f>'Assets-Liab 5-6'!J4</f>
        <v>224127</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501544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501544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501544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453207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453207</v>
      </c>
      <c r="D6229" s="2" t="str">
        <f t="shared" si="96"/>
        <v>Error?</v>
      </c>
      <c r="E6229" s="2" t="s">
        <v>199</v>
      </c>
    </row>
    <row r="6230" spans="1:5" x14ac:dyDescent="0.2">
      <c r="A6230">
        <v>6169</v>
      </c>
      <c r="B6230" s="138">
        <f>'Acct Summary 7-8'!J20</f>
        <v>48337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48337</v>
      </c>
      <c r="D6263" s="2" t="str">
        <f t="shared" si="96"/>
        <v>Error?</v>
      </c>
      <c r="E6263" s="2" t="s">
        <v>199</v>
      </c>
    </row>
    <row r="6264" spans="1:5" x14ac:dyDescent="0.2">
      <c r="A6264">
        <v>6203</v>
      </c>
      <c r="B6264" s="138">
        <f>'Acct Summary 7-8'!J79</f>
        <v>175790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224127</v>
      </c>
      <c r="D6266" s="2" t="str">
        <f t="shared" si="96"/>
        <v>Error?</v>
      </c>
      <c r="E6266" s="2" t="s">
        <v>199</v>
      </c>
    </row>
    <row r="6267" spans="1:5" x14ac:dyDescent="0.2">
      <c r="A6267">
        <v>6206</v>
      </c>
      <c r="B6267" s="138">
        <f>'Acct Summary 7-8'!C82</f>
        <v>125353</v>
      </c>
      <c r="D6267" s="2" t="str">
        <f t="shared" si="96"/>
        <v>Error?</v>
      </c>
      <c r="E6267" s="2" t="s">
        <v>199</v>
      </c>
    </row>
    <row r="6268" spans="1:5" x14ac:dyDescent="0.2">
      <c r="A6268">
        <v>6207</v>
      </c>
      <c r="B6268" s="138">
        <f>'Acct Summary 7-8'!D82</f>
        <v>141</v>
      </c>
      <c r="D6268" s="2" t="str">
        <f t="shared" si="96"/>
        <v>Error?</v>
      </c>
      <c r="E6268" s="2" t="s">
        <v>199</v>
      </c>
    </row>
    <row r="6269" spans="1:5" x14ac:dyDescent="0.2">
      <c r="A6269">
        <v>6208</v>
      </c>
      <c r="B6269" s="138">
        <f>'Acct Summary 7-8'!E82</f>
        <v>125267</v>
      </c>
      <c r="D6269" s="2" t="str">
        <f t="shared" si="96"/>
        <v>Error?</v>
      </c>
      <c r="E6269" s="2" t="s">
        <v>199</v>
      </c>
    </row>
    <row r="6270" spans="1:5" x14ac:dyDescent="0.2">
      <c r="A6270">
        <v>6209</v>
      </c>
      <c r="B6270" s="138">
        <f>'Acct Summary 7-8'!F82</f>
        <v>-10049</v>
      </c>
      <c r="D6270" s="2" t="str">
        <f t="shared" si="96"/>
        <v>Error?</v>
      </c>
      <c r="E6270" s="2" t="s">
        <v>199</v>
      </c>
    </row>
    <row r="6271" spans="1:5" x14ac:dyDescent="0.2">
      <c r="A6271">
        <v>6210</v>
      </c>
      <c r="B6271" s="138">
        <f>'Acct Summary 7-8'!G82</f>
        <v>41083</v>
      </c>
      <c r="D6271" s="2" t="str">
        <f t="shared" ref="D6271:D6334" si="97">IF(ISBLANK(B6271),"OK",IF(A6271-B6271=0,"OK","Error?"))</f>
        <v>Error?</v>
      </c>
      <c r="E6271" s="2" t="s">
        <v>199</v>
      </c>
    </row>
    <row r="6272" spans="1:5" x14ac:dyDescent="0.2">
      <c r="A6272">
        <v>6211</v>
      </c>
      <c r="B6272" s="138">
        <f>'Acct Summary 7-8'!H82</f>
        <v>20862</v>
      </c>
      <c r="D6272" s="2" t="str">
        <f t="shared" si="97"/>
        <v>Error?</v>
      </c>
      <c r="E6272" s="2" t="s">
        <v>199</v>
      </c>
    </row>
    <row r="6273" spans="1:5" x14ac:dyDescent="0.2">
      <c r="A6273">
        <v>6212</v>
      </c>
      <c r="B6273" s="138">
        <f>'Acct Summary 7-8'!I82</f>
        <v>-35684</v>
      </c>
      <c r="D6273" s="2" t="str">
        <f t="shared" si="97"/>
        <v>Error?</v>
      </c>
      <c r="E6273" s="2" t="s">
        <v>199</v>
      </c>
    </row>
    <row r="6274" spans="1:5" x14ac:dyDescent="0.2">
      <c r="A6274">
        <v>6213</v>
      </c>
      <c r="B6274" s="138">
        <f>'Acct Summary 7-8'!J82</f>
        <v>48337</v>
      </c>
      <c r="D6274" s="2" t="str">
        <f t="shared" si="97"/>
        <v>Error?</v>
      </c>
      <c r="E6274" s="2" t="s">
        <v>199</v>
      </c>
    </row>
    <row r="6275" spans="1:5" x14ac:dyDescent="0.2">
      <c r="A6275">
        <v>6214</v>
      </c>
      <c r="B6275" s="138">
        <f>'Acct Summary 7-8'!K82</f>
        <v>19443</v>
      </c>
      <c r="D6275" s="2" t="str">
        <f t="shared" si="97"/>
        <v>Error?</v>
      </c>
      <c r="E6275" s="2" t="s">
        <v>199</v>
      </c>
    </row>
    <row r="6276" spans="1:5" x14ac:dyDescent="0.2">
      <c r="A6276">
        <v>6215</v>
      </c>
      <c r="B6276" s="138">
        <f>'Acct Summary 7-8'!C83</f>
        <v>0.24726896143603905</v>
      </c>
      <c r="D6276" s="2" t="str">
        <f t="shared" si="97"/>
        <v>Error?</v>
      </c>
      <c r="E6276" s="2" t="s">
        <v>199</v>
      </c>
    </row>
    <row r="6277" spans="1:5" x14ac:dyDescent="0.2">
      <c r="A6277">
        <v>6216</v>
      </c>
      <c r="B6277" s="138">
        <f>'Acct Summary 7-8'!D83</f>
        <v>1.270785453562255E-3</v>
      </c>
      <c r="D6277" s="2" t="str">
        <f t="shared" si="97"/>
        <v>Error?</v>
      </c>
      <c r="E6277" s="2" t="s">
        <v>199</v>
      </c>
    </row>
    <row r="6278" spans="1:5" x14ac:dyDescent="0.2">
      <c r="A6278">
        <v>6217</v>
      </c>
      <c r="B6278" s="138">
        <f>'Acct Summary 7-8'!E83</f>
        <v>0.11851541390089387</v>
      </c>
      <c r="D6278" s="2" t="str">
        <f t="shared" si="97"/>
        <v>Error?</v>
      </c>
      <c r="E6278" s="2" t="s">
        <v>199</v>
      </c>
    </row>
    <row r="6279" spans="1:5" x14ac:dyDescent="0.2">
      <c r="A6279">
        <v>6218</v>
      </c>
      <c r="B6279" s="138">
        <f>'Acct Summary 7-8'!F83</f>
        <v>-3.1618227755700501E-2</v>
      </c>
      <c r="D6279" s="2" t="str">
        <f t="shared" si="97"/>
        <v>Error?</v>
      </c>
      <c r="E6279" s="2" t="s">
        <v>199</v>
      </c>
    </row>
    <row r="6280" spans="1:5" x14ac:dyDescent="0.2">
      <c r="A6280">
        <v>6219</v>
      </c>
      <c r="B6280" s="138">
        <f>'Acct Summary 7-8'!G83</f>
        <v>0.23479622570339423</v>
      </c>
      <c r="D6280" s="2" t="str">
        <f t="shared" si="97"/>
        <v>Error?</v>
      </c>
      <c r="E6280" s="2" t="s">
        <v>199</v>
      </c>
    </row>
    <row r="6281" spans="1:5" x14ac:dyDescent="0.2">
      <c r="A6281">
        <v>6220</v>
      </c>
      <c r="B6281" s="138">
        <f>'Acct Summary 7-8'!H83</f>
        <v>9.4627694317439587E-2</v>
      </c>
      <c r="D6281" s="2" t="str">
        <f t="shared" si="97"/>
        <v>Error?</v>
      </c>
      <c r="E6281" s="2" t="s">
        <v>199</v>
      </c>
    </row>
    <row r="6282" spans="1:5" x14ac:dyDescent="0.2">
      <c r="A6282">
        <v>6221</v>
      </c>
      <c r="B6282" s="138">
        <f>'Acct Summary 7-8'!I83</f>
        <v>-14.837422037422037</v>
      </c>
      <c r="D6282" s="2" t="str">
        <f t="shared" si="97"/>
        <v>Error?</v>
      </c>
      <c r="E6282" s="2" t="s">
        <v>199</v>
      </c>
    </row>
    <row r="6283" spans="1:5" x14ac:dyDescent="0.2">
      <c r="A6283">
        <v>6222</v>
      </c>
      <c r="B6283" s="138">
        <f>'Acct Summary 7-8'!J83</f>
        <v>0.21566790257309471</v>
      </c>
      <c r="D6283" s="2" t="str">
        <f t="shared" si="97"/>
        <v>Error?</v>
      </c>
      <c r="E6283" s="2" t="s">
        <v>199</v>
      </c>
    </row>
    <row r="6284" spans="1:5" x14ac:dyDescent="0.2">
      <c r="A6284">
        <v>6223</v>
      </c>
      <c r="B6284" s="138">
        <f>'Acct Summary 7-8'!K83</f>
        <v>0.27111482953357036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501544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501544</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900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501544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6013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66109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87794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13266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300</v>
      </c>
      <c r="D6981" s="2" t="str">
        <f t="shared" si="108"/>
        <v>Error?</v>
      </c>
    </row>
    <row r="6982" spans="1:4" x14ac:dyDescent="0.2">
      <c r="A6982">
        <v>6921</v>
      </c>
      <c r="B6982" s="138">
        <f>'Expenditures 15-22'!K85</f>
        <v>300</v>
      </c>
      <c r="D6982" s="2" t="str">
        <f t="shared" si="108"/>
        <v>Error?</v>
      </c>
    </row>
    <row r="6983" spans="1:4" x14ac:dyDescent="0.2">
      <c r="A6983">
        <v>6922</v>
      </c>
      <c r="B6983" s="138">
        <f>'Expenditures 15-22'!H86</f>
        <v>85130</v>
      </c>
      <c r="D6983" s="2" t="str">
        <f t="shared" si="108"/>
        <v>Error?</v>
      </c>
    </row>
    <row r="6984" spans="1:4" x14ac:dyDescent="0.2">
      <c r="A6984">
        <v>6923</v>
      </c>
      <c r="B6984" s="138">
        <f>'Expenditures 15-22'!K86</f>
        <v>85130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85430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453207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501544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3154</v>
      </c>
      <c r="D7073" s="2" t="str">
        <f t="shared" si="109"/>
        <v>Error?</v>
      </c>
    </row>
    <row r="7074" spans="1:4" x14ac:dyDescent="0.2">
      <c r="A7074">
        <v>7013</v>
      </c>
      <c r="B7074" s="138">
        <f>'Expenditures 15-22'!K216</f>
        <v>3154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127</v>
      </c>
      <c r="D7079" s="2" t="str">
        <f t="shared" si="109"/>
        <v>Error?</v>
      </c>
    </row>
    <row r="7080" spans="1:4" x14ac:dyDescent="0.2">
      <c r="A7080">
        <v>7019</v>
      </c>
      <c r="B7080" s="138">
        <f>'Expenditures 15-22'!K226</f>
        <v>127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18649</v>
      </c>
      <c r="D7093" s="2" t="str">
        <f t="shared" si="109"/>
        <v>Error?</v>
      </c>
    </row>
    <row r="7094" spans="1:4" x14ac:dyDescent="0.2">
      <c r="A7094">
        <v>7033</v>
      </c>
      <c r="B7094" s="138">
        <f>'Expenditures 15-22'!K254</f>
        <v>18649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18503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18503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1242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1242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39937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39937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323306</v>
      </c>
      <c r="D7172" s="2" t="str">
        <f t="shared" si="111"/>
        <v>Error?</v>
      </c>
    </row>
    <row r="7173" spans="1:4" x14ac:dyDescent="0.2">
      <c r="A7173">
        <v>7112</v>
      </c>
      <c r="B7173" s="138">
        <f>'Expenditures 15-22'!D325</f>
        <v>53678</v>
      </c>
      <c r="D7173" s="2" t="str">
        <f t="shared" si="111"/>
        <v>Error?</v>
      </c>
    </row>
    <row r="7174" spans="1:4" x14ac:dyDescent="0.2">
      <c r="A7174">
        <v>7113</v>
      </c>
      <c r="B7174" s="138">
        <f>'Expenditures 15-22'!E325</f>
        <v>13118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390102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3423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3423</v>
      </c>
      <c r="D7198" s="2" t="str">
        <f t="shared" si="111"/>
        <v>Error?</v>
      </c>
    </row>
    <row r="7199" spans="1:4" x14ac:dyDescent="0.2">
      <c r="A7199">
        <v>7138</v>
      </c>
      <c r="B7199" s="138">
        <f>'Expenditures 15-22'!C330</f>
        <v>323306</v>
      </c>
      <c r="D7199" s="2" t="str">
        <f t="shared" si="111"/>
        <v>Error?</v>
      </c>
    </row>
    <row r="7200" spans="1:4" x14ac:dyDescent="0.2">
      <c r="A7200">
        <v>7139</v>
      </c>
      <c r="B7200" s="138">
        <f>'Expenditures 15-22'!D330</f>
        <v>53678</v>
      </c>
      <c r="D7200" s="2" t="str">
        <f t="shared" si="111"/>
        <v>Error?</v>
      </c>
    </row>
    <row r="7201" spans="1:4" x14ac:dyDescent="0.2">
      <c r="A7201">
        <v>7140</v>
      </c>
      <c r="B7201" s="138">
        <f>'Expenditures 15-22'!E330</f>
        <v>76223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453207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323306</v>
      </c>
      <c r="D7216" s="2" t="str">
        <f t="shared" si="111"/>
        <v>Error?</v>
      </c>
    </row>
    <row r="7217" spans="1:4" x14ac:dyDescent="0.2">
      <c r="A7217">
        <v>7156</v>
      </c>
      <c r="B7217" s="138">
        <f>'Expenditures 15-22'!D342</f>
        <v>53678</v>
      </c>
      <c r="D7217" s="2" t="str">
        <f t="shared" si="111"/>
        <v>Error?</v>
      </c>
    </row>
    <row r="7218" spans="1:4" x14ac:dyDescent="0.2">
      <c r="A7218">
        <v>7157</v>
      </c>
      <c r="B7218" s="138">
        <f>'Expenditures 15-22'!E342</f>
        <v>76223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453207</v>
      </c>
      <c r="D7224" s="2" t="str">
        <f t="shared" si="111"/>
        <v>Error?</v>
      </c>
    </row>
    <row r="7225" spans="1:4" x14ac:dyDescent="0.2">
      <c r="A7225">
        <v>7164</v>
      </c>
      <c r="B7225" s="138">
        <f>'Expenditures 15-22'!K343</f>
        <v>48337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12324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9361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9714</v>
      </c>
      <c r="D7263" s="2" t="str">
        <f t="shared" si="112"/>
        <v>Error?</v>
      </c>
    </row>
    <row r="7264" spans="1:4" x14ac:dyDescent="0.2">
      <c r="A7264">
        <f t="shared" si="113"/>
        <v>7203</v>
      </c>
      <c r="B7264" s="138">
        <f>'Expenditures 15-22'!D17</f>
        <v>2064</v>
      </c>
      <c r="D7264" s="2" t="str">
        <f t="shared" si="112"/>
        <v>Error?</v>
      </c>
    </row>
    <row r="7265" spans="1:5" x14ac:dyDescent="0.2">
      <c r="A7265">
        <f t="shared" si="113"/>
        <v>7204</v>
      </c>
      <c r="B7265" s="138">
        <f>'Expenditures 15-22'!E17</f>
        <v>1066</v>
      </c>
      <c r="D7265" s="2" t="str">
        <f t="shared" si="112"/>
        <v>Error?</v>
      </c>
    </row>
    <row r="7266" spans="1:5" x14ac:dyDescent="0.2">
      <c r="A7266">
        <f t="shared" si="113"/>
        <v>7205</v>
      </c>
      <c r="B7266" s="138">
        <f>'Expenditures 15-22'!F17</f>
        <v>422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33282</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33282</v>
      </c>
      <c r="D7600" s="2" t="str">
        <f t="shared" si="122"/>
        <v>Error?</v>
      </c>
      <c r="E7600" s="2" t="s">
        <v>19</v>
      </c>
    </row>
    <row r="7601" spans="1:5" x14ac:dyDescent="0.2">
      <c r="A7601">
        <f t="shared" si="123"/>
        <v>7540</v>
      </c>
      <c r="B7601" s="138">
        <f>'Cap Outlay Deprec 26'!H6</f>
        <v>27436</v>
      </c>
      <c r="D7601" s="2" t="str">
        <f t="shared" si="122"/>
        <v>Error?</v>
      </c>
      <c r="E7601" s="2" t="s">
        <v>19</v>
      </c>
    </row>
    <row r="7602" spans="1:5" x14ac:dyDescent="0.2">
      <c r="A7602">
        <f t="shared" si="123"/>
        <v>7541</v>
      </c>
      <c r="B7602" s="138">
        <f>'Cap Outlay Deprec 26'!I6</f>
        <v>700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28136</v>
      </c>
      <c r="D7604" s="2" t="str">
        <f t="shared" si="122"/>
        <v>Error?</v>
      </c>
      <c r="E7604" s="2" t="s">
        <v>19</v>
      </c>
    </row>
    <row r="7605" spans="1:5" x14ac:dyDescent="0.2">
      <c r="A7605">
        <f t="shared" si="123"/>
        <v>7544</v>
      </c>
      <c r="B7605" s="138">
        <f>'Cap Outlay Deprec 26'!L6</f>
        <v>5146</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202419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199602</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900</v>
      </c>
      <c r="D7712" s="2" t="str">
        <f t="shared" si="126"/>
        <v>Error?</v>
      </c>
      <c r="E7712" s="2" t="s">
        <v>881</v>
      </c>
    </row>
    <row r="7713" spans="1:6" x14ac:dyDescent="0.2">
      <c r="A7713">
        <v>7652</v>
      </c>
      <c r="B7713" s="138">
        <f>'Rest Tax Levies-Tort Im 25'!J8</f>
        <v>138569</v>
      </c>
      <c r="D7713" s="2" t="str">
        <f t="shared" si="126"/>
        <v>Error?</v>
      </c>
      <c r="E7713" s="2" t="s">
        <v>881</v>
      </c>
    </row>
    <row r="7714" spans="1:6" x14ac:dyDescent="0.2">
      <c r="A7714">
        <v>7653</v>
      </c>
      <c r="B7714" s="138">
        <f>'Rest Tax Levies-Tort Im 25'!K9</f>
        <v>4150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138569</v>
      </c>
      <c r="D7718" s="2" t="str">
        <f t="shared" si="126"/>
        <v>Error?</v>
      </c>
      <c r="E7718" s="2" t="s">
        <v>881</v>
      </c>
    </row>
    <row r="7719" spans="1:6" x14ac:dyDescent="0.2">
      <c r="A7719">
        <v>7658</v>
      </c>
      <c r="B7719" s="138">
        <f>'Rest Tax Levies-Tort Im 25'!K12</f>
        <v>5050</v>
      </c>
      <c r="D7719" s="2" t="str">
        <f t="shared" si="126"/>
        <v>Error?</v>
      </c>
      <c r="E7719" s="2" t="s">
        <v>881</v>
      </c>
    </row>
    <row r="7720" spans="1:6" x14ac:dyDescent="0.2">
      <c r="A7720">
        <v>7659</v>
      </c>
      <c r="B7720" s="138">
        <f>'Rest Tax Levies-Tort Im 25'!H14</f>
        <v>15554</v>
      </c>
      <c r="D7720" s="2" t="str">
        <f t="shared" si="126"/>
        <v>Error?</v>
      </c>
      <c r="E7720" s="2" t="s">
        <v>881</v>
      </c>
    </row>
    <row r="7721" spans="1:6" x14ac:dyDescent="0.2">
      <c r="A7721">
        <v>7660</v>
      </c>
      <c r="B7721" s="138">
        <f>'Rest Tax Levies-Tort Im 25'!K14</f>
        <v>5050</v>
      </c>
      <c r="D7721" s="2" t="str">
        <f t="shared" si="126"/>
        <v>Error?</v>
      </c>
      <c r="E7721" s="2" t="s">
        <v>881</v>
      </c>
    </row>
    <row r="7722" spans="1:6" x14ac:dyDescent="0.2">
      <c r="A7722">
        <v>7661</v>
      </c>
      <c r="B7722" s="138">
        <f>'Rest Tax Levies-Tort Im 25'!J15</f>
        <v>117707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117707</v>
      </c>
      <c r="D7730" s="2" t="str">
        <f t="shared" si="126"/>
        <v>Error?</v>
      </c>
      <c r="E7730" s="2" t="s">
        <v>881</v>
      </c>
    </row>
    <row r="7731" spans="1:6" x14ac:dyDescent="0.2">
      <c r="A7731">
        <v>7670</v>
      </c>
      <c r="B7731" s="138">
        <f>'Revenues 9-14'!H103</f>
        <v>138569</v>
      </c>
      <c r="D7731" s="2" t="str">
        <f t="shared" si="126"/>
        <v>Error?</v>
      </c>
      <c r="E7731" s="2" t="s">
        <v>881</v>
      </c>
    </row>
    <row r="7732" spans="1:6" x14ac:dyDescent="0.2">
      <c r="A7732">
        <v>7671</v>
      </c>
      <c r="B7732" s="138">
        <f>'Rest Tax Levies-Tort Im 25'!J24</f>
        <v>220464</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220464</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55000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26540</v>
      </c>
      <c r="D7797" s="2" t="str">
        <f t="shared" si="127"/>
        <v>Error?</v>
      </c>
      <c r="E7797" s="4" t="s">
        <v>2019</v>
      </c>
    </row>
    <row r="7798" spans="1:5" x14ac:dyDescent="0.2">
      <c r="A7798">
        <v>7737</v>
      </c>
      <c r="B7798" s="138">
        <f>'Contracts Paid in CY 29'!F141</f>
        <v>25000</v>
      </c>
      <c r="D7798" s="2" t="str">
        <f t="shared" si="127"/>
        <v>Error?</v>
      </c>
      <c r="E7798" s="4" t="s">
        <v>2019</v>
      </c>
    </row>
    <row r="7799" spans="1:5" x14ac:dyDescent="0.2">
      <c r="A7799">
        <v>7738</v>
      </c>
      <c r="B7799" s="138">
        <f>'Contracts Paid in CY 29'!G141</f>
        <v>1540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3"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Griggsville-Perry Community Unit School District #4</v>
      </c>
      <c r="B7" s="2422"/>
      <c r="C7" s="2422"/>
      <c r="D7" s="2423"/>
      <c r="E7" s="2424">
        <f>COVER!A13</f>
        <v>7075004026</v>
      </c>
      <c r="F7" s="2425"/>
      <c r="G7" s="2431" t="str">
        <f>COVER!T23</f>
        <v>066-004993</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Zumbahlen, Eyth, Surratt, Foote &amp; Flynn, Ltd</v>
      </c>
      <c r="H9" s="2437"/>
      <c r="I9" s="2437"/>
      <c r="J9" s="2437"/>
      <c r="K9" s="2437"/>
      <c r="L9" s="2438"/>
    </row>
    <row r="10" spans="1:29" ht="13.5" customHeight="1" x14ac:dyDescent="0.2">
      <c r="A10" s="2411" t="str">
        <f>COVER!A38</f>
        <v>Kent Hawley</v>
      </c>
      <c r="B10" s="2412"/>
      <c r="C10" s="2412"/>
      <c r="D10" s="2412"/>
      <c r="E10" s="2412"/>
      <c r="F10" s="2413"/>
      <c r="G10" s="2405" t="str">
        <f>COVER!T17</f>
        <v>1395 Lincoln Ave</v>
      </c>
      <c r="H10" s="2406"/>
      <c r="I10" s="2406"/>
      <c r="J10" s="2406"/>
      <c r="K10" s="2406"/>
      <c r="L10" s="2407"/>
    </row>
    <row r="11" spans="1:29" ht="13.5" customHeight="1" x14ac:dyDescent="0.2">
      <c r="A11" s="1185" t="s">
        <v>1599</v>
      </c>
      <c r="B11" s="1186"/>
      <c r="C11" s="1187"/>
      <c r="D11" s="1192"/>
      <c r="E11" s="1187"/>
      <c r="F11" s="1191"/>
      <c r="G11" s="2405" t="str">
        <f>COVER!T19</f>
        <v>Jacksonville</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ssteckel@zescpa.com</v>
      </c>
      <c r="J13" s="2418"/>
      <c r="K13" s="2418"/>
      <c r="L13" s="2419"/>
    </row>
    <row r="14" spans="1:29" ht="13.5" customHeight="1" x14ac:dyDescent="0.2">
      <c r="A14" s="2405" t="str">
        <f>COVER!A19</f>
        <v>P.O. Box 439</v>
      </c>
      <c r="B14" s="2406"/>
      <c r="C14" s="2406"/>
      <c r="D14" s="2406"/>
      <c r="E14" s="2406"/>
      <c r="F14" s="2407"/>
      <c r="G14" s="1196" t="s">
        <v>1247</v>
      </c>
      <c r="H14" s="1194"/>
      <c r="I14" s="1194"/>
      <c r="J14" s="1194"/>
      <c r="K14" s="1194"/>
      <c r="L14" s="1195"/>
    </row>
    <row r="15" spans="1:29" ht="13.5" customHeight="1" x14ac:dyDescent="0.2">
      <c r="A15" s="2405" t="str">
        <f>COVER!A21</f>
        <v xml:space="preserve">Griggsville </v>
      </c>
      <c r="B15" s="2406"/>
      <c r="C15" s="2406"/>
      <c r="D15" s="2406"/>
      <c r="E15" s="2406"/>
      <c r="F15" s="2407"/>
      <c r="G15" s="2402" t="str">
        <f>COVER!T15</f>
        <v>Suzanne Steckel</v>
      </c>
      <c r="H15" s="2403"/>
      <c r="I15" s="2403"/>
      <c r="J15" s="2403"/>
      <c r="K15" s="2403"/>
      <c r="L15" s="2404"/>
    </row>
    <row r="16" spans="1:29" ht="12.2" customHeight="1" x14ac:dyDescent="0.2">
      <c r="A16" s="2427">
        <f>COVER!A25</f>
        <v>62340</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217-245-5121</v>
      </c>
      <c r="H18" s="2422"/>
      <c r="I18" s="2422"/>
      <c r="J18" s="2422"/>
      <c r="K18" s="2421" t="str">
        <f>COVER!X21</f>
        <v>217-243-3356</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Griggsville-Perry Community Unit School District #4</v>
      </c>
      <c r="B1" s="2420"/>
      <c r="C1" s="2420"/>
      <c r="D1" s="2420"/>
    </row>
    <row r="2" spans="1:11" s="1215" customFormat="1" ht="12.75" x14ac:dyDescent="0.2">
      <c r="A2" s="2444">
        <f>'Single Audit Cover'!E7</f>
        <v>7075004026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Griggsville-Perry Community Unit School District #4</v>
      </c>
      <c r="B1" s="2447"/>
      <c r="C1" s="2447"/>
      <c r="D1" s="2447"/>
      <c r="E1" s="2447"/>
    </row>
    <row r="2" spans="1:5" x14ac:dyDescent="0.2">
      <c r="A2" s="2448">
        <f>'Single Audit Cover'!E7</f>
        <v>7075004026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481082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20072</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-51480</v>
      </c>
    </row>
    <row r="19" spans="1:4" ht="13.5" thickBot="1" x14ac:dyDescent="0.25">
      <c r="A19" s="1265" t="s">
        <v>1297</v>
      </c>
      <c r="D19" s="1266">
        <f>SUM(D10:D17)</f>
        <v>449674</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449674</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449674</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Griggsville-Perry Community Unit School District #4</v>
      </c>
      <c r="B1" s="2460"/>
      <c r="C1" s="2460"/>
      <c r="D1" s="2460"/>
      <c r="E1" s="2460"/>
      <c r="F1" s="2460"/>
    </row>
    <row r="2" spans="1:7" ht="13.5" customHeight="1" x14ac:dyDescent="0.2">
      <c r="A2" s="2461">
        <f>'Single Audit Cover'!E7</f>
        <v>7075004026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1" t="s">
        <v>1332</v>
      </c>
      <c r="D15" s="2457" t="s">
        <v>1331</v>
      </c>
      <c r="E15" s="2457"/>
      <c r="F15" s="2457"/>
    </row>
    <row r="16" spans="1:7" ht="13.5" customHeight="1" x14ac:dyDescent="0.2">
      <c r="A16" s="1282"/>
      <c r="B16" s="1276" t="s">
        <v>1330</v>
      </c>
      <c r="C16" s="1871"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4">
        <f>+C33+C34</f>
        <v>0</v>
      </c>
      <c r="F34" s="2455"/>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70"/>
      <c r="C50" s="1870"/>
      <c r="D50" s="1870"/>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Griggsville-Perry Community Unit School District #4</v>
      </c>
      <c r="C1" s="2464"/>
      <c r="D1" s="2464"/>
      <c r="E1" s="2464"/>
      <c r="F1" s="2464"/>
      <c r="G1" s="2464"/>
      <c r="H1" s="2464"/>
      <c r="I1" s="2464"/>
      <c r="J1" s="2464"/>
      <c r="K1" s="2464"/>
      <c r="L1" s="2464"/>
      <c r="M1" s="2464"/>
    </row>
    <row r="2" spans="2:14" ht="15" x14ac:dyDescent="0.2">
      <c r="B2" s="2461">
        <f>'Single Audit Cover'!E7</f>
        <v>7075004026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K143"/>
  <sheetViews>
    <sheetView showGridLines="0" defaultGridColor="0" topLeftCell="A98"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2096</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2096</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2087</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Griggsville-Perry Community Unit School District #4</v>
      </c>
      <c r="C1" s="2479"/>
      <c r="D1" s="2479"/>
      <c r="E1" s="2479"/>
      <c r="F1" s="2479"/>
      <c r="G1" s="2479"/>
      <c r="H1" s="2479"/>
      <c r="I1" s="2479"/>
      <c r="J1" s="1422"/>
    </row>
    <row r="2" spans="2:10" s="317" customFormat="1" ht="12.75" customHeight="1" x14ac:dyDescent="0.2">
      <c r="B2" s="2480">
        <f>'Single Audit Cover'!E7</f>
        <v>7075004026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Griggsville-Perry Community Unit School District #4</v>
      </c>
      <c r="C1" s="2478"/>
      <c r="D1" s="2478"/>
      <c r="E1" s="2478"/>
      <c r="F1" s="2478"/>
      <c r="G1" s="2478"/>
      <c r="H1" s="2478"/>
      <c r="I1" s="2478"/>
      <c r="J1" s="2478"/>
      <c r="K1" s="2478"/>
      <c r="L1" s="1374"/>
      <c r="M1" s="1374"/>
    </row>
    <row r="2" spans="1:13" ht="12" customHeight="1" x14ac:dyDescent="0.2">
      <c r="B2" s="2480">
        <f>'Single Audit Cover'!E7</f>
        <v>7075004026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Griggsville-Perry Community Unit School District #4</v>
      </c>
      <c r="C1" s="2501"/>
      <c r="D1" s="2501"/>
      <c r="E1" s="2501"/>
      <c r="F1" s="2501"/>
      <c r="G1" s="2501"/>
      <c r="H1" s="2501"/>
      <c r="I1" s="2501"/>
      <c r="J1" s="2501"/>
      <c r="K1" s="2501"/>
      <c r="L1" s="1465"/>
    </row>
    <row r="2" spans="1:12" ht="12.75" customHeight="1" x14ac:dyDescent="0.2">
      <c r="B2" s="2502">
        <f>'Single Audit Cover'!E7</f>
        <v>7075004026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Griggsville-Perry Community Unit School District #4</v>
      </c>
      <c r="C1" s="2478"/>
      <c r="D1" s="2478"/>
      <c r="E1" s="1491"/>
    </row>
    <row r="2" spans="2:5" s="1282" customFormat="1" ht="12.75" customHeight="1" x14ac:dyDescent="0.2">
      <c r="B2" s="2480">
        <f>'Single Audit Cover'!E7</f>
        <v>7075004026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N72"/>
  <sheetViews>
    <sheetView showGridLines="0" defaultGridColor="0" colorId="8" zoomScale="110" zoomScaleNormal="110" workbookViewId="0">
      <selection activeCell="F25" sqref="F2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40896954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5.7499999999999999E-3</v>
      </c>
      <c r="G10" s="356" t="s">
        <v>1062</v>
      </c>
      <c r="H10" s="355">
        <v>2E-3</v>
      </c>
      <c r="I10" s="356" t="s">
        <v>1063</v>
      </c>
      <c r="J10" s="1754">
        <f>ROUND(D10+F10+H10,5)</f>
        <v>2.615E-2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3999253</v>
      </c>
      <c r="E16" s="356"/>
      <c r="F16" s="1755">
        <f>SUM('Acct Summary 7-8'!C17,'Acct Summary 7-8'!D17,'Acct Summary 7-8'!F17)</f>
        <v>3919492</v>
      </c>
      <c r="G16" s="356"/>
      <c r="H16" s="1755">
        <f>SUM(D16-F16)</f>
        <v>79761</v>
      </c>
      <c r="I16" s="222"/>
      <c r="J16" s="1755">
        <f>SUM('Acct Summary 7-8'!C81,'Acct Summary 7-8'!D81,'Acct Summary 7-8'!F81,'Acct Summary 7-8'!I81)</f>
        <v>938133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5643779.6520000007</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4332200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50"/>
  </sheetPr>
  <dimension ref="A1:R44"/>
  <sheetViews>
    <sheetView showGridLines="0" topLeftCell="A1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Griggsville-Perry Community Unit School District #4</v>
      </c>
      <c r="E7" s="391"/>
      <c r="G7" s="252"/>
      <c r="H7" s="387"/>
      <c r="I7" s="387"/>
      <c r="J7" s="387"/>
      <c r="K7" s="387"/>
      <c r="L7" s="329"/>
      <c r="M7" s="329"/>
      <c r="N7" s="329"/>
      <c r="O7" s="329"/>
      <c r="P7" s="329"/>
    </row>
    <row r="8" spans="1:18" ht="12.75" x14ac:dyDescent="0.2">
      <c r="A8" s="329"/>
      <c r="B8" s="329"/>
      <c r="C8" s="389" t="s">
        <v>1187</v>
      </c>
      <c r="D8" s="392">
        <f>COVER!A13</f>
        <v>7075004026</v>
      </c>
      <c r="E8" s="393"/>
      <c r="G8" s="329"/>
      <c r="H8" s="329"/>
      <c r="I8" s="329"/>
      <c r="J8" s="329"/>
      <c r="K8" s="329"/>
      <c r="L8" s="329"/>
      <c r="M8" s="329"/>
      <c r="N8" s="329"/>
      <c r="O8" s="329"/>
      <c r="P8" s="329"/>
    </row>
    <row r="9" spans="1:18" ht="12.75" x14ac:dyDescent="0.2">
      <c r="A9" s="329"/>
      <c r="B9" s="329"/>
      <c r="C9" s="389" t="s">
        <v>737</v>
      </c>
      <c r="D9" s="394" t="str">
        <f>COVER!A15</f>
        <v>Pike, Adams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938133</v>
      </c>
      <c r="I12" s="404"/>
      <c r="J12" s="404"/>
      <c r="K12" s="405">
        <f>TRUNC((H12/H13*100000),5)/100000</f>
        <v>0.23457705720000002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3999253</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3919492</v>
      </c>
      <c r="I17" s="404"/>
      <c r="J17" s="416"/>
      <c r="K17" s="405">
        <f>TRUNC((H17/H18*100000),5)/100000</f>
        <v>0.98005602540000003</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3999253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938133</v>
      </c>
      <c r="I24" s="422"/>
      <c r="J24" s="422"/>
      <c r="K24" s="423">
        <f>TRUNC(((H24/H25*100000)/100000),2)</f>
        <v>86.16</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10887.477779999999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909037.04504</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4332200</v>
      </c>
      <c r="I32" s="420"/>
      <c r="J32" s="420"/>
      <c r="K32" s="423">
        <f>TRUNC(100-((((H32/H33*100))*100)/100),2)</f>
        <v>23.23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5643779.6520000007</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3.15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50"/>
  </sheetPr>
  <dimension ref="A1:N44"/>
  <sheetViews>
    <sheetView showGridLines="0" defaultGridColor="0" topLeftCell="B1" colorId="8" zoomScale="110" zoomScaleNormal="110" workbookViewId="0">
      <pane ySplit="2" topLeftCell="A18"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506950</v>
      </c>
      <c r="D4" s="466">
        <v>110955</v>
      </c>
      <c r="E4" s="466">
        <v>55700</v>
      </c>
      <c r="F4" s="466">
        <v>317823</v>
      </c>
      <c r="G4" s="466">
        <v>174973</v>
      </c>
      <c r="H4" s="466">
        <v>220464</v>
      </c>
      <c r="I4" s="466">
        <v>2405</v>
      </c>
      <c r="J4" s="467">
        <v>224127</v>
      </c>
      <c r="K4" s="466">
        <v>71715</v>
      </c>
      <c r="L4" s="466">
        <v>171553</v>
      </c>
      <c r="M4" s="468"/>
      <c r="N4" s="469"/>
    </row>
    <row r="5" spans="1:14" x14ac:dyDescent="0.2">
      <c r="A5" s="463" t="s">
        <v>1049</v>
      </c>
      <c r="B5" s="470">
        <v>120</v>
      </c>
      <c r="C5" s="465"/>
      <c r="D5" s="466"/>
      <c r="E5" s="466">
        <v>1001268</v>
      </c>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506950</v>
      </c>
      <c r="D13" s="1759">
        <f t="shared" ref="D13:L13" si="0">SUM(D4:D12)</f>
        <v>110955</v>
      </c>
      <c r="E13" s="1759">
        <f t="shared" si="0"/>
        <v>1056968</v>
      </c>
      <c r="F13" s="1759">
        <f t="shared" si="0"/>
        <v>317823</v>
      </c>
      <c r="G13" s="1759">
        <f t="shared" si="0"/>
        <v>174973</v>
      </c>
      <c r="H13" s="1759">
        <f t="shared" si="0"/>
        <v>220464</v>
      </c>
      <c r="I13" s="1759">
        <f t="shared" si="0"/>
        <v>2405</v>
      </c>
      <c r="J13" s="1759">
        <f t="shared" si="0"/>
        <v>224127</v>
      </c>
      <c r="K13" s="1759">
        <f t="shared" si="0"/>
        <v>71715</v>
      </c>
      <c r="L13" s="1759">
        <f t="shared" si="0"/>
        <v>171553</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52535</v>
      </c>
      <c r="N16" s="484"/>
    </row>
    <row r="17" spans="1:14" s="485" customFormat="1" ht="12.75" customHeight="1" x14ac:dyDescent="0.2">
      <c r="A17" s="482" t="s">
        <v>1470</v>
      </c>
      <c r="B17" s="483">
        <v>230</v>
      </c>
      <c r="C17" s="477"/>
      <c r="D17" s="477"/>
      <c r="E17" s="477"/>
      <c r="F17" s="477"/>
      <c r="G17" s="477"/>
      <c r="H17" s="477"/>
      <c r="I17" s="477"/>
      <c r="J17" s="477"/>
      <c r="K17" s="477"/>
      <c r="L17" s="477"/>
      <c r="M17" s="467">
        <v>8783163</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f>1054048+49923</f>
        <v>1103971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1056968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3275232</v>
      </c>
    </row>
    <row r="23" spans="1:14" ht="13.5" customHeight="1" thickBot="1" x14ac:dyDescent="0.25">
      <c r="A23" s="1758" t="s">
        <v>664</v>
      </c>
      <c r="B23" s="1763"/>
      <c r="C23" s="468"/>
      <c r="D23" s="468"/>
      <c r="E23" s="468"/>
      <c r="F23" s="468"/>
      <c r="G23" s="468"/>
      <c r="H23" s="468"/>
      <c r="I23" s="468"/>
      <c r="J23" s="468"/>
      <c r="K23" s="468"/>
      <c r="L23" s="468"/>
      <c r="M23" s="1710">
        <f>SUM(M15:M22)</f>
        <v>9939669</v>
      </c>
      <c r="N23" s="1710">
        <f>SUM(N21:N22)</f>
        <v>4332200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171553</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171553</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4332200</v>
      </c>
    </row>
    <row r="37" spans="1:14" ht="13.5" thickBot="1" x14ac:dyDescent="0.25">
      <c r="A37" s="1758" t="s">
        <v>674</v>
      </c>
      <c r="B37" s="1763"/>
      <c r="C37" s="477"/>
      <c r="D37" s="477"/>
      <c r="E37" s="477"/>
      <c r="F37" s="477"/>
      <c r="G37" s="477"/>
      <c r="H37" s="477"/>
      <c r="I37" s="477"/>
      <c r="J37" s="477"/>
      <c r="K37" s="477"/>
      <c r="L37" s="480"/>
      <c r="M37" s="468"/>
      <c r="N37" s="1710">
        <f>SUM(N36:N36)</f>
        <v>4332200</v>
      </c>
    </row>
    <row r="38" spans="1:14" s="329" customFormat="1" ht="13.5" customHeight="1" thickTop="1" x14ac:dyDescent="0.2">
      <c r="A38" s="496" t="s">
        <v>440</v>
      </c>
      <c r="B38" s="483">
        <v>714</v>
      </c>
      <c r="C38" s="466">
        <v>12738</v>
      </c>
      <c r="D38" s="466"/>
      <c r="E38" s="466"/>
      <c r="F38" s="466"/>
      <c r="G38" s="466">
        <v>56703</v>
      </c>
      <c r="H38" s="466">
        <v>220464</v>
      </c>
      <c r="I38" s="466"/>
      <c r="J38" s="467"/>
      <c r="K38" s="466"/>
      <c r="L38" s="481"/>
      <c r="M38" s="497"/>
      <c r="N38" s="497"/>
    </row>
    <row r="39" spans="1:14" s="329" customFormat="1" ht="13.5" customHeight="1" x14ac:dyDescent="0.2">
      <c r="A39" s="496" t="s">
        <v>360</v>
      </c>
      <c r="B39" s="483">
        <v>730</v>
      </c>
      <c r="C39" s="466">
        <v>494212</v>
      </c>
      <c r="D39" s="466">
        <v>110955</v>
      </c>
      <c r="E39" s="466">
        <v>1056968</v>
      </c>
      <c r="F39" s="466">
        <v>317823</v>
      </c>
      <c r="G39" s="466">
        <v>118270</v>
      </c>
      <c r="H39" s="466"/>
      <c r="I39" s="466">
        <v>2405</v>
      </c>
      <c r="J39" s="467">
        <v>224127</v>
      </c>
      <c r="K39" s="466">
        <v>71715</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9939669</v>
      </c>
      <c r="N40" s="497"/>
    </row>
    <row r="41" spans="1:14" ht="13.5" customHeight="1" thickBot="1" x14ac:dyDescent="0.25">
      <c r="A41" s="1758" t="s">
        <v>676</v>
      </c>
      <c r="B41" s="1728"/>
      <c r="C41" s="1710">
        <f>(SUM(C34,C37,C38,C39))</f>
        <v>506950</v>
      </c>
      <c r="D41" s="1710">
        <f t="shared" ref="D41:L41" si="2">SUM(D34,D37,D38:D39)</f>
        <v>110955</v>
      </c>
      <c r="E41" s="1710">
        <f t="shared" si="2"/>
        <v>1056968</v>
      </c>
      <c r="F41" s="1710">
        <f t="shared" si="2"/>
        <v>317823</v>
      </c>
      <c r="G41" s="1710">
        <f t="shared" si="2"/>
        <v>174973</v>
      </c>
      <c r="H41" s="1710">
        <f t="shared" si="2"/>
        <v>220464</v>
      </c>
      <c r="I41" s="1710">
        <f t="shared" si="2"/>
        <v>2405</v>
      </c>
      <c r="J41" s="1710">
        <f t="shared" si="2"/>
        <v>224127</v>
      </c>
      <c r="K41" s="1710">
        <f t="shared" si="2"/>
        <v>71715</v>
      </c>
      <c r="L41" s="1710">
        <f t="shared" si="2"/>
        <v>171553</v>
      </c>
      <c r="M41" s="1710">
        <f>SUM(M40)</f>
        <v>9939669</v>
      </c>
      <c r="N41" s="1710">
        <f>SUM(N37)</f>
        <v>4332200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947733</v>
      </c>
      <c r="D4" s="1764">
        <f>'Revenues 9-14'!D109</f>
        <v>227300</v>
      </c>
      <c r="E4" s="1764">
        <f>'Revenues 9-14'!E109</f>
        <v>546964</v>
      </c>
      <c r="F4" s="1764">
        <f>'Revenues 9-14'!F109</f>
        <v>102333</v>
      </c>
      <c r="G4" s="1764">
        <f>'Revenues 9-14'!G109</f>
        <v>167880</v>
      </c>
      <c r="H4" s="1764">
        <f>'Revenues 9-14'!H109</f>
        <v>138569</v>
      </c>
      <c r="I4" s="1764">
        <f>'Revenues 9-14'!I109</f>
        <v>19316</v>
      </c>
      <c r="J4" s="1764">
        <f>'Revenues 9-14'!J109</f>
        <v>501544</v>
      </c>
      <c r="K4" s="1764">
        <f>'Revenues 9-14'!K109</f>
        <v>19443</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1811076</v>
      </c>
      <c r="D6" s="1765">
        <f>'Revenues 9-14'!D173</f>
        <v>65262</v>
      </c>
      <c r="E6" s="1765">
        <f>'Revenues 9-14'!E173</f>
        <v>0</v>
      </c>
      <c r="F6" s="1765">
        <f>'Revenues 9-14'!F173</f>
        <v>345151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481082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3239891</v>
      </c>
      <c r="D8" s="1710">
        <f t="shared" ref="D8:K8" si="0">SUM(D4:D7)</f>
        <v>292562</v>
      </c>
      <c r="E8" s="1710">
        <f t="shared" si="0"/>
        <v>546964</v>
      </c>
      <c r="F8" s="1710">
        <f t="shared" si="0"/>
        <v>447484</v>
      </c>
      <c r="G8" s="1710">
        <f t="shared" si="0"/>
        <v>167880</v>
      </c>
      <c r="H8" s="1710">
        <f t="shared" si="0"/>
        <v>138569</v>
      </c>
      <c r="I8" s="1710">
        <f t="shared" si="0"/>
        <v>19316</v>
      </c>
      <c r="J8" s="1710">
        <f t="shared" si="0"/>
        <v>501544</v>
      </c>
      <c r="K8" s="1710">
        <f t="shared" si="0"/>
        <v>19443</v>
      </c>
      <c r="L8" s="347"/>
    </row>
    <row r="9" spans="1:13" ht="15.75" thickTop="1" x14ac:dyDescent="0.2">
      <c r="A9" s="514" t="s">
        <v>1752</v>
      </c>
      <c r="B9" s="515">
        <v>3998</v>
      </c>
      <c r="C9" s="481">
        <v>962910</v>
      </c>
      <c r="D9" s="516"/>
      <c r="E9" s="481"/>
      <c r="F9" s="481"/>
      <c r="G9" s="517"/>
      <c r="H9" s="481"/>
      <c r="I9" s="509" t="s">
        <v>1231</v>
      </c>
      <c r="J9" s="478"/>
      <c r="K9" s="481"/>
      <c r="L9" s="347"/>
    </row>
    <row r="10" spans="1:13" s="519" customFormat="1" ht="13.5" thickBot="1" x14ac:dyDescent="0.25">
      <c r="A10" s="1758" t="s">
        <v>1235</v>
      </c>
      <c r="B10" s="1731"/>
      <c r="C10" s="1710">
        <f>SUM(C8:C9)</f>
        <v>4202801</v>
      </c>
      <c r="D10" s="1710">
        <f t="shared" ref="D10:K10" si="1">SUM(D8:D9)</f>
        <v>292562</v>
      </c>
      <c r="E10" s="1710">
        <f t="shared" si="1"/>
        <v>546964</v>
      </c>
      <c r="F10" s="1710">
        <f t="shared" si="1"/>
        <v>447484</v>
      </c>
      <c r="G10" s="1710">
        <f t="shared" si="1"/>
        <v>167880</v>
      </c>
      <c r="H10" s="1710">
        <f t="shared" si="1"/>
        <v>138569</v>
      </c>
      <c r="I10" s="1710">
        <f t="shared" si="1"/>
        <v>19316</v>
      </c>
      <c r="J10" s="1710">
        <f t="shared" si="1"/>
        <v>501544</v>
      </c>
      <c r="K10" s="1710">
        <f t="shared" si="1"/>
        <v>19443</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2142757</v>
      </c>
      <c r="D12" s="520" t="s">
        <v>1231</v>
      </c>
      <c r="E12" s="468" t="s">
        <v>1231</v>
      </c>
      <c r="F12" s="468" t="s">
        <v>1231</v>
      </c>
      <c r="G12" s="1764">
        <f>'Expenditures 15-22'!K229</f>
        <v>49174</v>
      </c>
      <c r="H12" s="521"/>
      <c r="I12" s="468" t="s">
        <v>1231</v>
      </c>
      <c r="J12" s="468" t="s">
        <v>1231</v>
      </c>
      <c r="K12" s="521" t="s">
        <v>1231</v>
      </c>
      <c r="L12" s="347"/>
    </row>
    <row r="13" spans="1:13" ht="15.75" customHeight="1" x14ac:dyDescent="0.2">
      <c r="A13" s="1598" t="s">
        <v>477</v>
      </c>
      <c r="B13" s="1600">
        <v>2000</v>
      </c>
      <c r="C13" s="1765">
        <f>'Expenditures 15-22'!K74</f>
        <v>819966</v>
      </c>
      <c r="D13" s="1765">
        <f>'Expenditures 15-22'!K129</f>
        <v>292421</v>
      </c>
      <c r="E13" s="469" t="s">
        <v>1231</v>
      </c>
      <c r="F13" s="1765">
        <f>'Expenditures 15-22'!K184</f>
        <v>457533</v>
      </c>
      <c r="G13" s="1765">
        <f>'Expenditures 15-22'!K279</f>
        <v>73034</v>
      </c>
      <c r="H13" s="1765">
        <f>'Expenditures 15-22'!K303</f>
        <v>117707</v>
      </c>
      <c r="I13" s="468" t="s">
        <v>1231</v>
      </c>
      <c r="J13" s="1765">
        <f>'Expenditures 15-22'!K330</f>
        <v>453207</v>
      </c>
      <c r="K13" s="1769">
        <f>'Expenditures 15-22'!K352</f>
        <v>0</v>
      </c>
      <c r="L13" s="347"/>
    </row>
    <row r="14" spans="1:13" ht="15.75" customHeight="1" x14ac:dyDescent="0.2">
      <c r="A14" s="1598" t="s">
        <v>469</v>
      </c>
      <c r="B14" s="1600">
        <v>3000</v>
      </c>
      <c r="C14" s="1765">
        <f>'Expenditures 15-22'!K75</f>
        <v>29853</v>
      </c>
      <c r="D14" s="1765">
        <f>'Expenditures 15-22'!K130</f>
        <v>0</v>
      </c>
      <c r="E14" s="520" t="s">
        <v>1231</v>
      </c>
      <c r="F14" s="1765">
        <f>'Expenditures 15-22'!K185</f>
        <v>0</v>
      </c>
      <c r="G14" s="1765">
        <f>'Expenditures 15-22'!K280</f>
        <v>4589</v>
      </c>
      <c r="H14" s="512"/>
      <c r="I14" s="468" t="s">
        <v>1231</v>
      </c>
      <c r="J14" s="468" t="s">
        <v>1231</v>
      </c>
      <c r="K14" s="512" t="s">
        <v>1231</v>
      </c>
      <c r="L14" s="347"/>
    </row>
    <row r="15" spans="1:13" ht="15.75" customHeight="1" x14ac:dyDescent="0.2">
      <c r="A15" s="1598" t="s">
        <v>109</v>
      </c>
      <c r="B15" s="1600">
        <v>4000</v>
      </c>
      <c r="C15" s="1765">
        <f>'Expenditures 15-22'!K102</f>
        <v>176962</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421697</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3169538</v>
      </c>
      <c r="D17" s="1710">
        <f t="shared" si="2"/>
        <v>292421</v>
      </c>
      <c r="E17" s="1710">
        <f t="shared" si="2"/>
        <v>421697</v>
      </c>
      <c r="F17" s="1710">
        <f t="shared" si="2"/>
        <v>457533</v>
      </c>
      <c r="G17" s="1710">
        <f t="shared" si="2"/>
        <v>126797</v>
      </c>
      <c r="H17" s="1710">
        <f t="shared" si="2"/>
        <v>117707</v>
      </c>
      <c r="I17" s="468"/>
      <c r="J17" s="1710">
        <f>SUM(J12:J16)</f>
        <v>453207</v>
      </c>
      <c r="K17" s="1710">
        <f>SUM(K12:K16)</f>
        <v>0</v>
      </c>
      <c r="L17" s="347"/>
    </row>
    <row r="18" spans="1:12" ht="15" customHeight="1" thickTop="1" x14ac:dyDescent="0.2">
      <c r="A18" s="1766" t="s">
        <v>1753</v>
      </c>
      <c r="B18" s="1767">
        <v>4180</v>
      </c>
      <c r="C18" s="1764">
        <f t="shared" ref="C18:H18" si="3">C9</f>
        <v>962910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4132448</v>
      </c>
      <c r="D19" s="1710">
        <f t="shared" si="4"/>
        <v>292421</v>
      </c>
      <c r="E19" s="1710">
        <f t="shared" si="4"/>
        <v>421697</v>
      </c>
      <c r="F19" s="1710">
        <f t="shared" si="4"/>
        <v>457533</v>
      </c>
      <c r="G19" s="1710">
        <f t="shared" si="4"/>
        <v>126797</v>
      </c>
      <c r="H19" s="1710">
        <f t="shared" si="4"/>
        <v>117707</v>
      </c>
      <c r="I19" s="468"/>
      <c r="J19" s="1710">
        <f>SUM(J17:J18)</f>
        <v>453207</v>
      </c>
      <c r="K19" s="1710">
        <f>SUM(K17:K18)</f>
        <v>0</v>
      </c>
      <c r="L19" s="347"/>
    </row>
    <row r="20" spans="1:12" ht="16.5" thickTop="1" thickBot="1" x14ac:dyDescent="0.25">
      <c r="A20" s="2144" t="s">
        <v>1754</v>
      </c>
      <c r="B20" s="2145"/>
      <c r="C20" s="1768">
        <f>C8-C17</f>
        <v>70353</v>
      </c>
      <c r="D20" s="1768">
        <f t="shared" ref="D20:K20" si="5">D8-D17</f>
        <v>141</v>
      </c>
      <c r="E20" s="1768">
        <f t="shared" si="5"/>
        <v>125267</v>
      </c>
      <c r="F20" s="1768">
        <f t="shared" si="5"/>
        <v>-10049</v>
      </c>
      <c r="G20" s="1768">
        <f t="shared" si="5"/>
        <v>41083</v>
      </c>
      <c r="H20" s="1768">
        <f t="shared" si="5"/>
        <v>20862</v>
      </c>
      <c r="I20" s="1768">
        <f t="shared" si="5"/>
        <v>19316</v>
      </c>
      <c r="J20" s="1768">
        <f t="shared" si="5"/>
        <v>48337</v>
      </c>
      <c r="K20" s="1768">
        <f t="shared" si="5"/>
        <v>19443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55000</v>
      </c>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55000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55000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55000</v>
      </c>
      <c r="J76" s="1725">
        <f t="shared" si="7"/>
        <v>0</v>
      </c>
      <c r="K76" s="1725">
        <f t="shared" si="7"/>
        <v>0</v>
      </c>
      <c r="L76" s="524"/>
    </row>
    <row r="77" spans="1:12" ht="14.25" thickTop="1" thickBot="1" x14ac:dyDescent="0.25">
      <c r="A77" s="2136" t="s">
        <v>1239</v>
      </c>
      <c r="B77" s="2137"/>
      <c r="C77" s="1725">
        <f t="shared" ref="C77:K77" si="8">C44-C76</f>
        <v>55000</v>
      </c>
      <c r="D77" s="1725">
        <f t="shared" si="8"/>
        <v>0</v>
      </c>
      <c r="E77" s="1725">
        <f t="shared" si="8"/>
        <v>0</v>
      </c>
      <c r="F77" s="1725">
        <f t="shared" si="8"/>
        <v>0</v>
      </c>
      <c r="G77" s="1725">
        <f t="shared" si="8"/>
        <v>0</v>
      </c>
      <c r="H77" s="1725">
        <f t="shared" si="8"/>
        <v>0</v>
      </c>
      <c r="I77" s="1725">
        <f t="shared" si="8"/>
        <v>-55000</v>
      </c>
      <c r="J77" s="1725">
        <f t="shared" si="8"/>
        <v>0</v>
      </c>
      <c r="K77" s="1725">
        <f t="shared" si="8"/>
        <v>0</v>
      </c>
      <c r="L77" s="347"/>
    </row>
    <row r="78" spans="1:12" ht="21.75" customHeight="1" thickTop="1" thickBot="1" x14ac:dyDescent="0.25">
      <c r="A78" s="2140" t="s">
        <v>618</v>
      </c>
      <c r="B78" s="2141"/>
      <c r="C78" s="1724">
        <f t="shared" ref="C78:K78" si="9">C20+C77</f>
        <v>125353</v>
      </c>
      <c r="D78" s="1724">
        <f t="shared" si="9"/>
        <v>141</v>
      </c>
      <c r="E78" s="1724">
        <f t="shared" si="9"/>
        <v>125267</v>
      </c>
      <c r="F78" s="1724">
        <f t="shared" si="9"/>
        <v>-10049</v>
      </c>
      <c r="G78" s="1724">
        <f t="shared" si="9"/>
        <v>41083</v>
      </c>
      <c r="H78" s="1724">
        <f t="shared" si="9"/>
        <v>20862</v>
      </c>
      <c r="I78" s="1724">
        <f t="shared" si="9"/>
        <v>-35684</v>
      </c>
      <c r="J78" s="1724">
        <f t="shared" si="9"/>
        <v>48337</v>
      </c>
      <c r="K78" s="1724">
        <f t="shared" si="9"/>
        <v>19443</v>
      </c>
      <c r="L78" s="533"/>
    </row>
    <row r="79" spans="1:12" ht="13.5" thickTop="1" x14ac:dyDescent="0.2">
      <c r="A79" s="1516" t="s">
        <v>2071</v>
      </c>
      <c r="B79" s="534"/>
      <c r="C79" s="478">
        <v>381597</v>
      </c>
      <c r="D79" s="535">
        <v>110814</v>
      </c>
      <c r="E79" s="535">
        <v>931701</v>
      </c>
      <c r="F79" s="535">
        <v>327872</v>
      </c>
      <c r="G79" s="535">
        <v>133890</v>
      </c>
      <c r="H79" s="535">
        <v>199602</v>
      </c>
      <c r="I79" s="535">
        <v>38089</v>
      </c>
      <c r="J79" s="535">
        <v>175790</v>
      </c>
      <c r="K79" s="535">
        <v>52272</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506950</v>
      </c>
      <c r="D81" s="1710">
        <f>SUM(D78:D80)</f>
        <v>110955</v>
      </c>
      <c r="E81" s="1710">
        <f t="shared" ref="E81:K81" si="10">SUM(E78:E80)</f>
        <v>1056968</v>
      </c>
      <c r="F81" s="1710">
        <f t="shared" si="10"/>
        <v>317823</v>
      </c>
      <c r="G81" s="1710">
        <f t="shared" si="10"/>
        <v>174973</v>
      </c>
      <c r="H81" s="1710">
        <f t="shared" si="10"/>
        <v>220464</v>
      </c>
      <c r="I81" s="1710">
        <f t="shared" si="10"/>
        <v>2405</v>
      </c>
      <c r="J81" s="1710">
        <f t="shared" si="10"/>
        <v>224127</v>
      </c>
      <c r="K81" s="1710">
        <f t="shared" si="10"/>
        <v>71715</v>
      </c>
      <c r="L81" s="347"/>
    </row>
    <row r="82" spans="1:12" ht="0.75" customHeight="1" thickTop="1" thickBot="1" x14ac:dyDescent="0.25">
      <c r="A82" s="536" t="s">
        <v>361</v>
      </c>
      <c r="B82" s="537"/>
      <c r="C82" s="538">
        <f>(C81-C79)</f>
        <v>125353</v>
      </c>
      <c r="D82" s="538">
        <f t="shared" ref="D82:K82" si="11">(D81-D79)</f>
        <v>141</v>
      </c>
      <c r="E82" s="538">
        <f t="shared" si="11"/>
        <v>125267</v>
      </c>
      <c r="F82" s="538">
        <f t="shared" si="11"/>
        <v>-10049</v>
      </c>
      <c r="G82" s="538">
        <f t="shared" si="11"/>
        <v>41083</v>
      </c>
      <c r="H82" s="538">
        <f t="shared" si="11"/>
        <v>20862</v>
      </c>
      <c r="I82" s="538">
        <f t="shared" si="11"/>
        <v>-35684</v>
      </c>
      <c r="J82" s="538">
        <f t="shared" si="11"/>
        <v>48337</v>
      </c>
      <c r="K82" s="538">
        <f t="shared" si="11"/>
        <v>19443</v>
      </c>
    </row>
    <row r="83" spans="1:12" ht="14.25" hidden="1" thickTop="1" thickBot="1" x14ac:dyDescent="0.25">
      <c r="A83" s="539" t="s">
        <v>362</v>
      </c>
      <c r="B83" s="464"/>
      <c r="C83" s="540">
        <f>C82/C81</f>
        <v>0.24726896143603905</v>
      </c>
      <c r="D83" s="540">
        <f t="shared" ref="D83:K83" si="12">D82/D81</f>
        <v>1.270785453562255E-3</v>
      </c>
      <c r="E83" s="540">
        <f t="shared" si="12"/>
        <v>0.11851541390089387</v>
      </c>
      <c r="F83" s="540">
        <f t="shared" si="12"/>
        <v>-3.1618227755700501E-2</v>
      </c>
      <c r="G83" s="540">
        <f t="shared" si="12"/>
        <v>0.23479622570339423</v>
      </c>
      <c r="H83" s="540">
        <f t="shared" si="12"/>
        <v>9.4627694317439587E-2</v>
      </c>
      <c r="I83" s="540">
        <f t="shared" si="12"/>
        <v>-14.837422037422037</v>
      </c>
      <c r="J83" s="540">
        <f t="shared" si="12"/>
        <v>0.21566790257309471</v>
      </c>
      <c r="K83" s="540">
        <f t="shared" si="12"/>
        <v>0.27111482953357036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colorId="8" zoomScale="110" zoomScaleNormal="110" zoomScaleSheetLayoutView="75" workbookViewId="0">
      <pane ySplit="2" topLeftCell="A123" activePane="bottomLeft" state="frozen"/>
      <selection activeCell="A47" sqref="A47"/>
      <selection pane="bottomLeft" activeCell="C127" sqref="C127"/>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710087</v>
      </c>
      <c r="D5" s="481">
        <v>223600</v>
      </c>
      <c r="E5" s="466">
        <v>482098</v>
      </c>
      <c r="F5" s="548">
        <v>77773</v>
      </c>
      <c r="G5" s="466">
        <v>81440</v>
      </c>
      <c r="H5" s="466"/>
      <c r="I5" s="466">
        <v>19316</v>
      </c>
      <c r="J5" s="467">
        <v>501544</v>
      </c>
      <c r="K5" s="466">
        <v>19443</v>
      </c>
    </row>
    <row r="6" spans="1:12" ht="15" x14ac:dyDescent="0.2">
      <c r="A6" s="463" t="s">
        <v>1761</v>
      </c>
      <c r="B6" s="470">
        <v>1130</v>
      </c>
      <c r="C6" s="466">
        <v>19269</v>
      </c>
      <c r="D6" s="466"/>
      <c r="E6" s="475"/>
      <c r="F6" s="475"/>
      <c r="G6" s="468"/>
      <c r="H6" s="468"/>
      <c r="I6" s="468"/>
      <c r="J6" s="468"/>
      <c r="K6" s="468"/>
    </row>
    <row r="7" spans="1:12" x14ac:dyDescent="0.2">
      <c r="A7" s="463" t="s">
        <v>112</v>
      </c>
      <c r="B7" s="549">
        <v>1140</v>
      </c>
      <c r="C7" s="466">
        <v>15554</v>
      </c>
      <c r="D7" s="466"/>
      <c r="E7" s="468"/>
      <c r="F7" s="467"/>
      <c r="G7" s="467"/>
      <c r="H7" s="467"/>
      <c r="I7" s="468"/>
      <c r="J7" s="468"/>
      <c r="K7" s="468"/>
    </row>
    <row r="8" spans="1:12" x14ac:dyDescent="0.2">
      <c r="A8" s="463" t="s">
        <v>433</v>
      </c>
      <c r="B8" s="470">
        <v>1150</v>
      </c>
      <c r="C8" s="475"/>
      <c r="D8" s="475"/>
      <c r="E8" s="477"/>
      <c r="F8" s="477"/>
      <c r="G8" s="481">
        <v>81440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744910</v>
      </c>
      <c r="D12" s="1729">
        <f t="shared" si="0"/>
        <v>223600</v>
      </c>
      <c r="E12" s="1729">
        <f t="shared" si="0"/>
        <v>482098</v>
      </c>
      <c r="F12" s="1729">
        <f t="shared" si="0"/>
        <v>77773</v>
      </c>
      <c r="G12" s="1729">
        <f t="shared" si="0"/>
        <v>162880</v>
      </c>
      <c r="H12" s="1729">
        <f t="shared" si="0"/>
        <v>0</v>
      </c>
      <c r="I12" s="1729">
        <f t="shared" si="0"/>
        <v>19316</v>
      </c>
      <c r="J12" s="1729">
        <f t="shared" si="0"/>
        <v>501544</v>
      </c>
      <c r="K12" s="1710">
        <f t="shared" si="0"/>
        <v>19443</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82806</v>
      </c>
      <c r="D16" s="466"/>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82806</v>
      </c>
      <c r="D18" s="1732">
        <f t="shared" ref="D18:K18" si="1">SUM(D14:D17)</f>
        <v>0</v>
      </c>
      <c r="E18" s="1732">
        <f t="shared" si="1"/>
        <v>0</v>
      </c>
      <c r="F18" s="1732">
        <f t="shared" si="1"/>
        <v>0</v>
      </c>
      <c r="G18" s="1732">
        <f t="shared" si="1"/>
        <v>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v>24560</v>
      </c>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24560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4226</v>
      </c>
      <c r="D65" s="466"/>
      <c r="E65" s="466">
        <v>20546</v>
      </c>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4226</v>
      </c>
      <c r="D67" s="1710">
        <f t="shared" ref="D67:K67" si="2">SUM(D65:D66)</f>
        <v>0</v>
      </c>
      <c r="E67" s="1710">
        <f t="shared" si="2"/>
        <v>20546</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900</v>
      </c>
      <c r="D72" s="468"/>
      <c r="E72" s="468"/>
      <c r="F72" s="468"/>
      <c r="G72" s="468"/>
      <c r="H72" s="468"/>
      <c r="I72" s="468"/>
      <c r="J72" s="468"/>
      <c r="K72" s="468"/>
    </row>
    <row r="73" spans="1:11" ht="12.75" customHeight="1" x14ac:dyDescent="0.2">
      <c r="A73" s="463" t="s">
        <v>1055</v>
      </c>
      <c r="B73" s="470">
        <v>1620</v>
      </c>
      <c r="C73" s="551">
        <v>4884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5784</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18815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13032</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31847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6536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v>1810</v>
      </c>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8346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39000</v>
      </c>
      <c r="D95" s="551"/>
      <c r="E95" s="521"/>
      <c r="F95" s="521"/>
      <c r="G95" s="521"/>
      <c r="H95" s="521"/>
      <c r="I95" s="521"/>
      <c r="J95" s="521"/>
      <c r="K95" s="521"/>
    </row>
    <row r="96" spans="1:11" ht="12.75" customHeight="1" x14ac:dyDescent="0.2">
      <c r="A96" s="463" t="s">
        <v>409</v>
      </c>
      <c r="B96" s="470">
        <v>1920</v>
      </c>
      <c r="C96" s="551">
        <v>5641</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21752</v>
      </c>
      <c r="D99" s="466">
        <v>3700</v>
      </c>
      <c r="E99" s="466">
        <v>44320</v>
      </c>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900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138569</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v>165</v>
      </c>
      <c r="D106" s="489"/>
      <c r="E106" s="467"/>
      <c r="F106" s="467"/>
      <c r="G106" s="467"/>
      <c r="H106" s="467"/>
      <c r="I106" s="521"/>
      <c r="J106" s="467"/>
      <c r="K106" s="467"/>
    </row>
    <row r="107" spans="1:12" ht="12.75" customHeight="1" x14ac:dyDescent="0.2">
      <c r="A107" s="463" t="s">
        <v>80</v>
      </c>
      <c r="B107" s="470">
        <v>1999</v>
      </c>
      <c r="C107" s="551">
        <v>2356</v>
      </c>
      <c r="D107" s="466"/>
      <c r="E107" s="466"/>
      <c r="F107" s="466"/>
      <c r="G107" s="466"/>
      <c r="H107" s="466"/>
      <c r="I107" s="466"/>
      <c r="J107" s="467"/>
      <c r="K107" s="466"/>
    </row>
    <row r="108" spans="1:12" ht="12.75" customHeight="1" thickBot="1" x14ac:dyDescent="0.25">
      <c r="A108" s="1730" t="s">
        <v>508</v>
      </c>
      <c r="B108" s="1734"/>
      <c r="C108" s="1729">
        <f>SUM(C95:C107)</f>
        <v>69814</v>
      </c>
      <c r="D108" s="1729">
        <f t="shared" ref="D108:K108" si="3">SUM(D95:D107)</f>
        <v>3700</v>
      </c>
      <c r="E108" s="1729">
        <f t="shared" si="3"/>
        <v>44320</v>
      </c>
      <c r="F108" s="1729">
        <f t="shared" si="3"/>
        <v>0</v>
      </c>
      <c r="G108" s="1729">
        <f t="shared" si="3"/>
        <v>0</v>
      </c>
      <c r="H108" s="1729">
        <f t="shared" si="3"/>
        <v>138569</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947733</v>
      </c>
      <c r="D109" s="1737">
        <f t="shared" si="4"/>
        <v>227300</v>
      </c>
      <c r="E109" s="1737">
        <f t="shared" si="4"/>
        <v>546964</v>
      </c>
      <c r="F109" s="1737">
        <f t="shared" si="4"/>
        <v>102333</v>
      </c>
      <c r="G109" s="1737">
        <f t="shared" si="4"/>
        <v>167880</v>
      </c>
      <c r="H109" s="1737">
        <f t="shared" si="4"/>
        <v>138569</v>
      </c>
      <c r="I109" s="1737">
        <f t="shared" si="4"/>
        <v>19316</v>
      </c>
      <c r="J109" s="1737">
        <f t="shared" si="4"/>
        <v>501544</v>
      </c>
      <c r="K109" s="1724">
        <f t="shared" si="4"/>
        <v>19443</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1549969</v>
      </c>
      <c r="D117" s="481">
        <v>65262</v>
      </c>
      <c r="E117" s="466"/>
      <c r="F117" s="481">
        <v>16315</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1549969</v>
      </c>
      <c r="D121" s="1729">
        <f t="shared" si="5"/>
        <v>65262</v>
      </c>
      <c r="E121" s="1729">
        <f t="shared" si="5"/>
        <v>0</v>
      </c>
      <c r="F121" s="1729">
        <f t="shared" si="5"/>
        <v>16315</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28610</v>
      </c>
      <c r="D124" s="561"/>
      <c r="E124" s="468"/>
      <c r="F124" s="548"/>
      <c r="G124" s="468"/>
      <c r="H124" s="468"/>
      <c r="I124" s="468"/>
      <c r="J124" s="468"/>
      <c r="K124" s="468"/>
    </row>
    <row r="125" spans="1:11" ht="12.75" customHeight="1" x14ac:dyDescent="0.2">
      <c r="A125" s="463" t="s">
        <v>1521</v>
      </c>
      <c r="B125" s="562">
        <v>3105</v>
      </c>
      <c r="C125" s="466">
        <v>26519</v>
      </c>
      <c r="D125" s="561"/>
      <c r="E125" s="468"/>
      <c r="F125" s="466"/>
      <c r="G125" s="468"/>
      <c r="H125" s="468"/>
      <c r="I125" s="468"/>
      <c r="J125" s="468"/>
      <c r="K125" s="468"/>
    </row>
    <row r="126" spans="1:11" ht="12.75" customHeight="1" x14ac:dyDescent="0.2">
      <c r="A126" s="463" t="s">
        <v>922</v>
      </c>
      <c r="B126" s="562">
        <v>3110</v>
      </c>
      <c r="C126" s="551">
        <v>44207</v>
      </c>
      <c r="D126" s="466"/>
      <c r="E126" s="468"/>
      <c r="F126" s="466"/>
      <c r="G126" s="468"/>
      <c r="H126" s="468"/>
      <c r="I126" s="468"/>
      <c r="J126" s="468"/>
      <c r="K126" s="468"/>
    </row>
    <row r="127" spans="1:11" ht="12.75" customHeight="1" x14ac:dyDescent="0.2">
      <c r="A127" s="463" t="s">
        <v>107</v>
      </c>
      <c r="B127" s="562">
        <v>3120</v>
      </c>
      <c r="C127" s="466">
        <v>555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99891</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7522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6013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13535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3424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4150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173309</v>
      </c>
      <c r="G151" s="467"/>
      <c r="H151" s="468"/>
      <c r="I151" s="468"/>
      <c r="J151" s="468"/>
      <c r="K151" s="468"/>
    </row>
    <row r="152" spans="1:11" ht="12.75" customHeight="1" x14ac:dyDescent="0.2">
      <c r="A152" s="463" t="s">
        <v>1117</v>
      </c>
      <c r="B152" s="562">
        <v>3510</v>
      </c>
      <c r="C152" s="551"/>
      <c r="D152" s="466"/>
      <c r="E152" s="561"/>
      <c r="F152" s="466">
        <v>117022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290331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138607</v>
      </c>
      <c r="D158" s="578"/>
      <c r="E158" s="561"/>
      <c r="F158" s="576">
        <v>38505</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261107</v>
      </c>
      <c r="D172" s="1744">
        <f t="shared" si="6"/>
        <v>0</v>
      </c>
      <c r="E172" s="1744">
        <f t="shared" si="6"/>
        <v>0</v>
      </c>
      <c r="F172" s="1744">
        <f t="shared" si="6"/>
        <v>328836</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1811076</v>
      </c>
      <c r="D173" s="1737">
        <f>SUM(D121,D172)</f>
        <v>65262</v>
      </c>
      <c r="E173" s="1737">
        <f>SUM(E121,E172)</f>
        <v>0</v>
      </c>
      <c r="F173" s="1737">
        <f t="shared" ref="F173:K173" si="7">SUM(F121,F172)</f>
        <v>345151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145567</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83882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229449</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152675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152675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12032</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10588</v>
      </c>
      <c r="D270" s="576"/>
      <c r="E270" s="468"/>
      <c r="F270" s="576"/>
      <c r="G270" s="576"/>
      <c r="H270" s="468"/>
      <c r="I270" s="468"/>
      <c r="J270" s="468"/>
      <c r="K270" s="468"/>
    </row>
    <row r="271" spans="1:11" ht="12.75" customHeight="1" thickTop="1" thickBot="1" x14ac:dyDescent="0.25">
      <c r="A271" s="463" t="s">
        <v>395</v>
      </c>
      <c r="B271" s="470">
        <v>4992</v>
      </c>
      <c r="C271" s="575">
        <v>51480</v>
      </c>
      <c r="D271" s="576"/>
      <c r="E271" s="468"/>
      <c r="F271" s="576"/>
      <c r="G271" s="576"/>
      <c r="H271" s="468"/>
      <c r="I271" s="468"/>
      <c r="J271" s="468"/>
      <c r="K271" s="468"/>
    </row>
    <row r="272" spans="1:11" s="594" customFormat="1" ht="12.75" customHeight="1" thickTop="1" thickBot="1" x14ac:dyDescent="0.25">
      <c r="A272" s="563" t="s">
        <v>77</v>
      </c>
      <c r="B272" s="557">
        <v>4999</v>
      </c>
      <c r="C272" s="575">
        <v>24858</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481082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481082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3239891</v>
      </c>
      <c r="D275" s="1737">
        <f t="shared" si="12"/>
        <v>292562</v>
      </c>
      <c r="E275" s="1737">
        <f t="shared" si="12"/>
        <v>546964</v>
      </c>
      <c r="F275" s="1737">
        <f t="shared" si="12"/>
        <v>447484</v>
      </c>
      <c r="G275" s="1737">
        <f t="shared" si="12"/>
        <v>167880</v>
      </c>
      <c r="H275" s="1737">
        <f t="shared" si="12"/>
        <v>138569</v>
      </c>
      <c r="I275" s="1737">
        <f t="shared" si="12"/>
        <v>19316</v>
      </c>
      <c r="J275" s="1737">
        <f t="shared" si="12"/>
        <v>501544</v>
      </c>
      <c r="K275" s="1724">
        <f t="shared" si="12"/>
        <v>19443</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colorId="8" zoomScale="110" zoomScaleNormal="110" workbookViewId="0">
      <pane ySplit="2" topLeftCell="A86" activePane="bottomLeft" state="frozen"/>
      <selection activeCell="A47" sqref="A47"/>
      <selection pane="bottomLeft" activeCell="H86" sqref="H8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1053346</v>
      </c>
      <c r="D5" s="466">
        <v>211214</v>
      </c>
      <c r="E5" s="466">
        <v>15797</v>
      </c>
      <c r="F5" s="466">
        <v>49636</v>
      </c>
      <c r="G5" s="466">
        <v>24858</v>
      </c>
      <c r="H5" s="466"/>
      <c r="I5" s="467"/>
      <c r="J5" s="467"/>
      <c r="K5" s="1693">
        <f>SUM(C5:J5)</f>
        <v>1354851</v>
      </c>
      <c r="L5" s="466">
        <v>1324193</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66109</v>
      </c>
      <c r="D7" s="467">
        <v>12324</v>
      </c>
      <c r="E7" s="467"/>
      <c r="F7" s="467">
        <v>9361</v>
      </c>
      <c r="G7" s="467"/>
      <c r="H7" s="467"/>
      <c r="I7" s="467"/>
      <c r="J7" s="467"/>
      <c r="K7" s="1693">
        <f t="shared" ref="K7:K32" si="0">SUM(C7:J7)</f>
        <v>87794</v>
      </c>
      <c r="L7" s="466">
        <v>87923</v>
      </c>
    </row>
    <row r="8" spans="1:14" x14ac:dyDescent="0.2">
      <c r="A8" s="1526" t="s">
        <v>166</v>
      </c>
      <c r="B8" s="615">
        <v>1200</v>
      </c>
      <c r="C8" s="466">
        <v>328436</v>
      </c>
      <c r="D8" s="466">
        <v>44512</v>
      </c>
      <c r="E8" s="466">
        <v>10852</v>
      </c>
      <c r="F8" s="466">
        <v>6580</v>
      </c>
      <c r="G8" s="466"/>
      <c r="H8" s="466"/>
      <c r="I8" s="467"/>
      <c r="J8" s="467"/>
      <c r="K8" s="1693">
        <f t="shared" si="0"/>
        <v>390380</v>
      </c>
      <c r="L8" s="466">
        <v>392589</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54630</v>
      </c>
      <c r="D10" s="466">
        <v>14570</v>
      </c>
      <c r="E10" s="466"/>
      <c r="F10" s="466">
        <v>26960</v>
      </c>
      <c r="G10" s="466">
        <v>38964</v>
      </c>
      <c r="H10" s="466"/>
      <c r="I10" s="467"/>
      <c r="J10" s="467"/>
      <c r="K10" s="1693">
        <f t="shared" si="0"/>
        <v>135124</v>
      </c>
      <c r="L10" s="466">
        <v>138261</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85941</v>
      </c>
      <c r="D13" s="466">
        <v>17267</v>
      </c>
      <c r="E13" s="466"/>
      <c r="F13" s="466">
        <v>3913</v>
      </c>
      <c r="G13" s="466"/>
      <c r="H13" s="466"/>
      <c r="I13" s="467"/>
      <c r="J13" s="467"/>
      <c r="K13" s="1693">
        <f t="shared" si="0"/>
        <v>107121</v>
      </c>
      <c r="L13" s="466">
        <v>99545</v>
      </c>
    </row>
    <row r="14" spans="1:14" x14ac:dyDescent="0.2">
      <c r="A14" s="1526" t="s">
        <v>1020</v>
      </c>
      <c r="B14" s="615">
        <v>1500</v>
      </c>
      <c r="C14" s="466">
        <v>32385</v>
      </c>
      <c r="D14" s="466">
        <v>323</v>
      </c>
      <c r="E14" s="466">
        <v>12840</v>
      </c>
      <c r="F14" s="466">
        <v>1387</v>
      </c>
      <c r="G14" s="466"/>
      <c r="H14" s="466">
        <v>7286</v>
      </c>
      <c r="I14" s="467"/>
      <c r="J14" s="467"/>
      <c r="K14" s="1693">
        <f t="shared" si="0"/>
        <v>54221</v>
      </c>
      <c r="L14" s="466">
        <v>56662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9714</v>
      </c>
      <c r="D17" s="467">
        <v>2064</v>
      </c>
      <c r="E17" s="467">
        <v>1066</v>
      </c>
      <c r="F17" s="467">
        <v>422</v>
      </c>
      <c r="G17" s="467"/>
      <c r="H17" s="467"/>
      <c r="I17" s="467"/>
      <c r="J17" s="467"/>
      <c r="K17" s="1693">
        <f t="shared" si="0"/>
        <v>13266</v>
      </c>
      <c r="L17" s="466">
        <v>13367</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1630561</v>
      </c>
      <c r="D33" s="1692">
        <f t="shared" ref="D33:L33" si="1">SUM(D5:D32)</f>
        <v>302274</v>
      </c>
      <c r="E33" s="1692">
        <f t="shared" si="1"/>
        <v>40555</v>
      </c>
      <c r="F33" s="1692">
        <f t="shared" si="1"/>
        <v>98259</v>
      </c>
      <c r="G33" s="1692">
        <f t="shared" si="1"/>
        <v>63822</v>
      </c>
      <c r="H33" s="1692">
        <f t="shared" si="1"/>
        <v>7286</v>
      </c>
      <c r="I33" s="1692">
        <f t="shared" si="1"/>
        <v>0</v>
      </c>
      <c r="J33" s="1692">
        <f t="shared" si="1"/>
        <v>0</v>
      </c>
      <c r="K33" s="1692">
        <f t="shared" si="1"/>
        <v>2142757</v>
      </c>
      <c r="L33" s="1692">
        <f t="shared" si="1"/>
        <v>2112540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35058</v>
      </c>
      <c r="D37" s="466">
        <v>7321</v>
      </c>
      <c r="E37" s="466"/>
      <c r="F37" s="466">
        <v>335</v>
      </c>
      <c r="G37" s="466"/>
      <c r="H37" s="466"/>
      <c r="I37" s="467"/>
      <c r="J37" s="467"/>
      <c r="K37" s="1693">
        <f t="shared" si="2"/>
        <v>42714</v>
      </c>
      <c r="L37" s="466">
        <v>42805</v>
      </c>
    </row>
    <row r="38" spans="1:14" x14ac:dyDescent="0.2">
      <c r="A38" s="1526" t="s">
        <v>207</v>
      </c>
      <c r="B38" s="615">
        <v>2130</v>
      </c>
      <c r="C38" s="466">
        <v>6970</v>
      </c>
      <c r="D38" s="466">
        <v>3683</v>
      </c>
      <c r="E38" s="466">
        <v>1910</v>
      </c>
      <c r="F38" s="466">
        <v>1192</v>
      </c>
      <c r="G38" s="466"/>
      <c r="H38" s="466"/>
      <c r="I38" s="467"/>
      <c r="J38" s="467"/>
      <c r="K38" s="1693">
        <f t="shared" si="2"/>
        <v>13755</v>
      </c>
      <c r="L38" s="466">
        <v>13762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39695</v>
      </c>
      <c r="D40" s="466">
        <v>7389</v>
      </c>
      <c r="E40" s="466">
        <v>1156</v>
      </c>
      <c r="F40" s="466">
        <v>100</v>
      </c>
      <c r="G40" s="466"/>
      <c r="H40" s="466"/>
      <c r="I40" s="467"/>
      <c r="J40" s="467"/>
      <c r="K40" s="1693">
        <f t="shared" si="2"/>
        <v>48340</v>
      </c>
      <c r="L40" s="466">
        <v>48487</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81723</v>
      </c>
      <c r="D42" s="1692">
        <f t="shared" ref="D42:L42" si="3">SUM(D36:D41)</f>
        <v>18393</v>
      </c>
      <c r="E42" s="1692">
        <f t="shared" si="3"/>
        <v>3066</v>
      </c>
      <c r="F42" s="1692">
        <f t="shared" si="3"/>
        <v>1627</v>
      </c>
      <c r="G42" s="1692">
        <f t="shared" si="3"/>
        <v>0</v>
      </c>
      <c r="H42" s="1692">
        <f t="shared" si="3"/>
        <v>0</v>
      </c>
      <c r="I42" s="1692">
        <f t="shared" si="3"/>
        <v>0</v>
      </c>
      <c r="J42" s="1692">
        <f t="shared" si="3"/>
        <v>0</v>
      </c>
      <c r="K42" s="1692">
        <f t="shared" si="3"/>
        <v>104809</v>
      </c>
      <c r="L42" s="1692">
        <f t="shared" si="3"/>
        <v>105054</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4064</v>
      </c>
      <c r="D44" s="481">
        <v>3</v>
      </c>
      <c r="E44" s="481">
        <v>17376</v>
      </c>
      <c r="F44" s="481">
        <v>415</v>
      </c>
      <c r="G44" s="481"/>
      <c r="H44" s="481"/>
      <c r="I44" s="467"/>
      <c r="J44" s="467"/>
      <c r="K44" s="1694">
        <f>SUM(C44:J44)</f>
        <v>21858</v>
      </c>
      <c r="L44" s="481">
        <v>21158</v>
      </c>
    </row>
    <row r="45" spans="1:14" x14ac:dyDescent="0.2">
      <c r="A45" s="1526" t="s">
        <v>869</v>
      </c>
      <c r="B45" s="615">
        <v>2220</v>
      </c>
      <c r="C45" s="466">
        <v>36569</v>
      </c>
      <c r="D45" s="466">
        <v>30</v>
      </c>
      <c r="E45" s="466">
        <v>30</v>
      </c>
      <c r="F45" s="466">
        <v>627</v>
      </c>
      <c r="G45" s="466"/>
      <c r="H45" s="466"/>
      <c r="I45" s="467"/>
      <c r="J45" s="467"/>
      <c r="K45" s="1694">
        <f>SUM(C45:J45)</f>
        <v>37256</v>
      </c>
      <c r="L45" s="466">
        <v>37453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40633</v>
      </c>
      <c r="D47" s="1692">
        <f t="shared" ref="D47:K47" si="4">SUM(D44:D46)</f>
        <v>33</v>
      </c>
      <c r="E47" s="1692">
        <f t="shared" si="4"/>
        <v>17406</v>
      </c>
      <c r="F47" s="1692">
        <f t="shared" si="4"/>
        <v>1042</v>
      </c>
      <c r="G47" s="1692">
        <f t="shared" si="4"/>
        <v>0</v>
      </c>
      <c r="H47" s="1692">
        <f t="shared" si="4"/>
        <v>0</v>
      </c>
      <c r="I47" s="1692">
        <f t="shared" si="4"/>
        <v>0</v>
      </c>
      <c r="J47" s="1692">
        <f t="shared" si="4"/>
        <v>0</v>
      </c>
      <c r="K47" s="1692">
        <f t="shared" si="4"/>
        <v>59114</v>
      </c>
      <c r="L47" s="1692">
        <f>SUM(L44:L46)</f>
        <v>58611</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3148</v>
      </c>
      <c r="D49" s="481"/>
      <c r="E49" s="481">
        <v>44817</v>
      </c>
      <c r="F49" s="481">
        <v>2980</v>
      </c>
      <c r="G49" s="481"/>
      <c r="H49" s="481"/>
      <c r="I49" s="467"/>
      <c r="J49" s="467"/>
      <c r="K49" s="1694">
        <f>SUM(C49:J49)</f>
        <v>50945</v>
      </c>
      <c r="L49" s="481">
        <v>50914</v>
      </c>
    </row>
    <row r="50" spans="1:14" x14ac:dyDescent="0.2">
      <c r="A50" s="1526" t="s">
        <v>872</v>
      </c>
      <c r="B50" s="615">
        <v>2320</v>
      </c>
      <c r="C50" s="466">
        <v>129942</v>
      </c>
      <c r="D50" s="466">
        <v>24919</v>
      </c>
      <c r="E50" s="466">
        <v>3152</v>
      </c>
      <c r="F50" s="466">
        <v>1759</v>
      </c>
      <c r="G50" s="466"/>
      <c r="H50" s="466">
        <v>1411</v>
      </c>
      <c r="I50" s="467"/>
      <c r="J50" s="467"/>
      <c r="K50" s="1694">
        <f>SUM(C50:J50)</f>
        <v>161183</v>
      </c>
      <c r="L50" s="466">
        <v>167195</v>
      </c>
    </row>
    <row r="51" spans="1:14" x14ac:dyDescent="0.2">
      <c r="A51" s="1526" t="s">
        <v>44</v>
      </c>
      <c r="B51" s="615">
        <v>2330</v>
      </c>
      <c r="C51" s="466"/>
      <c r="D51" s="466"/>
      <c r="E51" s="466">
        <v>1694</v>
      </c>
      <c r="F51" s="466">
        <v>296</v>
      </c>
      <c r="G51" s="466"/>
      <c r="H51" s="466"/>
      <c r="I51" s="467"/>
      <c r="J51" s="467"/>
      <c r="K51" s="1694">
        <f>SUM(C51:J51)</f>
        <v>1990</v>
      </c>
      <c r="L51" s="466">
        <v>1994</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133090</v>
      </c>
      <c r="D53" s="1692">
        <f t="shared" ref="D53:L53" si="5">SUM(D49:D52)</f>
        <v>24919</v>
      </c>
      <c r="E53" s="1692">
        <f t="shared" si="5"/>
        <v>49663</v>
      </c>
      <c r="F53" s="1692">
        <f t="shared" si="5"/>
        <v>5035</v>
      </c>
      <c r="G53" s="1692">
        <f t="shared" si="5"/>
        <v>0</v>
      </c>
      <c r="H53" s="1692">
        <f t="shared" si="5"/>
        <v>1411</v>
      </c>
      <c r="I53" s="1692">
        <f t="shared" si="5"/>
        <v>0</v>
      </c>
      <c r="J53" s="1692">
        <f t="shared" si="5"/>
        <v>0</v>
      </c>
      <c r="K53" s="1692">
        <f t="shared" si="5"/>
        <v>214118</v>
      </c>
      <c r="L53" s="1692">
        <f t="shared" si="5"/>
        <v>220103</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132877</v>
      </c>
      <c r="D55" s="481">
        <v>15864</v>
      </c>
      <c r="E55" s="481">
        <v>3165</v>
      </c>
      <c r="F55" s="481">
        <v>2681</v>
      </c>
      <c r="G55" s="481"/>
      <c r="H55" s="481">
        <v>665</v>
      </c>
      <c r="I55" s="467"/>
      <c r="J55" s="467"/>
      <c r="K55" s="1694">
        <f>SUM(C55:J55)</f>
        <v>155252</v>
      </c>
      <c r="L55" s="481">
        <v>160090</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132877</v>
      </c>
      <c r="D57" s="1696">
        <f t="shared" ref="D57:K57" si="6">SUM(D55:D56)</f>
        <v>15864</v>
      </c>
      <c r="E57" s="1696">
        <f t="shared" si="6"/>
        <v>3165</v>
      </c>
      <c r="F57" s="1696">
        <f t="shared" si="6"/>
        <v>2681</v>
      </c>
      <c r="G57" s="1696">
        <f t="shared" si="6"/>
        <v>0</v>
      </c>
      <c r="H57" s="1696">
        <f t="shared" si="6"/>
        <v>665</v>
      </c>
      <c r="I57" s="1696">
        <f t="shared" si="6"/>
        <v>0</v>
      </c>
      <c r="J57" s="1696">
        <f t="shared" si="6"/>
        <v>0</v>
      </c>
      <c r="K57" s="1696">
        <f t="shared" si="6"/>
        <v>155252</v>
      </c>
      <c r="L57" s="1692">
        <f>SUM(L55:L56)</f>
        <v>160090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27414</v>
      </c>
      <c r="D60" s="466">
        <v>4786</v>
      </c>
      <c r="E60" s="466">
        <v>6757</v>
      </c>
      <c r="F60" s="466">
        <v>2331</v>
      </c>
      <c r="G60" s="466"/>
      <c r="H60" s="466"/>
      <c r="I60" s="467"/>
      <c r="J60" s="467"/>
      <c r="K60" s="1694">
        <f t="shared" si="7"/>
        <v>41288</v>
      </c>
      <c r="L60" s="466">
        <v>36928</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54264</v>
      </c>
      <c r="D63" s="466">
        <v>91</v>
      </c>
      <c r="E63" s="466">
        <v>4552</v>
      </c>
      <c r="F63" s="466">
        <v>150706</v>
      </c>
      <c r="G63" s="466">
        <v>575</v>
      </c>
      <c r="H63" s="466"/>
      <c r="I63" s="467"/>
      <c r="J63" s="467"/>
      <c r="K63" s="1694">
        <f t="shared" si="7"/>
        <v>210188</v>
      </c>
      <c r="L63" s="466">
        <v>212779</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81678</v>
      </c>
      <c r="D65" s="1692">
        <f t="shared" ref="D65:L65" si="8">SUM(D59:D64)</f>
        <v>4877</v>
      </c>
      <c r="E65" s="1692">
        <f t="shared" si="8"/>
        <v>11309</v>
      </c>
      <c r="F65" s="1692">
        <f t="shared" si="8"/>
        <v>153037</v>
      </c>
      <c r="G65" s="1692">
        <f t="shared" si="8"/>
        <v>575</v>
      </c>
      <c r="H65" s="1692">
        <f t="shared" si="8"/>
        <v>0</v>
      </c>
      <c r="I65" s="1692">
        <f t="shared" si="8"/>
        <v>0</v>
      </c>
      <c r="J65" s="1692">
        <f t="shared" si="8"/>
        <v>0</v>
      </c>
      <c r="K65" s="1692">
        <f t="shared" si="8"/>
        <v>251476</v>
      </c>
      <c r="L65" s="1692">
        <f t="shared" si="8"/>
        <v>249707</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75</v>
      </c>
      <c r="F70" s="466"/>
      <c r="G70" s="466"/>
      <c r="H70" s="466"/>
      <c r="I70" s="467"/>
      <c r="J70" s="467"/>
      <c r="K70" s="1694">
        <f>SUM(C70:J70)</f>
        <v>75</v>
      </c>
      <c r="L70" s="466">
        <v>75</v>
      </c>
      <c r="M70" s="610"/>
      <c r="N70" s="610"/>
    </row>
    <row r="71" spans="1:14" s="343" customFormat="1" x14ac:dyDescent="0.2">
      <c r="A71" s="1526" t="s">
        <v>424</v>
      </c>
      <c r="B71" s="615">
        <v>2660</v>
      </c>
      <c r="C71" s="466"/>
      <c r="D71" s="466"/>
      <c r="E71" s="466">
        <v>34953</v>
      </c>
      <c r="F71" s="466">
        <v>169</v>
      </c>
      <c r="G71" s="466"/>
      <c r="H71" s="466"/>
      <c r="I71" s="467"/>
      <c r="J71" s="467"/>
      <c r="K71" s="1694">
        <f>SUM(C71:J71)</f>
        <v>35122</v>
      </c>
      <c r="L71" s="466">
        <v>35122</v>
      </c>
      <c r="M71" s="610"/>
      <c r="N71" s="610"/>
    </row>
    <row r="72" spans="1:14" s="343" customFormat="1" ht="12.75" customHeight="1" thickBot="1" x14ac:dyDescent="0.25">
      <c r="A72" s="1690" t="s">
        <v>37</v>
      </c>
      <c r="B72" s="1697" t="s">
        <v>36</v>
      </c>
      <c r="C72" s="1692">
        <f>SUM(C67:C71)</f>
        <v>0</v>
      </c>
      <c r="D72" s="1692">
        <f t="shared" ref="D72:K72" si="9">SUM(D67:D71)</f>
        <v>0</v>
      </c>
      <c r="E72" s="1692">
        <f t="shared" si="9"/>
        <v>35028</v>
      </c>
      <c r="F72" s="1692">
        <f t="shared" si="9"/>
        <v>169</v>
      </c>
      <c r="G72" s="1692">
        <f t="shared" si="9"/>
        <v>0</v>
      </c>
      <c r="H72" s="1692">
        <f t="shared" si="9"/>
        <v>0</v>
      </c>
      <c r="I72" s="1692">
        <f t="shared" si="9"/>
        <v>0</v>
      </c>
      <c r="J72" s="1692">
        <f t="shared" si="9"/>
        <v>0</v>
      </c>
      <c r="K72" s="1692">
        <f t="shared" si="9"/>
        <v>35197</v>
      </c>
      <c r="L72" s="1692">
        <f>SUM(L67:L71)</f>
        <v>35197</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470001</v>
      </c>
      <c r="D74" s="1699">
        <f t="shared" ref="D74:K74" si="10">SUM(D42,D47,D53,D57,D65,D72,D73)</f>
        <v>64086</v>
      </c>
      <c r="E74" s="1699">
        <f t="shared" si="10"/>
        <v>119637</v>
      </c>
      <c r="F74" s="1699">
        <f t="shared" si="10"/>
        <v>163591</v>
      </c>
      <c r="G74" s="1699">
        <f t="shared" si="10"/>
        <v>575</v>
      </c>
      <c r="H74" s="1699">
        <f t="shared" si="10"/>
        <v>2076</v>
      </c>
      <c r="I74" s="1699">
        <f t="shared" si="10"/>
        <v>0</v>
      </c>
      <c r="J74" s="1699">
        <f t="shared" si="10"/>
        <v>0</v>
      </c>
      <c r="K74" s="1699">
        <f t="shared" si="10"/>
        <v>819966</v>
      </c>
      <c r="L74" s="1699">
        <f>SUM(L42,L47,L53,L57,L65,L72,L73)</f>
        <v>828762</v>
      </c>
    </row>
    <row r="75" spans="1:14" s="259" customFormat="1" ht="15.75" customHeight="1" thickTop="1" thickBot="1" x14ac:dyDescent="0.25">
      <c r="A75" s="1632" t="s">
        <v>49</v>
      </c>
      <c r="B75" s="1633" t="s">
        <v>596</v>
      </c>
      <c r="C75" s="573">
        <v>28282</v>
      </c>
      <c r="D75" s="573">
        <v>176</v>
      </c>
      <c r="E75" s="573">
        <v>753</v>
      </c>
      <c r="F75" s="573">
        <v>642</v>
      </c>
      <c r="G75" s="573"/>
      <c r="H75" s="573"/>
      <c r="I75" s="531"/>
      <c r="J75" s="531"/>
      <c r="K75" s="1692">
        <f>SUM(C75:J75)</f>
        <v>29853</v>
      </c>
      <c r="L75" s="576">
        <v>29811</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12630</v>
      </c>
      <c r="F78" s="617"/>
      <c r="G78" s="617"/>
      <c r="H78" s="635"/>
      <c r="I78" s="477"/>
      <c r="J78" s="477"/>
      <c r="K78" s="1693">
        <f t="shared" ref="K78:K83" si="11">SUM(C78:J78)</f>
        <v>12630</v>
      </c>
      <c r="L78" s="481">
        <v>12630</v>
      </c>
    </row>
    <row r="79" spans="1:14" x14ac:dyDescent="0.2">
      <c r="A79" s="1526" t="s">
        <v>322</v>
      </c>
      <c r="B79" s="615">
        <v>4120</v>
      </c>
      <c r="C79" s="617"/>
      <c r="D79" s="617"/>
      <c r="E79" s="466">
        <v>78902</v>
      </c>
      <c r="F79" s="617"/>
      <c r="G79" s="617"/>
      <c r="H79" s="466"/>
      <c r="I79" s="477"/>
      <c r="J79" s="477"/>
      <c r="K79" s="1693">
        <f t="shared" si="11"/>
        <v>78902</v>
      </c>
      <c r="L79" s="466">
        <v>78902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91532</v>
      </c>
      <c r="F84" s="617"/>
      <c r="G84" s="617"/>
      <c r="H84" s="1692">
        <f>SUM(H78:H83)</f>
        <v>0</v>
      </c>
      <c r="I84" s="477"/>
      <c r="J84" s="477"/>
      <c r="K84" s="1692">
        <f>SUM(K78:K83)</f>
        <v>91532</v>
      </c>
      <c r="L84" s="1692">
        <f>SUM(L78:L83)</f>
        <v>91532</v>
      </c>
    </row>
    <row r="85" spans="1:12" ht="12.75" customHeight="1" thickTop="1" thickBot="1" x14ac:dyDescent="0.25">
      <c r="A85" s="1533" t="s">
        <v>273</v>
      </c>
      <c r="B85" s="636">
        <v>4210</v>
      </c>
      <c r="C85" s="617"/>
      <c r="D85" s="617"/>
      <c r="E85" s="637"/>
      <c r="F85" s="617"/>
      <c r="G85" s="617"/>
      <c r="H85" s="535">
        <v>300</v>
      </c>
      <c r="I85" s="477"/>
      <c r="J85" s="477"/>
      <c r="K85" s="1699">
        <f>H85</f>
        <v>300</v>
      </c>
      <c r="L85" s="530">
        <v>300</v>
      </c>
    </row>
    <row r="86" spans="1:12" ht="12.75" customHeight="1" thickTop="1" thickBot="1" x14ac:dyDescent="0.25">
      <c r="A86" s="1534" t="s">
        <v>723</v>
      </c>
      <c r="B86" s="638">
        <v>4220</v>
      </c>
      <c r="C86" s="617"/>
      <c r="D86" s="617"/>
      <c r="E86" s="639"/>
      <c r="F86" s="617"/>
      <c r="G86" s="617"/>
      <c r="H86" s="467">
        <v>85130</v>
      </c>
      <c r="I86" s="477"/>
      <c r="J86" s="477"/>
      <c r="K86" s="1699">
        <f t="shared" ref="K86:K98" si="12">H86</f>
        <v>85130</v>
      </c>
      <c r="L86" s="530">
        <v>85130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85430</v>
      </c>
      <c r="I92" s="477"/>
      <c r="J92" s="477"/>
      <c r="K92" s="1699">
        <f t="shared" si="12"/>
        <v>85430</v>
      </c>
      <c r="L92" s="1692">
        <f>SUM(L85:L91)</f>
        <v>85430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91532</v>
      </c>
      <c r="F102" s="617"/>
      <c r="G102" s="617"/>
      <c r="H102" s="1699">
        <f>SUM(H84,H92,H100,H101)</f>
        <v>85430</v>
      </c>
      <c r="I102" s="477"/>
      <c r="J102" s="477"/>
      <c r="K102" s="1699">
        <f>SUM(K84,K92,K100,K101)</f>
        <v>176962</v>
      </c>
      <c r="L102" s="1699">
        <f>SUM(L84,L92,L100,L101)</f>
        <v>176962</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2128844</v>
      </c>
      <c r="D114" s="1692">
        <f t="shared" ref="D114:K114" si="13">SUM(D33,D74,D75,D102,D112,D113)</f>
        <v>366536</v>
      </c>
      <c r="E114" s="1692">
        <f t="shared" si="13"/>
        <v>252477</v>
      </c>
      <c r="F114" s="1692">
        <f t="shared" si="13"/>
        <v>262492</v>
      </c>
      <c r="G114" s="1692">
        <f t="shared" si="13"/>
        <v>64397</v>
      </c>
      <c r="H114" s="1692">
        <f>SUM(H33,H74,H75,H102,H112,H113)</f>
        <v>94792</v>
      </c>
      <c r="I114" s="1692">
        <f t="shared" si="13"/>
        <v>0</v>
      </c>
      <c r="J114" s="1692">
        <f t="shared" si="13"/>
        <v>0</v>
      </c>
      <c r="K114" s="1692">
        <f t="shared" si="13"/>
        <v>3169538</v>
      </c>
      <c r="L114" s="1692">
        <f>SUM(L33,L74,L75,L102,L112,L113)</f>
        <v>3148075</v>
      </c>
    </row>
    <row r="115" spans="1:14" ht="13.5" thickTop="1" x14ac:dyDescent="0.2">
      <c r="A115" s="2199" t="s">
        <v>1053</v>
      </c>
      <c r="B115" s="2200"/>
      <c r="C115" s="619"/>
      <c r="D115" s="619"/>
      <c r="E115" s="619"/>
      <c r="F115" s="619"/>
      <c r="G115" s="619"/>
      <c r="H115" s="619"/>
      <c r="I115" s="619"/>
      <c r="J115" s="619"/>
      <c r="K115" s="1706">
        <f>'Revenues 9-14'!C275-'Expenditures 15-22'!K114</f>
        <v>70353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130766</v>
      </c>
      <c r="D124" s="466">
        <v>13380</v>
      </c>
      <c r="E124" s="466">
        <v>27934</v>
      </c>
      <c r="F124" s="466">
        <v>120341</v>
      </c>
      <c r="G124" s="466"/>
      <c r="H124" s="466"/>
      <c r="I124" s="467"/>
      <c r="J124" s="467"/>
      <c r="K124" s="1692">
        <f>SUM(C124:J124)</f>
        <v>292421</v>
      </c>
      <c r="L124" s="466">
        <v>294606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130766</v>
      </c>
      <c r="D127" s="1692">
        <f t="shared" ref="D127:L127" si="14">SUM(D122:D126)</f>
        <v>13380</v>
      </c>
      <c r="E127" s="1692">
        <f t="shared" si="14"/>
        <v>27934</v>
      </c>
      <c r="F127" s="1692">
        <f t="shared" si="14"/>
        <v>120341</v>
      </c>
      <c r="G127" s="1692">
        <f t="shared" si="14"/>
        <v>0</v>
      </c>
      <c r="H127" s="1692">
        <f t="shared" si="14"/>
        <v>0</v>
      </c>
      <c r="I127" s="1692">
        <f t="shared" si="14"/>
        <v>0</v>
      </c>
      <c r="J127" s="1692">
        <f t="shared" si="14"/>
        <v>0</v>
      </c>
      <c r="K127" s="1692">
        <f t="shared" si="14"/>
        <v>292421</v>
      </c>
      <c r="L127" s="1692">
        <f t="shared" si="14"/>
        <v>294606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130766</v>
      </c>
      <c r="D129" s="1699">
        <f t="shared" ref="D129:L129" si="15">SUM(D120,D127,D128)</f>
        <v>13380</v>
      </c>
      <c r="E129" s="1699">
        <f t="shared" si="15"/>
        <v>27934</v>
      </c>
      <c r="F129" s="1699">
        <f t="shared" si="15"/>
        <v>120341</v>
      </c>
      <c r="G129" s="1699">
        <f t="shared" si="15"/>
        <v>0</v>
      </c>
      <c r="H129" s="1699">
        <f t="shared" si="15"/>
        <v>0</v>
      </c>
      <c r="I129" s="1699">
        <f t="shared" si="15"/>
        <v>0</v>
      </c>
      <c r="J129" s="1699">
        <f t="shared" si="15"/>
        <v>0</v>
      </c>
      <c r="K129" s="1699">
        <f t="shared" si="15"/>
        <v>292421</v>
      </c>
      <c r="L129" s="1699">
        <f t="shared" si="15"/>
        <v>294606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130766</v>
      </c>
      <c r="D151" s="1692">
        <f t="shared" ref="D151:K151" si="16">SUM(D129,D130,D139,D149,D150)</f>
        <v>13380</v>
      </c>
      <c r="E151" s="1692">
        <f t="shared" si="16"/>
        <v>27934</v>
      </c>
      <c r="F151" s="1692">
        <f t="shared" si="16"/>
        <v>120341</v>
      </c>
      <c r="G151" s="1692">
        <f t="shared" si="16"/>
        <v>0</v>
      </c>
      <c r="H151" s="1692">
        <f t="shared" si="16"/>
        <v>0</v>
      </c>
      <c r="I151" s="1692">
        <f t="shared" si="16"/>
        <v>0</v>
      </c>
      <c r="J151" s="1692">
        <f t="shared" si="16"/>
        <v>0</v>
      </c>
      <c r="K151" s="1692">
        <f t="shared" si="16"/>
        <v>292421</v>
      </c>
      <c r="L151" s="1692">
        <f>SUM(L129,L130,L139,L149,L150)</f>
        <v>294606</v>
      </c>
    </row>
    <row r="152" spans="1:14" ht="12.75" customHeight="1" thickTop="1" x14ac:dyDescent="0.2">
      <c r="A152" s="2192" t="s">
        <v>1240</v>
      </c>
      <c r="B152" s="2193"/>
      <c r="C152" s="619"/>
      <c r="D152" s="619"/>
      <c r="E152" s="619"/>
      <c r="F152" s="619"/>
      <c r="G152" s="619"/>
      <c r="H152" s="619"/>
      <c r="I152" s="619"/>
      <c r="J152" s="617"/>
      <c r="K152" s="1706">
        <f>'Revenues 9-14'!D275-'Expenditures 15-22'!K151</f>
        <v>141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203600</v>
      </c>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v>148522</v>
      </c>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352122</v>
      </c>
    </row>
    <row r="169" spans="1:14" ht="15.75" customHeight="1" thickTop="1" x14ac:dyDescent="0.2">
      <c r="A169" s="670" t="s">
        <v>85</v>
      </c>
      <c r="B169" s="671" t="s">
        <v>38</v>
      </c>
      <c r="C169" s="617"/>
      <c r="D169" s="617"/>
      <c r="E169" s="617"/>
      <c r="F169" s="617"/>
      <c r="G169" s="617"/>
      <c r="H169" s="657">
        <v>132567</v>
      </c>
      <c r="I169" s="617"/>
      <c r="J169" s="617"/>
      <c r="K169" s="1693">
        <f>SUM(C169:H169)</f>
        <v>132567</v>
      </c>
      <c r="L169" s="657">
        <v>69045</v>
      </c>
    </row>
    <row r="170" spans="1:14" ht="33.75" customHeight="1" x14ac:dyDescent="0.2">
      <c r="A170" s="670" t="s">
        <v>1769</v>
      </c>
      <c r="B170" s="672" t="s">
        <v>31</v>
      </c>
      <c r="C170" s="617"/>
      <c r="D170" s="617"/>
      <c r="E170" s="617"/>
      <c r="F170" s="617"/>
      <c r="G170" s="617"/>
      <c r="H170" s="569">
        <v>288600</v>
      </c>
      <c r="I170" s="617"/>
      <c r="J170" s="617"/>
      <c r="K170" s="1693">
        <f>SUM(C170:J170)</f>
        <v>288600</v>
      </c>
      <c r="L170" s="569">
        <v>530</v>
      </c>
    </row>
    <row r="171" spans="1:14" ht="15.75" customHeight="1" x14ac:dyDescent="0.2">
      <c r="A171" s="622" t="s">
        <v>790</v>
      </c>
      <c r="B171" s="673" t="s">
        <v>86</v>
      </c>
      <c r="C171" s="617"/>
      <c r="D171" s="617"/>
      <c r="E171" s="466"/>
      <c r="F171" s="617"/>
      <c r="G171" s="617"/>
      <c r="H171" s="569">
        <v>530</v>
      </c>
      <c r="I171" s="477"/>
      <c r="J171" s="617"/>
      <c r="K171" s="1693">
        <f>SUM(C171:J171)</f>
        <v>530</v>
      </c>
      <c r="L171" s="569"/>
    </row>
    <row r="172" spans="1:14" ht="12.75" customHeight="1" thickBot="1" x14ac:dyDescent="0.25">
      <c r="A172" s="1690" t="s">
        <v>659</v>
      </c>
      <c r="B172" s="1691" t="s">
        <v>513</v>
      </c>
      <c r="C172" s="617"/>
      <c r="D172" s="617"/>
      <c r="E172" s="1699">
        <f>SUM(E168,E169,E170,E171)</f>
        <v>0</v>
      </c>
      <c r="F172" s="617"/>
      <c r="G172" s="617"/>
      <c r="H172" s="1699">
        <f>SUM(H168,H169,H170,H171)</f>
        <v>421697</v>
      </c>
      <c r="I172" s="639"/>
      <c r="J172" s="617"/>
      <c r="K172" s="1699">
        <f>SUM(K168,K169,K170,K171)</f>
        <v>421697</v>
      </c>
      <c r="L172" s="1699">
        <f>SUM(L168,L169,L170,L171)</f>
        <v>421697</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421697</v>
      </c>
      <c r="I174" s="639"/>
      <c r="J174" s="617"/>
      <c r="K174" s="1699">
        <f>SUM(K160,K172,K173)</f>
        <v>421697</v>
      </c>
      <c r="L174" s="1699">
        <f>SUM(L160,L172,L173)</f>
        <v>421697</v>
      </c>
    </row>
    <row r="175" spans="1:14" ht="13.5" thickTop="1" x14ac:dyDescent="0.2">
      <c r="A175" s="2199" t="s">
        <v>1053</v>
      </c>
      <c r="B175" s="2200"/>
      <c r="C175" s="617"/>
      <c r="D175" s="617"/>
      <c r="E175" s="617"/>
      <c r="F175" s="617"/>
      <c r="G175" s="617"/>
      <c r="H175" s="619"/>
      <c r="I175" s="617"/>
      <c r="J175" s="617"/>
      <c r="K175" s="1706">
        <f>'Revenues 9-14'!E275-'Expenditures 15-22'!K174</f>
        <v>125267</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v>422145</v>
      </c>
      <c r="F182" s="466">
        <v>35388</v>
      </c>
      <c r="G182" s="466"/>
      <c r="H182" s="466"/>
      <c r="I182" s="467"/>
      <c r="J182" s="467"/>
      <c r="K182" s="1693">
        <f>SUM(C182:J182)</f>
        <v>457533</v>
      </c>
      <c r="L182" s="466">
        <v>457514</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422145</v>
      </c>
      <c r="F184" s="1699">
        <f t="shared" si="17"/>
        <v>35388</v>
      </c>
      <c r="G184" s="1699">
        <f t="shared" si="17"/>
        <v>0</v>
      </c>
      <c r="H184" s="1699">
        <f t="shared" si="17"/>
        <v>0</v>
      </c>
      <c r="I184" s="1699">
        <f t="shared" si="17"/>
        <v>0</v>
      </c>
      <c r="J184" s="1699">
        <f t="shared" si="17"/>
        <v>0</v>
      </c>
      <c r="K184" s="1699">
        <f>SUM(K180,K182,K183)</f>
        <v>457533</v>
      </c>
      <c r="L184" s="1699">
        <f>SUM(L180, L182:L183)</f>
        <v>457514</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422145</v>
      </c>
      <c r="F210" s="1692">
        <f>SUM(F184,F185)</f>
        <v>35388</v>
      </c>
      <c r="G210" s="1692">
        <f>SUM(G184,G185)</f>
        <v>0</v>
      </c>
      <c r="H210" s="1692">
        <f>SUM(H184,H185,H196,H208,H209)</f>
        <v>0</v>
      </c>
      <c r="I210" s="1692">
        <f>SUM(I184,I185)</f>
        <v>0</v>
      </c>
      <c r="J210" s="1692">
        <f>SUM(J184,J185)</f>
        <v>0</v>
      </c>
      <c r="K210" s="1693">
        <f>SUM(K184,K185,K196,K208,K209)</f>
        <v>457533</v>
      </c>
      <c r="L210" s="1692">
        <f>SUM(L184,L185,L196,L208,L209)</f>
        <v>457514</v>
      </c>
    </row>
    <row r="211" spans="1:14" ht="13.5" thickTop="1" x14ac:dyDescent="0.2">
      <c r="A211" s="2199" t="s">
        <v>1053</v>
      </c>
      <c r="B211" s="2200"/>
      <c r="C211" s="619"/>
      <c r="D211" s="619"/>
      <c r="E211" s="619"/>
      <c r="F211" s="619"/>
      <c r="G211" s="619"/>
      <c r="H211" s="619"/>
      <c r="I211" s="617"/>
      <c r="J211" s="617"/>
      <c r="K211" s="1706">
        <f>'Revenues 9-14'!F275-'Expenditures 15-22'!K210</f>
        <v>-10049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15035</v>
      </c>
      <c r="E215" s="617"/>
      <c r="F215" s="617"/>
      <c r="G215" s="617"/>
      <c r="H215" s="617"/>
      <c r="I215" s="617"/>
      <c r="J215" s="617"/>
      <c r="K215" s="1693">
        <f>D215</f>
        <v>15035</v>
      </c>
      <c r="L215" s="466">
        <v>15047</v>
      </c>
    </row>
    <row r="216" spans="1:14" x14ac:dyDescent="0.2">
      <c r="A216" s="1526" t="s">
        <v>165</v>
      </c>
      <c r="B216" s="615" t="s">
        <v>1024</v>
      </c>
      <c r="C216" s="617"/>
      <c r="D216" s="467">
        <v>3154</v>
      </c>
      <c r="E216" s="617"/>
      <c r="F216" s="617"/>
      <c r="G216" s="617"/>
      <c r="H216" s="617"/>
      <c r="I216" s="617"/>
      <c r="J216" s="617"/>
      <c r="K216" s="1693">
        <f t="shared" ref="K216:K228" si="19">D216</f>
        <v>3154</v>
      </c>
      <c r="L216" s="466">
        <v>3153</v>
      </c>
    </row>
    <row r="217" spans="1:14" x14ac:dyDescent="0.2">
      <c r="A217" s="1526" t="s">
        <v>166</v>
      </c>
      <c r="B217" s="615">
        <v>1200</v>
      </c>
      <c r="C217" s="617"/>
      <c r="D217" s="466">
        <v>27728</v>
      </c>
      <c r="E217" s="617"/>
      <c r="F217" s="617"/>
      <c r="G217" s="617"/>
      <c r="H217" s="617"/>
      <c r="I217" s="617"/>
      <c r="J217" s="617"/>
      <c r="K217" s="1693">
        <f t="shared" si="19"/>
        <v>27728</v>
      </c>
      <c r="L217" s="466">
        <v>27836</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780</v>
      </c>
      <c r="E219" s="617"/>
      <c r="F219" s="617"/>
      <c r="G219" s="617"/>
      <c r="H219" s="617"/>
      <c r="I219" s="617"/>
      <c r="J219" s="617"/>
      <c r="K219" s="1693">
        <f t="shared" si="19"/>
        <v>780</v>
      </c>
      <c r="L219" s="466">
        <v>788</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1054</v>
      </c>
      <c r="E222" s="617"/>
      <c r="F222" s="617"/>
      <c r="G222" s="617"/>
      <c r="H222" s="617"/>
      <c r="I222" s="617"/>
      <c r="J222" s="617"/>
      <c r="K222" s="1693">
        <f t="shared" si="19"/>
        <v>1054</v>
      </c>
      <c r="L222" s="466">
        <v>1022</v>
      </c>
    </row>
    <row r="223" spans="1:14" x14ac:dyDescent="0.2">
      <c r="A223" s="1526" t="s">
        <v>1020</v>
      </c>
      <c r="B223" s="615">
        <v>1500</v>
      </c>
      <c r="C223" s="617"/>
      <c r="D223" s="466">
        <v>1296</v>
      </c>
      <c r="E223" s="617"/>
      <c r="F223" s="617"/>
      <c r="G223" s="617"/>
      <c r="H223" s="617"/>
      <c r="I223" s="617"/>
      <c r="J223" s="617"/>
      <c r="K223" s="1693">
        <f t="shared" si="19"/>
        <v>1296</v>
      </c>
      <c r="L223" s="466">
        <v>1390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127</v>
      </c>
      <c r="E226" s="617"/>
      <c r="F226" s="617"/>
      <c r="G226" s="617"/>
      <c r="H226" s="617"/>
      <c r="I226" s="617"/>
      <c r="J226" s="617"/>
      <c r="K226" s="1693">
        <f t="shared" si="19"/>
        <v>127</v>
      </c>
      <c r="L226" s="466">
        <v>126</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49174</v>
      </c>
      <c r="E229" s="617"/>
      <c r="F229" s="617"/>
      <c r="G229" s="617"/>
      <c r="H229" s="617"/>
      <c r="I229" s="617"/>
      <c r="J229" s="617"/>
      <c r="K229" s="1692">
        <f>SUM(K215:K228)</f>
        <v>49174</v>
      </c>
      <c r="L229" s="1692">
        <f>SUM(L215:L228)</f>
        <v>49362</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486</v>
      </c>
      <c r="E233" s="617"/>
      <c r="F233" s="617"/>
      <c r="G233" s="617"/>
      <c r="H233" s="617"/>
      <c r="I233" s="617"/>
      <c r="J233" s="617"/>
      <c r="K233" s="1693">
        <f t="shared" si="20"/>
        <v>486</v>
      </c>
      <c r="L233" s="466">
        <v>487</v>
      </c>
    </row>
    <row r="234" spans="1:12" x14ac:dyDescent="0.2">
      <c r="A234" s="1526" t="s">
        <v>207</v>
      </c>
      <c r="B234" s="615">
        <v>2130</v>
      </c>
      <c r="C234" s="617"/>
      <c r="D234" s="466">
        <v>1128</v>
      </c>
      <c r="E234" s="617"/>
      <c r="F234" s="617"/>
      <c r="G234" s="617"/>
      <c r="H234" s="617"/>
      <c r="I234" s="617"/>
      <c r="J234" s="617"/>
      <c r="K234" s="1693">
        <f t="shared" si="20"/>
        <v>1128</v>
      </c>
      <c r="L234" s="466">
        <v>1127</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412</v>
      </c>
      <c r="E236" s="617"/>
      <c r="F236" s="617"/>
      <c r="G236" s="617"/>
      <c r="H236" s="617"/>
      <c r="I236" s="617"/>
      <c r="J236" s="617"/>
      <c r="K236" s="1693">
        <f t="shared" si="20"/>
        <v>412</v>
      </c>
      <c r="L236" s="466">
        <v>412</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2026</v>
      </c>
      <c r="E238" s="617"/>
      <c r="F238" s="617"/>
      <c r="G238" s="617"/>
      <c r="H238" s="617"/>
      <c r="I238" s="617"/>
      <c r="J238" s="617"/>
      <c r="K238" s="1692">
        <f>SUM(K232:K237)</f>
        <v>2026</v>
      </c>
      <c r="L238" s="1692">
        <f>SUM(L232:L237)</f>
        <v>2026</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59</v>
      </c>
      <c r="E240" s="617"/>
      <c r="F240" s="617"/>
      <c r="G240" s="617"/>
      <c r="H240" s="617"/>
      <c r="I240" s="617"/>
      <c r="J240" s="617"/>
      <c r="K240" s="1694">
        <f>D240</f>
        <v>59</v>
      </c>
      <c r="L240" s="481">
        <v>58</v>
      </c>
    </row>
    <row r="241" spans="1:12" x14ac:dyDescent="0.2">
      <c r="A241" s="1526" t="s">
        <v>869</v>
      </c>
      <c r="B241" s="615">
        <v>2220</v>
      </c>
      <c r="C241" s="617"/>
      <c r="D241" s="466">
        <v>5874</v>
      </c>
      <c r="E241" s="617"/>
      <c r="F241" s="617"/>
      <c r="G241" s="617"/>
      <c r="H241" s="617"/>
      <c r="I241" s="617"/>
      <c r="J241" s="617"/>
      <c r="K241" s="1694">
        <f>D241</f>
        <v>5874</v>
      </c>
      <c r="L241" s="466">
        <v>5898</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5933</v>
      </c>
      <c r="E243" s="617"/>
      <c r="F243" s="617"/>
      <c r="G243" s="617"/>
      <c r="H243" s="617"/>
      <c r="I243" s="617"/>
      <c r="J243" s="617"/>
      <c r="K243" s="1692">
        <f>SUM(K240:K242)</f>
        <v>5933</v>
      </c>
      <c r="L243" s="1692">
        <f>SUM(L240:L242)</f>
        <v>5956</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385</v>
      </c>
      <c r="E245" s="617"/>
      <c r="F245" s="617"/>
      <c r="G245" s="617"/>
      <c r="H245" s="617"/>
      <c r="I245" s="617"/>
      <c r="J245" s="617"/>
      <c r="K245" s="1694">
        <f>D245</f>
        <v>385</v>
      </c>
      <c r="L245" s="481">
        <v>371</v>
      </c>
    </row>
    <row r="246" spans="1:12" x14ac:dyDescent="0.2">
      <c r="A246" s="1526" t="s">
        <v>872</v>
      </c>
      <c r="B246" s="615">
        <v>2320</v>
      </c>
      <c r="C246" s="617"/>
      <c r="D246" s="466">
        <v>6513</v>
      </c>
      <c r="E246" s="617"/>
      <c r="F246" s="617"/>
      <c r="G246" s="617"/>
      <c r="H246" s="617"/>
      <c r="I246" s="617"/>
      <c r="J246" s="617"/>
      <c r="K246" s="1694">
        <f t="shared" ref="K246:K256" si="21">D246</f>
        <v>6513</v>
      </c>
      <c r="L246" s="466">
        <v>6684</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v>18649</v>
      </c>
      <c r="E254" s="617"/>
      <c r="F254" s="617"/>
      <c r="G254" s="617"/>
      <c r="H254" s="617"/>
      <c r="I254" s="617"/>
      <c r="J254" s="617"/>
      <c r="K254" s="1694">
        <f t="shared" si="21"/>
        <v>18649</v>
      </c>
      <c r="L254" s="466">
        <v>18786</v>
      </c>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25547</v>
      </c>
      <c r="E257" s="617"/>
      <c r="F257" s="617"/>
      <c r="G257" s="617"/>
      <c r="H257" s="617"/>
      <c r="I257" s="617"/>
      <c r="J257" s="617"/>
      <c r="K257" s="1692">
        <f>SUM(K245:K256)</f>
        <v>25547</v>
      </c>
      <c r="L257" s="1692">
        <f>SUM(L245:L256)</f>
        <v>25841</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6289</v>
      </c>
      <c r="E259" s="617"/>
      <c r="F259" s="617"/>
      <c r="G259" s="617"/>
      <c r="H259" s="617"/>
      <c r="I259" s="617"/>
      <c r="J259" s="617"/>
      <c r="K259" s="1694">
        <f>D259</f>
        <v>6289</v>
      </c>
      <c r="L259" s="481">
        <v>6362</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6289</v>
      </c>
      <c r="E261" s="617"/>
      <c r="F261" s="617"/>
      <c r="G261" s="617"/>
      <c r="H261" s="617"/>
      <c r="I261" s="617"/>
      <c r="J261" s="617"/>
      <c r="K261" s="1692">
        <f>SUM(K259:K260)</f>
        <v>6289</v>
      </c>
      <c r="L261" s="1692">
        <f>SUM(L259:L260)</f>
        <v>6362</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4365</v>
      </c>
      <c r="E264" s="617"/>
      <c r="F264" s="617"/>
      <c r="G264" s="617"/>
      <c r="H264" s="617"/>
      <c r="I264" s="617"/>
      <c r="J264" s="617"/>
      <c r="K264" s="1694">
        <f t="shared" ref="K264:K269" si="22">D264</f>
        <v>4365</v>
      </c>
      <c r="L264" s="466">
        <v>4413</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20788</v>
      </c>
      <c r="E266" s="617"/>
      <c r="F266" s="617"/>
      <c r="G266" s="617"/>
      <c r="H266" s="617"/>
      <c r="I266" s="617"/>
      <c r="J266" s="617"/>
      <c r="K266" s="1694">
        <f t="shared" si="22"/>
        <v>20788</v>
      </c>
      <c r="L266" s="466">
        <v>21193</v>
      </c>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v>8086</v>
      </c>
      <c r="E268" s="617"/>
      <c r="F268" s="617"/>
      <c r="G268" s="617"/>
      <c r="H268" s="617"/>
      <c r="I268" s="617"/>
      <c r="J268" s="617"/>
      <c r="K268" s="1694">
        <f t="shared" si="22"/>
        <v>8086</v>
      </c>
      <c r="L268" s="466">
        <v>8079</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33239</v>
      </c>
      <c r="E270" s="617"/>
      <c r="F270" s="617"/>
      <c r="G270" s="617"/>
      <c r="H270" s="617"/>
      <c r="I270" s="617"/>
      <c r="J270" s="617"/>
      <c r="K270" s="1692">
        <f>SUM(K263:K269)</f>
        <v>33239</v>
      </c>
      <c r="L270" s="1692">
        <f>SUM(L263:L269)</f>
        <v>33685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73034</v>
      </c>
      <c r="E279" s="617"/>
      <c r="F279" s="617"/>
      <c r="G279" s="617"/>
      <c r="H279" s="617"/>
      <c r="I279" s="617"/>
      <c r="J279" s="617"/>
      <c r="K279" s="1699">
        <f>SUM(K238,K243,K257,K261,K270,K277,K278)</f>
        <v>73034</v>
      </c>
      <c r="L279" s="1699">
        <f>SUM(L238,L243,L257,L261,L270,L277,L278)</f>
        <v>73870</v>
      </c>
    </row>
    <row r="280" spans="1:12" ht="15.75" customHeight="1" thickTop="1" thickBot="1" x14ac:dyDescent="0.25">
      <c r="A280" s="1646" t="s">
        <v>930</v>
      </c>
      <c r="B280" s="1635">
        <v>3000</v>
      </c>
      <c r="C280" s="617"/>
      <c r="D280" s="576">
        <v>4589</v>
      </c>
      <c r="E280" s="617"/>
      <c r="F280" s="617"/>
      <c r="G280" s="617"/>
      <c r="H280" s="617"/>
      <c r="I280" s="617"/>
      <c r="J280" s="617"/>
      <c r="K280" s="1701">
        <f>D280</f>
        <v>4589</v>
      </c>
      <c r="L280" s="576">
        <v>4577</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126797</v>
      </c>
      <c r="E295" s="617"/>
      <c r="F295" s="617"/>
      <c r="G295" s="617"/>
      <c r="H295" s="1692">
        <f>H293</f>
        <v>0</v>
      </c>
      <c r="I295" s="617"/>
      <c r="J295" s="617"/>
      <c r="K295" s="1692">
        <f>SUM(K229,K279,K280,K285,K293,K294)</f>
        <v>126797</v>
      </c>
      <c r="L295" s="1692">
        <f>SUM(L229,L279,L280,L285,L293,L294)</f>
        <v>127809</v>
      </c>
    </row>
    <row r="296" spans="1:14" ht="13.5" thickTop="1" x14ac:dyDescent="0.2">
      <c r="A296" s="2199" t="s">
        <v>1053</v>
      </c>
      <c r="B296" s="2200"/>
      <c r="C296" s="617"/>
      <c r="D296" s="619"/>
      <c r="E296" s="617"/>
      <c r="F296" s="617"/>
      <c r="G296" s="617"/>
      <c r="H296" s="688"/>
      <c r="I296" s="617"/>
      <c r="J296" s="617"/>
      <c r="K296" s="1706">
        <f>'Revenues 9-14'!G275-'Expenditures 15-22'!K295</f>
        <v>41083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117707</v>
      </c>
      <c r="H301" s="466"/>
      <c r="I301" s="467"/>
      <c r="J301" s="467"/>
      <c r="K301" s="1693">
        <f>SUM(C301:J301)</f>
        <v>117707</v>
      </c>
      <c r="L301" s="467">
        <v>117707</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117707</v>
      </c>
      <c r="H303" s="1699">
        <f t="shared" si="23"/>
        <v>0</v>
      </c>
      <c r="I303" s="1699">
        <f t="shared" si="23"/>
        <v>0</v>
      </c>
      <c r="J303" s="1699">
        <f t="shared" si="23"/>
        <v>0</v>
      </c>
      <c r="K303" s="1699">
        <f t="shared" si="23"/>
        <v>117707</v>
      </c>
      <c r="L303" s="1699">
        <f t="shared" si="23"/>
        <v>117707</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117707</v>
      </c>
      <c r="H312" s="1692">
        <f>SUM(H303,H310)</f>
        <v>0</v>
      </c>
      <c r="I312" s="1692">
        <f>SUM(I303)</f>
        <v>0</v>
      </c>
      <c r="J312" s="1692">
        <f>SUM(J303)</f>
        <v>0</v>
      </c>
      <c r="K312" s="1692">
        <f>SUM(K303,K310,K311)</f>
        <v>117707</v>
      </c>
      <c r="L312" s="1692">
        <f>SUM(L303,L310,L311)</f>
        <v>117707</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20862</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18503</v>
      </c>
      <c r="F320" s="467"/>
      <c r="G320" s="467"/>
      <c r="H320" s="467"/>
      <c r="I320" s="467"/>
      <c r="J320" s="467"/>
      <c r="K320" s="1693">
        <f t="shared" ref="K320:K327" si="24">SUM(C320:J320)</f>
        <v>18503</v>
      </c>
      <c r="L320" s="467">
        <v>18503</v>
      </c>
      <c r="M320" s="666"/>
      <c r="N320" s="666"/>
    </row>
    <row r="321" spans="1:14" s="675" customFormat="1" x14ac:dyDescent="0.2">
      <c r="A321" s="1541" t="s">
        <v>318</v>
      </c>
      <c r="B321" s="698" t="s">
        <v>301</v>
      </c>
      <c r="C321" s="467"/>
      <c r="D321" s="467"/>
      <c r="E321" s="467">
        <v>1242</v>
      </c>
      <c r="F321" s="467"/>
      <c r="G321" s="467"/>
      <c r="H321" s="467"/>
      <c r="I321" s="467"/>
      <c r="J321" s="467"/>
      <c r="K321" s="1693">
        <f t="shared" si="24"/>
        <v>1242</v>
      </c>
      <c r="L321" s="467">
        <v>1242</v>
      </c>
      <c r="M321" s="666"/>
      <c r="N321" s="666"/>
    </row>
    <row r="322" spans="1:14" s="675" customFormat="1" x14ac:dyDescent="0.2">
      <c r="A322" s="1541" t="s">
        <v>256</v>
      </c>
      <c r="B322" s="698" t="s">
        <v>302</v>
      </c>
      <c r="C322" s="467"/>
      <c r="D322" s="467"/>
      <c r="E322" s="467">
        <v>39937</v>
      </c>
      <c r="F322" s="467"/>
      <c r="G322" s="467"/>
      <c r="H322" s="467"/>
      <c r="I322" s="467"/>
      <c r="J322" s="467"/>
      <c r="K322" s="1693">
        <f t="shared" si="24"/>
        <v>39937</v>
      </c>
      <c r="L322" s="467">
        <v>39937</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323306</v>
      </c>
      <c r="D325" s="467">
        <v>53678</v>
      </c>
      <c r="E325" s="467">
        <v>13118</v>
      </c>
      <c r="F325" s="467"/>
      <c r="G325" s="467"/>
      <c r="H325" s="467"/>
      <c r="I325" s="467"/>
      <c r="J325" s="467"/>
      <c r="K325" s="1693">
        <f t="shared" si="24"/>
        <v>390102</v>
      </c>
      <c r="L325" s="467">
        <v>386140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3423</v>
      </c>
      <c r="F327" s="467"/>
      <c r="G327" s="467"/>
      <c r="H327" s="467"/>
      <c r="I327" s="467"/>
      <c r="J327" s="467"/>
      <c r="K327" s="1693">
        <f t="shared" si="24"/>
        <v>3423</v>
      </c>
      <c r="L327" s="467">
        <v>10167</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323306</v>
      </c>
      <c r="D330" s="1692">
        <f t="shared" ref="D330:J330" si="25">SUM(D319:D329)</f>
        <v>53678</v>
      </c>
      <c r="E330" s="1692">
        <f t="shared" si="25"/>
        <v>76223</v>
      </c>
      <c r="F330" s="1692">
        <f t="shared" si="25"/>
        <v>0</v>
      </c>
      <c r="G330" s="1692">
        <f t="shared" si="25"/>
        <v>0</v>
      </c>
      <c r="H330" s="1692">
        <f t="shared" si="25"/>
        <v>0</v>
      </c>
      <c r="I330" s="1692">
        <f t="shared" si="25"/>
        <v>0</v>
      </c>
      <c r="J330" s="1692">
        <f t="shared" si="25"/>
        <v>0</v>
      </c>
      <c r="K330" s="1692">
        <f>SUM(K319:K329)</f>
        <v>453207</v>
      </c>
      <c r="L330" s="1692">
        <f>SUM(L319:L329)</f>
        <v>455989</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323306</v>
      </c>
      <c r="D342" s="1692">
        <f>SUM(D330)</f>
        <v>53678</v>
      </c>
      <c r="E342" s="1692">
        <f>SUM(E330)</f>
        <v>76223</v>
      </c>
      <c r="F342" s="1692">
        <f>SUM(F330)</f>
        <v>0</v>
      </c>
      <c r="G342" s="1692">
        <f>SUM(G330)</f>
        <v>0</v>
      </c>
      <c r="H342" s="1692">
        <f>SUM(H330,H334,H340)</f>
        <v>0</v>
      </c>
      <c r="I342" s="1692">
        <f>SUM(I330)</f>
        <v>0</v>
      </c>
      <c r="J342" s="1692">
        <f>SUM(J330)</f>
        <v>0</v>
      </c>
      <c r="K342" s="1692">
        <f>SUM(K330,K334,K340)</f>
        <v>453207</v>
      </c>
      <c r="L342" s="1699">
        <f>SUM(L330,L340,L341)</f>
        <v>455989</v>
      </c>
    </row>
    <row r="343" spans="1:14" ht="12.75" customHeight="1" thickTop="1" x14ac:dyDescent="0.2">
      <c r="A343" s="2185" t="s">
        <v>1053</v>
      </c>
      <c r="B343" s="2186"/>
      <c r="C343" s="617"/>
      <c r="D343" s="617"/>
      <c r="E343" s="617"/>
      <c r="F343" s="617"/>
      <c r="G343" s="617"/>
      <c r="H343" s="617"/>
      <c r="I343" s="617"/>
      <c r="J343" s="617"/>
      <c r="K343" s="1706">
        <f>'Revenues 9-14'!J275-'Expenditures 15-22'!K342</f>
        <v>48337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19443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4d435f69-8686-490b-bd6d-b153bf22ab50"/>
    <ds:schemaRef ds:uri="http://purl.org/dc/elements/1.1/"/>
    <ds:schemaRef ds:uri="http://schemas.microsoft.com/office/2006/documentManagement/types"/>
    <ds:schemaRef ds:uri="http://purl.org/dc/terms/"/>
    <ds:schemaRef ds:uri="d21dc803-237d-4c68-8692-8d731fd29118"/>
    <ds:schemaRef ds:uri="6ce3111e-7420-4802-b50a-75d4e9a0b980"/>
    <ds:schemaRef ds:uri="http://purl.org/dc/dcmitype/"/>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2018-09-18T15:54:36Z</cp:lastPrinted>
  <dcterms:created xsi:type="dcterms:W3CDTF">2003-10-29T19:06:34Z</dcterms:created>
  <dcterms:modified xsi:type="dcterms:W3CDTF">2018-09-20T19:56:54Z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