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4">'Contracts Paid in CY 29'!$A$1:$G$141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J13" i="11" l="1"/>
  <c r="I13" i="11"/>
  <c r="I12" i="11" l="1"/>
  <c r="I8" i="11"/>
  <c r="I14" i="11"/>
  <c r="I10" i="11"/>
  <c r="J25" i="12" l="1"/>
  <c r="J6" i="12"/>
  <c r="C9" i="4" l="1"/>
  <c r="J32" i="8" l="1"/>
  <c r="J8" i="12"/>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28" i="108"/>
  <c r="F31" i="108"/>
  <c r="G28" i="108"/>
  <c r="D31"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9" i="118"/>
  <c r="D24" i="37"/>
  <c r="B4270" i="106" s="1"/>
  <c r="D4270" i="106" s="1"/>
  <c r="D4" i="7"/>
  <c r="B1760" i="106" s="1"/>
  <c r="D1760" i="106" s="1"/>
  <c r="H33" i="118" l="1"/>
  <c r="F36" i="34"/>
  <c r="G35" i="108"/>
  <c r="E28" i="108"/>
  <c r="F27" i="108"/>
  <c r="J22" i="37"/>
  <c r="D7245" i="106"/>
  <c r="B7727" i="106"/>
  <c r="D7727" i="106" s="1"/>
  <c r="D14" i="4"/>
  <c r="B2570" i="106" s="1"/>
  <c r="D2570" i="106" s="1"/>
  <c r="F56" i="34"/>
  <c r="G38" i="108"/>
  <c r="E38" i="108"/>
  <c r="B7074" i="106"/>
  <c r="D7074" i="106" s="1"/>
  <c r="F35" i="34"/>
  <c r="F62" i="34"/>
  <c r="F44" i="34"/>
  <c r="B2724" i="106"/>
  <c r="D2724" i="106" s="1"/>
  <c r="D37" i="108"/>
  <c r="C14" i="4"/>
  <c r="B2558" i="106" s="1"/>
  <c r="D2558" i="106" s="1"/>
  <c r="G14" i="4"/>
  <c r="B2609" i="106" s="1"/>
  <c r="D2609" i="106" s="1"/>
  <c r="F37" i="108"/>
  <c r="F34" i="34"/>
  <c r="D6103" i="106"/>
  <c r="D54" i="36"/>
  <c r="D5" i="4"/>
  <c r="B3406" i="106" s="1"/>
  <c r="D3406" i="106" s="1"/>
  <c r="D15" i="7"/>
  <c r="B1772" i="106" s="1"/>
  <c r="D1772" i="106" s="1"/>
  <c r="D7" i="7"/>
  <c r="B1763" i="106" s="1"/>
  <c r="D1763" i="106" s="1"/>
  <c r="L22" i="37"/>
  <c r="D68" i="36"/>
  <c r="L15" i="11"/>
  <c r="B3459" i="106" s="1"/>
  <c r="D3459" i="106" s="1"/>
  <c r="E33" i="108"/>
  <c r="F68" i="34"/>
  <c r="G34" i="108"/>
  <c r="K24" i="12"/>
  <c r="I210" i="29"/>
  <c r="F38" i="34"/>
  <c r="E26" i="108"/>
  <c r="F50" i="34"/>
  <c r="B7047" i="106"/>
  <c r="D7047" i="106" s="1"/>
  <c r="F46" i="34"/>
  <c r="F42" i="34"/>
  <c r="G26" i="108"/>
  <c r="G30" i="108"/>
  <c r="E30" i="108"/>
  <c r="B5096" i="106"/>
  <c r="D5096" i="106" s="1"/>
  <c r="F19" i="7"/>
  <c r="B1807" i="106" s="1"/>
  <c r="D1807" i="106" s="1"/>
  <c r="D22" i="37"/>
  <c r="L13" i="11"/>
  <c r="B2060" i="106" s="1"/>
  <c r="D2060" i="106" s="1"/>
  <c r="L5" i="11"/>
  <c r="B2056" i="106" s="1"/>
  <c r="D2056" i="106" s="1"/>
  <c r="J41" i="3"/>
  <c r="D51" i="36" s="1"/>
  <c r="D12" i="7"/>
  <c r="B1769" i="106" s="1"/>
  <c r="D1769" i="106" s="1"/>
  <c r="G5" i="4"/>
  <c r="B3409" i="106" s="1"/>
  <c r="D3409" i="106" s="1"/>
  <c r="F106" i="34"/>
  <c r="F111" i="34"/>
  <c r="F37" i="34"/>
  <c r="B3647" i="106"/>
  <c r="D3647" i="106" s="1"/>
  <c r="B2836" i="106"/>
  <c r="D2836" i="106" s="1"/>
  <c r="H112" i="29"/>
  <c r="B7018" i="106" s="1"/>
  <c r="D7018" i="106" s="1"/>
  <c r="G39" i="108"/>
  <c r="F71" i="34"/>
  <c r="B1274" i="106"/>
  <c r="D1274" i="106" s="1"/>
  <c r="H342" i="29"/>
  <c r="B7221" i="106" s="1"/>
  <c r="D7221" i="106" s="1"/>
  <c r="H173" i="5"/>
  <c r="B5906" i="106" s="1"/>
  <c r="D5906" i="106" s="1"/>
  <c r="I129" i="29"/>
  <c r="B7037" i="106" s="1"/>
  <c r="D7037" i="106" s="1"/>
  <c r="L312" i="29"/>
  <c r="B1223" i="106"/>
  <c r="D1223" i="106" s="1"/>
  <c r="B3619" i="106"/>
  <c r="D3619" i="106" s="1"/>
  <c r="G29" i="108"/>
  <c r="E29" i="108"/>
  <c r="D36" i="108"/>
  <c r="F36" i="108"/>
  <c r="I342" i="29"/>
  <c r="B7222" i="106" s="1"/>
  <c r="D7222" i="106" s="1"/>
  <c r="L367" i="29"/>
  <c r="B7231" i="106"/>
  <c r="D7231" i="106" s="1"/>
  <c r="C342" i="29"/>
  <c r="B7216" i="106" s="1"/>
  <c r="D7216" i="106" s="1"/>
  <c r="J274" i="5"/>
  <c r="B7054" i="106" s="1"/>
  <c r="D7054" i="106" s="1"/>
  <c r="F131" i="34"/>
  <c r="B1746" i="106"/>
  <c r="D1746" i="106" s="1"/>
  <c r="B1329" i="106"/>
  <c r="D1329" i="106" s="1"/>
  <c r="F61" i="34"/>
  <c r="J210" i="29"/>
  <c r="B7072" i="106" s="1"/>
  <c r="D7072" i="106" s="1"/>
  <c r="F172" i="5"/>
  <c r="B5644" i="106" s="1"/>
  <c r="D5644" i="106" s="1"/>
  <c r="F77" i="4"/>
  <c r="B3255" i="106" s="1"/>
  <c r="D3255" i="106" s="1"/>
  <c r="B6289" i="106"/>
  <c r="D6289" i="106" s="1"/>
  <c r="J129" i="29"/>
  <c r="B7038" i="106" s="1"/>
  <c r="D7038" i="106" s="1"/>
  <c r="G172" i="5"/>
  <c r="G173" i="5" s="1"/>
  <c r="B5778" i="106" s="1"/>
  <c r="D5778" i="106" s="1"/>
  <c r="D109" i="5"/>
  <c r="B5356" i="106" s="1"/>
  <c r="D5356" i="106" s="1"/>
  <c r="C109" i="5"/>
  <c r="B5121" i="106" s="1"/>
  <c r="D5121" i="106" s="1"/>
  <c r="I173" i="5"/>
  <c r="B4216" i="106" s="1"/>
  <c r="D4216" i="106" s="1"/>
  <c r="E109" i="5"/>
  <c r="E4" i="4" s="1"/>
  <c r="B2630" i="106" s="1"/>
  <c r="D2630" i="106" s="1"/>
  <c r="H109" i="5"/>
  <c r="B6025" i="106" s="1"/>
  <c r="D6025" i="106" s="1"/>
  <c r="B4412" i="106"/>
  <c r="D4412" i="106" s="1"/>
  <c r="J77" i="4"/>
  <c r="B6262" i="106" s="1"/>
  <c r="D6262" i="106" s="1"/>
  <c r="H76" i="4"/>
  <c r="B3298" i="106" s="1"/>
  <c r="D3298" i="106" s="1"/>
  <c r="K41" i="3"/>
  <c r="G15" i="145"/>
  <c r="I24" i="12"/>
  <c r="F21" i="8"/>
  <c r="H28" i="118"/>
  <c r="K28" i="118" s="1"/>
  <c r="O27" i="118" s="1"/>
  <c r="O29" i="118" s="1"/>
  <c r="D69" i="36"/>
  <c r="D13" i="7"/>
  <c r="B3726" i="106" s="1"/>
  <c r="D3726" i="106" s="1"/>
  <c r="K184" i="29"/>
  <c r="F13" i="4" s="1"/>
  <c r="B2596" i="106" s="1"/>
  <c r="D2596" i="106" s="1"/>
  <c r="E174" i="29"/>
  <c r="B1309" i="106" s="1"/>
  <c r="D1309" i="106" s="1"/>
  <c r="L342" i="29"/>
  <c r="K285" i="29"/>
  <c r="B3724" i="106" s="1"/>
  <c r="D3724" i="106" s="1"/>
  <c r="C172" i="5"/>
  <c r="F127" i="34"/>
  <c r="D5" i="7"/>
  <c r="B1761" i="106" s="1"/>
  <c r="D1761" i="106" s="1"/>
  <c r="B5348" i="106"/>
  <c r="D5348" i="106" s="1"/>
  <c r="K274" i="5"/>
  <c r="K7" i="4" s="1"/>
  <c r="B3718" i="106" s="1"/>
  <c r="D3718" i="106" s="1"/>
  <c r="F130" i="34"/>
  <c r="F128" i="34"/>
  <c r="D11" i="7"/>
  <c r="B1768" i="106" s="1"/>
  <c r="D1768" i="106" s="1"/>
  <c r="F136" i="34"/>
  <c r="I274" i="5"/>
  <c r="B4435" i="106" s="1"/>
  <c r="D4435" i="106" s="1"/>
  <c r="G109" i="5"/>
  <c r="B5066" i="106"/>
  <c r="D5066" i="106" s="1"/>
  <c r="B7041" i="106"/>
  <c r="D7041" i="106" s="1"/>
  <c r="D17" i="7"/>
  <c r="B4104" i="106" s="1"/>
  <c r="D4104" i="106" s="1"/>
  <c r="D9" i="7"/>
  <c r="B1767" i="106" s="1"/>
  <c r="D1767" i="106" s="1"/>
  <c r="K173" i="5"/>
  <c r="K6" i="4" s="1"/>
  <c r="B3570" i="106" s="1"/>
  <c r="D3570" i="106" s="1"/>
  <c r="K76" i="4"/>
  <c r="B3586" i="106" s="1"/>
  <c r="D3586" i="106" s="1"/>
  <c r="D31" i="36"/>
  <c r="D11" i="37"/>
  <c r="B3649" i="106"/>
  <c r="D3649" i="106" s="1"/>
  <c r="G367" i="29"/>
  <c r="B3650" i="106" s="1"/>
  <c r="D3650" i="106" s="1"/>
  <c r="B3621" i="106"/>
  <c r="D3621" i="106" s="1"/>
  <c r="C367" i="29"/>
  <c r="B3622" i="106" s="1"/>
  <c r="D3622" i="106" s="1"/>
  <c r="K350" i="29"/>
  <c r="B7235" i="106"/>
  <c r="D7235" i="106" s="1"/>
  <c r="H365" i="29"/>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5" i="106" l="1"/>
  <c r="D7250" i="106"/>
  <c r="D7251" i="106"/>
  <c r="D7256" i="106"/>
  <c r="D7253" i="106"/>
  <c r="F41" i="108"/>
  <c r="G43" i="108" s="1"/>
  <c r="D41" i="108"/>
  <c r="E43" i="108" s="1"/>
  <c r="D7254" i="106"/>
  <c r="D7252" i="106"/>
  <c r="B1317" i="106"/>
  <c r="D1317" i="106" s="1"/>
  <c r="I151" i="29"/>
  <c r="F59" i="34" s="1"/>
  <c r="B7733" i="106"/>
  <c r="D7733" i="106" s="1"/>
  <c r="K26" i="12"/>
  <c r="B7743" i="106" s="1"/>
  <c r="D7743" i="106" s="1"/>
  <c r="H6" i="4"/>
  <c r="B2656" i="106" s="1"/>
  <c r="D2656" i="106" s="1"/>
  <c r="B7071" i="106"/>
  <c r="D7071" i="106" s="1"/>
  <c r="F66" i="34"/>
  <c r="B6216" i="106"/>
  <c r="D6216" i="106" s="1"/>
  <c r="I7" i="4"/>
  <c r="B4444" i="106" s="1"/>
  <c r="D4444" i="106" s="1"/>
  <c r="C4" i="4"/>
  <c r="B2551" i="106" s="1"/>
  <c r="D2551" i="106" s="1"/>
  <c r="L16" i="11"/>
  <c r="B2061" i="106" s="1"/>
  <c r="D2061" i="106" s="1"/>
  <c r="J7" i="4"/>
  <c r="B6222" i="106" s="1"/>
  <c r="D6222" i="106" s="1"/>
  <c r="B5914" i="106"/>
  <c r="D5914" i="106" s="1"/>
  <c r="H77" i="4"/>
  <c r="B3299" i="106" s="1"/>
  <c r="D3299" i="106" s="1"/>
  <c r="K77" i="4"/>
  <c r="B3587" i="106" s="1"/>
  <c r="D3587" i="106" s="1"/>
  <c r="I6" i="4"/>
  <c r="B5011" i="106" s="1"/>
  <c r="D5011" i="106" s="1"/>
  <c r="F173" i="5"/>
  <c r="B5653" i="106" s="1"/>
  <c r="D5653" i="106" s="1"/>
  <c r="J151" i="29"/>
  <c r="B7052" i="106" s="1"/>
  <c r="D7052" i="106" s="1"/>
  <c r="B3628" i="106"/>
  <c r="D3628" i="106" s="1"/>
  <c r="K365" i="29"/>
  <c r="B7243" i="106" s="1"/>
  <c r="D7243" i="106" s="1"/>
  <c r="D4" i="4"/>
  <c r="B2564" i="106" s="1"/>
  <c r="D2564" i="106" s="1"/>
  <c r="B5770" i="106"/>
  <c r="D5770" i="106" s="1"/>
  <c r="G6" i="4"/>
  <c r="B2604" i="106" s="1"/>
  <c r="D2604" i="106" s="1"/>
  <c r="B6014" i="106"/>
  <c r="D6014" i="106" s="1"/>
  <c r="L114" i="29"/>
  <c r="B1381" i="106"/>
  <c r="D1381" i="106" s="1"/>
  <c r="B1328" i="106"/>
  <c r="D1328" i="106" s="1"/>
  <c r="F73" i="34"/>
  <c r="G15" i="4"/>
  <c r="B6032" i="106" s="1"/>
  <c r="D6032" i="106" s="1"/>
  <c r="B1365" i="106"/>
  <c r="D1365" i="106" s="1"/>
  <c r="F65" i="34"/>
  <c r="H151" i="29"/>
  <c r="B1273" i="106" s="1"/>
  <c r="D1273" i="106" s="1"/>
  <c r="H4" i="4"/>
  <c r="B2655" i="106" s="1"/>
  <c r="D2655" i="106" s="1"/>
  <c r="B5527" i="106"/>
  <c r="D5527" i="106" s="1"/>
  <c r="B6022" i="106"/>
  <c r="D6022" i="106" s="1"/>
  <c r="D274" i="5"/>
  <c r="D7" i="4" s="1"/>
  <c r="H275" i="5"/>
  <c r="B5915" i="106" s="1"/>
  <c r="D5915" i="106" s="1"/>
  <c r="K342" i="29"/>
  <c r="F13" i="34" s="1"/>
  <c r="D19" i="7"/>
  <c r="B1775" i="106" s="1"/>
  <c r="D1775" i="106" s="1"/>
  <c r="D44" i="36"/>
  <c r="B3568" i="106"/>
  <c r="D3568" i="106" s="1"/>
  <c r="D52" i="36"/>
  <c r="I26" i="12"/>
  <c r="B7741" i="106" s="1"/>
  <c r="D7741" i="106" s="1"/>
  <c r="B1996" i="106"/>
  <c r="D1996" i="106" s="1"/>
  <c r="B1879" i="106"/>
  <c r="D1879" i="106" s="1"/>
  <c r="H22" i="37"/>
  <c r="B5214" i="106"/>
  <c r="D5214" i="106" s="1"/>
  <c r="C173" i="5"/>
  <c r="F274" i="5"/>
  <c r="F275" i="5" s="1"/>
  <c r="B5720" i="106" s="1"/>
  <c r="D5720" i="106" s="1"/>
  <c r="B6024" i="106"/>
  <c r="D6024" i="106" s="1"/>
  <c r="G4" i="4"/>
  <c r="B2603" i="106" s="1"/>
  <c r="D2603" i="106" s="1"/>
  <c r="H367" i="29"/>
  <c r="B3660" i="106" s="1"/>
  <c r="D3660" i="106" s="1"/>
  <c r="B7242" i="106"/>
  <c r="D7242" i="106" s="1"/>
  <c r="B3670" i="106"/>
  <c r="D3670" i="106" s="1"/>
  <c r="K352" i="29"/>
  <c r="J16" i="4"/>
  <c r="B6226" i="106" s="1"/>
  <c r="D6226" i="106" s="1"/>
  <c r="B7215" i="106"/>
  <c r="D7215"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B7051" i="106"/>
  <c r="D7051" i="106" s="1"/>
  <c r="D275" i="5"/>
  <c r="B5508" i="106" s="1"/>
  <c r="D5508" i="106" s="1"/>
  <c r="H8" i="4"/>
  <c r="B2658" i="106" s="1"/>
  <c r="D2658" i="106" s="1"/>
  <c r="F24" i="37"/>
  <c r="B5507" i="106"/>
  <c r="D5507" i="106" s="1"/>
  <c r="F6" i="4"/>
  <c r="B2593" i="106" s="1"/>
  <c r="D2593" i="106" s="1"/>
  <c r="K367" i="29"/>
  <c r="K368" i="29" s="1"/>
  <c r="B3681" i="106" s="1"/>
  <c r="D3681" i="106" s="1"/>
  <c r="B1145" i="106"/>
  <c r="D1145" i="106" s="1"/>
  <c r="F7" i="4"/>
  <c r="B2594" i="106" s="1"/>
  <c r="D2594" i="106" s="1"/>
  <c r="B5719" i="106"/>
  <c r="D5719" i="106" s="1"/>
  <c r="J17" i="4"/>
  <c r="J19" i="4" s="1"/>
  <c r="B6229" i="106" s="1"/>
  <c r="D6229" i="106" s="1"/>
  <c r="E41" i="108"/>
  <c r="E44" i="108" s="1"/>
  <c r="E45" i="108" s="1"/>
  <c r="G41" i="108"/>
  <c r="G44" i="108" s="1"/>
  <c r="G45" i="108" s="1"/>
  <c r="B5223" i="106"/>
  <c r="D5223" i="106" s="1"/>
  <c r="C6" i="4"/>
  <c r="B2553" i="106" s="1"/>
  <c r="D2553" i="106" s="1"/>
  <c r="J8" i="4"/>
  <c r="J10" i="4" s="1"/>
  <c r="B6225" i="106" s="1"/>
  <c r="D6225"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H10" i="4"/>
  <c r="B4127" i="106" s="1"/>
  <c r="D4127" i="106" s="1"/>
  <c r="F8" i="4"/>
  <c r="F10" i="4" s="1"/>
  <c r="B4125" i="106" s="1"/>
  <c r="D4125" i="106" s="1"/>
  <c r="D8" i="4"/>
  <c r="D10" i="4" s="1"/>
  <c r="B4123" i="106" s="1"/>
  <c r="D4123" i="106" s="1"/>
  <c r="B6223" i="106"/>
  <c r="D6223" i="106" s="1"/>
  <c r="B6227" i="106"/>
  <c r="D6227" i="106" s="1"/>
  <c r="J20" i="4"/>
  <c r="J78" i="4" s="1"/>
  <c r="F76" i="34"/>
  <c r="D10" i="171"/>
  <c r="D19" i="171" s="1"/>
  <c r="D32" i="171" s="1"/>
  <c r="D49" i="171" s="1"/>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B6230" i="106"/>
  <c r="D6230" i="106" s="1"/>
  <c r="K20" i="4"/>
  <c r="K78" i="4" s="1"/>
  <c r="B2568" i="106"/>
  <c r="D2568" i="106" s="1"/>
  <c r="D20" i="4"/>
  <c r="D78" i="4" s="1"/>
  <c r="H13" i="118"/>
  <c r="K19" i="4"/>
  <c r="B4144" i="106" s="1"/>
  <c r="D4144"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J81" i="4"/>
  <c r="B6263" i="106"/>
  <c r="D6263" i="106" s="1"/>
  <c r="C10" i="146" l="1"/>
  <c r="F179" i="34"/>
  <c r="F79" i="34"/>
  <c r="D10" i="146"/>
  <c r="B3576" i="106"/>
  <c r="D3576" i="106" s="1"/>
  <c r="F8" i="146"/>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<sst xmlns="http://schemas.openxmlformats.org/spreadsheetml/2006/main" count="5060" uniqueCount="2121">
  <si>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</si>
  <si>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</si>
  <si>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</si>
  <si>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</si>
  <si>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</si>
  <si>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</si>
  <si>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</si>
  <si>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</si>
  <si>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</si>
  <si>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</si>
  <si>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</si>
  <si>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</si>
  <si>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</si>
  <si>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</si>
  <si>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</si>
  <si>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</si>
  <si>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</si>
  <si>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</si>
  <si>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</si>
  <si>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</si>
  <si>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</si>
  <si>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</si>
  <si>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</si>
  <si>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</si>
  <si>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</si>
  <si>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</si>
  <si>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</si>
  <si>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</si>
  <si>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</si>
  <si>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</si>
  <si>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</si>
  <si>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</si>
  <si>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</si>
  <si>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</si>
  <si>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</si>
  <si>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</si>
  <si>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</si>
  <si>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</si>
  <si>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</si>
  <si>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</si>
  <si>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</si>
  <si>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</si>
  <si>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</si>
  <si>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</si>
  <si>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</si>
  <si>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</si>
  <si>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</si>
  <si>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</si>
  <si>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</si>
  <si>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</si>
  <si>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</si>
  <si>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</si>
  <si>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</si>
  <si>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</si>
  <si>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</si>
  <si>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</si>
  <si>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</si>
  <si>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</si>
  <si>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</si>
  <si>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</si>
  <si>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</si>
  <si>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</si>
  <si>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</si>
  <si>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</si>
  <si>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</si>
  <si>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</si>
  <si>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</si>
  <si>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</si>
  <si>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</si>
  <si>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</si>
  <si>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</si>
  <si>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</si>
  <si>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</si>
  <si>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</si>
  <si>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</si>
  <si>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</si>
  <si>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</si>
  <si>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</si>
  <si>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</si>
  <si>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</si>
  <si>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</si>
  <si>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</si>
  <si>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</si>
  <si>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</si>
  <si>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</si>
  <si>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</si>
  <si>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</si>
  <si>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</si>
  <si>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</si>
  <si>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</si>
  <si>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</si>
  <si>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</si>
  <si>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</si>
  <si>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</si>
  <si>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</si>
  <si>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</si>
  <si>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</si>
  <si>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</si>
  <si>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</si>
  <si>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</si>
  <si>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</si>
  <si>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</si>
  <si>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</si>
  <si>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</si>
  <si>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</si>
  <si>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</si>
  <si>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</si>
  <si>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</si>
  <si>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</si>
  <si>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</si>
  <si>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</si>
  <si>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</si>
  <si>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</si>
  <si>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</si>
  <si>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</si>
  <si>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</si>
  <si>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</si>
  <si>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</si>
  <si>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</si>
  <si>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</si>
  <si>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</si>
  <si>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</si>
  <si>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</si>
  <si>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</si>
  <si>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</si>
  <si>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</si>
  <si>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</si>
  <si>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</si>
  <si>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</si>
  <si>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</si>
  <si>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</si>
  <si>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</si>
  <si>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</si>
  <si>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</si>
  <si>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</si>
  <si>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</si>
  <si>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</si>
  <si>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</si>
  <si>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</si>
  <si>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</si>
  <si>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</si>
  <si>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</si>
  <si>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</si>
  <si>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</si>
  <si>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</si>
  <si>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</si>
  <si>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</si>
  <si>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</si>
  <si>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</si>
  <si>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</si>
  <si>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</si>
  <si>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</si>
  <si>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</si>
  <si>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</si>
  <si>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</si>
  <si>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</si>
  <si>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</si>
  <si>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</si>
  <si>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</si>
  <si>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</si>
  <si>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</si>
  <si>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</si>
  <si>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</si>
  <si>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</si>
  <si>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</si>
  <si>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</si>
  <si>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</si>
  <si>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</si>
  <si>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</si>
  <si>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</si>
  <si>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</si>
  <si>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</si>
  <si>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</si>
  <si>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</si>
  <si>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</si>
  <si>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</si>
  <si>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</si>
  <si>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</si>
  <si>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</si>
  <si>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</si>
  <si>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</si>
  <si>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</si>
  <si>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</si>
  <si>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</si>
  <si>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</si>
  <si>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</si>
  <si>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</si>
  <si>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</si>
  <si>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</si>
  <si>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</si>
  <si>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</si>
  <si>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</si>
  <si>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</si>
  <si>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</si>
  <si>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</si>
  <si>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</si>
  <si>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</si>
  <si>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</si>
  <si>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</si>
  <si>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</si>
  <si>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</si>
  <si>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</si>
  <si>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</si>
  <si>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</si>
  <si>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</si>
  <si>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</si>
  <si>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</si>
  <si>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</si>
  <si>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</si>
  <si>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</si>
  <si>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</si>
  <si>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</si>
  <si>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</si>
  <si>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</si>
  <si>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</si>
  <si>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</si>
  <si>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</si>
  <si>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</si>
  <si>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</si>
  <si>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</si>
  <si>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</si>
  <si>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</si>
  <si>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</si>
  <si>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</si>
  <si>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</si>
  <si>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</si>
  <si>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</si>
  <si>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</si>
  <si>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</si>
  <si>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</si>
  <si>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</si>
  <si>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</si>
  <si>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</si>
  <si>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</si>
  <si>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</si>
  <si>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</si>
  <si>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</si>
  <si>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</si>
  <si>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</si>
  <si>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</si>
  <si>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</si>
  <si>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</si>
  <si>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</si>
  <si>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</si>
  <si>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</si>
  <si>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</si>
  <si>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</si>
  <si>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</si>
  <si>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</si>
  <si>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</si>
  <si>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</si>
  <si>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</si>
  <si>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</si>
  <si>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</si>
  <si>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</si>
  <si>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</si>
  <si>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</si>
  <si>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</si>
  <si>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</si>
  <si>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</si>
  <si>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</si>
  <si>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</si>
  <si>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</si>
  <si>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</si>
  <si>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</si>
  <si>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</si>
  <si>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</si>
  <si>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</si>
  <si>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</si>
  <si>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</si>
  <si>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</si>
  <si>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</si>
  <si>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</si>
  <si>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</si>
  <si>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</si>
  <si>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</si>
  <si>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</si>
  <si>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</si>
  <si>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</si>
  <si>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</si>
  <si>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</si>
  <si>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</si>
  <si>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</si>
  <si>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</si>
  <si>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</si>
  <si>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</si>
  <si>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</si>
  <si>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</si>
  <si>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</si>
  <si>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</si>
  <si>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</si>
  <si>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</si>
  <si>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</si>
  <si>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</si>
  <si>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</si>
  <si>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</si>
  <si>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</si>
  <si>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</si>
  <si>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</si>
  <si>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</si>
  <si>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</si>
  <si>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</si>
  <si>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</si>
  <si>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</si>
  <si>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</si>
  <si>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</si>
  <si>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</si>
  <si>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</si>
  <si>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</si>
  <si>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</si>
  <si>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</si>
  <si>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</si>
  <si>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</si>
  <si>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</si>
  <si>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</si>
  <si>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</si>
  <si>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</si>
  <si>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</si>
  <si>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</si>
  <si>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</si>
  <si>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</si>
  <si>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</si>
  <si>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</si>
  <si>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</si>
  <si>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</si>
  <si>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</si>
  <si>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</si>
  <si>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</si>
  <si>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</si>
  <si>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</si>
  <si>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</si>
  <si>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</si>
  <si>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</si>
  <si>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</si>
  <si>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</si>
  <si>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</si>
  <si>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</si>
  <si>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</si>
  <si>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</si>
  <si>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</si>
  <si>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</si>
  <si>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</si>
  <si>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</si>
  <si>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</si>
  <si>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</si>
  <si>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</si>
  <si>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</si>
  <si>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</si>
  <si>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</si>
  <si>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</si>
  <si>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</si>
  <si>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</si>
  <si>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</si>
  <si>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</si>
  <si>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</si>
  <si>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</si>
  <si>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</si>
  <si>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</si>
  <si>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</si>
  <si>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</si>
  <si>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</si>
  <si>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</si>
  <si>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</si>
  <si>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</si>
  <si>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</si>
  <si>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</si>
  <si>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</si>
  <si>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</si>
  <si>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</si>
  <si>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</si>
  <si>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</si>
  <si>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</si>
  <si>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</si>
  <si>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</si>
  <si>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</si>
  <si>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</si>
  <si>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</si>
  <si>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</si>
  <si>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</si>
  <si>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</si>
  <si>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</si>
  <si>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</si>
  <si>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</si>
  <si>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</si>
  <si>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</si>
  <si>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</si>
  <si>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</si>
  <si>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</si>
  <si>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</si>
  <si>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</si>
  <si>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</si>
  <si>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</si>
  <si>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</si>
  <si>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</si>
  <si>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</si>
  <si>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</si>
  <si>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</si>
  <si>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</si>
  <si>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</si>
  <si>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</si>
  <si>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</si>
  <si>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</si>
  <si>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</si>
  <si>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</si>
  <si>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</si>
  <si>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</si>
  <si>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</si>
  <si>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</si>
  <si>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</si>
  <si>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</si>
  <si>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</si>
  <si>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</si>
  <si>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</si>
  <si>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</si>
  <si>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</si>
  <si>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</si>
  <si>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</si>
  <si>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</si>
  <si>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</si>
  <si>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</si>
  <si>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</si>
  <si>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</si>
  <si>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</si>
  <si>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</si>
  <si>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</si>
  <si>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</si>
  <si>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</si>
  <si>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</si>
  <si>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</si>
  <si>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</si>
  <si>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</si>
  <si>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</si>
  <si>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</si>
  <si>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</si>
  <si>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</si>
  <si>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</si>
  <si>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</si>
  <si>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</si>
  <si>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</si>
  <si>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</si>
  <si>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</si>
  <si>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</si>
  <si>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</si>
  <si>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</si>
  <si>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</si>
  <si>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</si>
  <si>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</si>
  <si>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</si>
  <si>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</si>
  <si>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</si>
  <si>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</si>
  <si>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</si>
  <si>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</si>
  <si>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</si>
  <si>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</si>
  <si>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</si>
  <si>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</si>
  <si>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</si>
  <si>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</si>
  <si>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</si>
  <si>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</si>
  <si>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</si>
  <si>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</si>
  <si>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</si>
  <si>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</si>
  <si>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</si>
  <si>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</si>
  <si>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</si>
  <si>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</si>
  <si>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</si>
  <si>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</si>
  <si>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</si>
  <si>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</si>
  <si>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</si>
  <si>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</si>
  <si>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</si>
  <si>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</si>
  <si>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</si>
  <si>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</si>
  <si>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</si>
  <si>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</si>
  <si>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</si>
  <si>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</si>
  <si>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</si>
  <si>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</si>
  <si>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</si>
  <si>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</si>
  <si>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</si>
  <si>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</si>
  <si>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</si>
  <si>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</si>
  <si>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</si>
  <si>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</si>
  <si>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</si>
  <si>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</si>
  <si>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</si>
  <si>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</si>
  <si>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</si>
  <si>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</si>
  <si>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</si>
  <si>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</si>
  <si>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</si>
  <si>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</si>
  <si>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</si>
  <si>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</si>
  <si>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</si>
  <si>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</si>
  <si>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</si>
  <si>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</si>
  <si>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</si>
  <si>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</si>
  <si>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</si>
  <si>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</si>
  <si>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</si>
  <si>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</si>
  <si>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</si>
  <si>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</si>
  <si>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</si>
  <si>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</si>
  <si>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</si>
  <si>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</si>
  <si>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</si>
  <si>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</si>
  <si>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</si>
  <si>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</si>
  <si>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</si>
  <si>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</si>
  <si>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</si>
  <si>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</si>
  <si>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</si>
  <si>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</si>
  <si>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</si>
  <si>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</si>
  <si>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</si>
  <si>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</si>
  <si>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</si>
  <si>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</si>
  <si>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</si>
  <si>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</si>
  <si>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</si>
  <si>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</si>
  <si>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</si>
  <si>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</si>
  <si>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</si>
  <si>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</si>
  <si>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</si>
  <si>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</si>
  <si>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</si>
  <si>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</si>
  <si>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</si>
  <si>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</si>
  <si>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</si>
  <si>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</si>
  <si>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</si>
  <si>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</si>
  <si>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</si>
  <si>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</si>
  <si>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</si>
  <si>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</si>
  <si>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</si>
  <si>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</si>
  <si>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</si>
  <si>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</si>
  <si>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</si>
  <si>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</si>
  <si>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</si>
  <si>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</si>
  <si>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</si>
  <si>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</si>
  <si>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</si>
  <si>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</si>
  <si>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</si>
  <si>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</si>
  <si>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</si>
  <si>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</si>
  <si>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</si>
  <si>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</si>
  <si>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</si>
  <si>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</si>
  <si>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</si>
  <si>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</si>
  <si>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</si>
  <si>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</si>
  <si>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</si>
  <si>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</si>
  <si>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</si>
  <si>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</si>
  <si>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</si>
  <si>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</si>
  <si>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</si>
  <si>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</si>
  <si>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</si>
  <si>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</si>
  <si>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</si>
  <si>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</si>
  <si>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</si>
  <si>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</si>
  <si>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</si>
  <si>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</si>
  <si>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</si>
  <si>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</si>
  <si>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</si>
  <si>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</si>
  <si>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</si>
  <si>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</si>
  <si>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</si>
  <si>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</si>
  <si>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</si>
  <si>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</si>
  <si>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</si>
  <si>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</si>
  <si>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</si>
  <si>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</si>
  <si>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</si>
  <si>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</si>
  <si>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</si>
  <si>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</si>
  <si>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</si>
  <si>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</si>
  <si>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</si>
  <si>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</si>
  <si>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</si>
  <si>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</si>
  <si>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</si>
  <si>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</si>
  <si>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</si>
  <si>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</si>
  <si>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</si>
  <si>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</si>
  <si>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</si>
  <si>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</si>
  <si>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</si>
  <si>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</si>
  <si>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</si>
  <si>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</si>
  <si>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</si>
  <si>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</si>
  <si>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</si>
  <si>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</si>
  <si>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</si>
  <si>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</si>
  <si>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</si>
  <si>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</si>
  <si>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</si>
  <si>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</si>
  <si>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</si>
  <si>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</si>
  <si>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</si>
  <si>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</si>
  <si>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</si>
  <si>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</si>
  <si>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</si>
  <si>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</si>
  <si>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</si>
  <si>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</si>
  <si>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</si>
  <si>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</si>
  <si>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</si>
  <si>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</si>
  <si>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</si>
  <si>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</si>
  <si>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</si>
  <si>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</si>
  <si>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</si>
  <si>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</si>
  <si>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</si>
  <si>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</si>
  <si>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</si>
  <si>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</si>
  <si>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</si>
  <si>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</si>
  <si>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</si>
  <si>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</si>
  <si>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</si>
  <si>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</si>
  <si>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</si>
  <si>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</si>
  <si>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</si>
  <si>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</si>
  <si>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</si>
  <si>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</si>
  <si>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</si>
  <si>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</si>
  <si>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</si>
  <si>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</si>
  <si>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</si>
  <si>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</si>
  <si>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</si>
  <si>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</si>
  <si>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</si>
  <si>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</si>
  <si>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</si>
  <si>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</si>
  <si>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</si>
  <si>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</si>
  <si>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</si>
  <si>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</si>
  <si>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</si>
  <si>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</si>
  <si>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</si>
  <si>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</si>
  <si>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</si>
  <si>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</si>
  <si>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</si>
  <si>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</si>
  <si>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</si>
  <si>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</si>
  <si>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</si>
  <si>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</si>
  <si>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</si>
  <si>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</si>
  <si>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</si>
  <si>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</si>
  <si>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</si>
  <si>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</si>
  <si>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</si>
  <si>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</si>
  <si>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</si>
  <si>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</si>
  <si>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</si>
  <si>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</si>
  <si>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</si>
  <si>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</si>
  <si>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</si>
  <si>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</si>
  <si>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</si>
  <si>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</si>
  <si>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</si>
  <si>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</si>
  <si>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</si>
  <si>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</si>
  <si>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</si>
  <si>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</si>
  <si>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</si>
  <si>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</si>
  <si>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</si>
  <si>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</si>
  <si>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</si>
  <si>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</si>
  <si>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</si>
  <si>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</si>
  <si>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</si>
  <si>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</si>
  <si>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</si>
  <si>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</si>
  <si>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</si>
  <si>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</si>
  <si>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</si>
  <si>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</si>
  <si>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</si>
  <si>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</si>
  <si>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</si>
  <si>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</si>
  <si>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</si>
  <si>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</si>
  <si>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</si>
  <si>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</si>
  <si>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</si>
  <si>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</si>
  <si>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</si>
  <si>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</si>
  <si>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</si>
  <si>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</si>
  <si>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</si>
  <si>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</si>
  <si>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</si>
  <si>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</si>
  <si>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</si>
  <si>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</si>
  <si>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</si>
  <si>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</si>
  <si>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</si>
  <si>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</si>
  <si>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</si>
  <si>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</si>
  <si>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</si>
  <si>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</si>
  <si>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</si>
  <si>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</si>
  <si>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</si>
  <si>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</si>
  <si>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</si>
  <si>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</si>
  <si>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</si>
  <si>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</si>
  <si>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</si>
  <si>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</si>
  <si>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</si>
  <si>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</si>
  <si>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</si>
  <si>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</si>
  <si>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</si>
  <si>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</si>
  <si>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</si>
  <si>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</si>
  <si>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</si>
  <si>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</si>
  <si>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</si>
  <si>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</si>
  <si>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</si>
  <si>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</si>
  <si>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</si>
  <si>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</si>
  <si>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</si>
  <si>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</si>
  <si>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</si>
  <si>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</si>
  <si>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</si>
  <si>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</si>
  <si>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</si>
  <si>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</si>
  <si>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</si>
  <si>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</si>
  <si>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</si>
  <si>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</si>
  <si>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</si>
  <si>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</si>
  <si>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</si>
  <si>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</si>
  <si>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</si>
  <si>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</si>
  <si>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</si>
  <si>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</si>
  <si>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</si>
  <si>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</si>
  <si>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</si>
  <si>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</si>
  <si>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</si>
  <si>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</si>
  <si>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</si>
  <si>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</si>
  <si>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</si>
  <si>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</si>
  <si>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</si>
  <si>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</si>
  <si>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</si>
  <si>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</si>
  <si>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</si>
  <si>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</si>
  <si>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</si>
  <si>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</si>
  <si>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</si>
  <si>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</si>
  <si>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</si>
  <si>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</si>
  <si>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</si>
  <si>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</si>
  <si>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</si>
  <si>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</si>
  <si>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</si>
  <si>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</si>
  <si>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</si>
  <si>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</si>
  <si>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</si>
  <si>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</si>
  <si>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</si>
  <si>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</si>
  <si>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</si>
  <si>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</si>
  <si>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</si>
  <si>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</si>
  <si>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</si>
  <si>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</si>
  <si>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</si>
  <si>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</si>
  <si>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</si>
  <si>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</si>
  <si>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</si>
  <si>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</si>
  <si>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</si>
  <si>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</si>
  <si>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</si>
  <si>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</si>
  <si>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</si>
  <si>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</si>
  <si>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</si>
  <si>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</si>
  <si>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</si>
  <si>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</si>
  <si>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</si>
  <si>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</si>
  <si>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</si>
  <si>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</si>
  <si>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</si>
  <si>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</si>
  <si>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</si>
  <si>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</si>
  <si>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</si>
  <si>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</si>
  <si>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</si>
  <si>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</si>
  <si>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</si>
  <si>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</si>
  <si>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</si>
  <si>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</si>
  <si>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</si>
  <si>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</si>
  <si>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</si>
  <si>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</si>
  <si>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</si>
  <si>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</si>
  <si>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</si>
  <si>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</si>
  <si>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</si>
  <si>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</si>
  <si>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</si>
  <si>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</si>
  <si>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</si>
  <si>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</si>
  <si>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</si>
  <si>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</si>
  <si>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</si>
  <si>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</si>
  <si>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</si>
  <si>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</si>
  <si>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</si>
  <si>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</si>
  <si>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</si>
  <si>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</si>
  <si>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</si>
  <si>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</si>
  <si>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</si>
  <si>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</si>
  <si>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</si>
  <si>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</si>
  <si>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</si>
  <si>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</si>
  <si>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</si>
  <si>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</si>
  <si>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</si>
  <si>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</si>
  <si>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</si>
  <si>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</si>
  <si>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</si>
  <si>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</si>
  <si>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</si>
  <si>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</si>
  <si>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</si>
  <si>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</si>
  <si>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</si>
  <si>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</si>
  <si>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</si>
  <si>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</si>
  <si>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</si>
  <si>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</si>
  <si>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</si>
  <si>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</si>
  <si>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</si>
  <si>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</si>
  <si>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</si>
  <si>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</si>
  <si>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</si>
  <si>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</si>
  <si>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</si>
  <si>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</si>
  <si>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</si>
  <si>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</si>
  <si>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</si>
  <si>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</si>
  <si>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</si>
  <si>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</si>
  <si>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</si>
  <si>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</si>
  <si>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</si>
  <si>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</si>
  <si>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</si>
  <si>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</si>
  <si>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</si>
  <si>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</si>
  <si>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</si>
  <si>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</si>
  <si>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</si>
  <si>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</si>
  <si>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</si>
  <si>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</si>
  <si>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</si>
  <si>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</si>
  <si>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</si>
  <si>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</si>
  <si>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</si>
  <si>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</si>
  <si>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</si>
  <si>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</si>
  <si>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</si>
  <si>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</si>
  <si>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</si>
  <si>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</si>
  <si>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</si>
  <si>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</si>
  <si>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</si>
  <si>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</si>
  <si>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</si>
  <si>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</si>
  <si>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</si>
  <si>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</si>
  <si>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</si>
  <si>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</si>
  <si>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</si>
  <si>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</si>
  <si>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</si>
  <si>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</si>
  <si>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</si>
  <si>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</si>
  <si>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</si>
  <si>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</si>
  <si>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</si>
  <si>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</si>
  <si>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</si>
  <si>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</si>
  <si>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</si>
  <si>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</si>
  <si>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</si>
  <si>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</si>
  <si>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</si>
  <si>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</si>
  <si>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</si>
  <si>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</si>
  <si>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</si>
  <si>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</si>
  <si>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</si>
  <si>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</si>
  <si>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</si>
  <si>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</si>
  <si>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</si>
  <si>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</si>
  <si>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</si>
  <si>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</si>
  <si>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</si>
  <si>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</si>
  <si>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</si>
  <si>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</si>
  <si>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</si>
  <si>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</si>
  <si>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</si>
  <si>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</si>
  <si>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</si>
  <si>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</si>
  <si>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</si>
  <si>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</si>
  <si>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</si>
  <si>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</si>
  <si>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</si>
  <si>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</si>
  <si>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</si>
  <si>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</si>
  <si>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</si>
  <si>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</si>
  <si>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</si>
  <si>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</si>
  <si>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</si>
  <si>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</si>
  <si>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</si>
  <si>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</si>
  <si>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</si>
  <si>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</si>
  <si>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</si>
  <si>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</si>
  <si>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</si>
  <si>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</si>
  <si>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</si>
  <si>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</si>
  <si>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</si>
  <si>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</si>
  <si>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</si>
  <si>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</si>
  <si>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</si>
  <si>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</si>
  <si>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</si>
  <si>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</si>
  <si>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</si>
  <si>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</si>
  <si>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</si>
  <si>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</si>
  <si>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</si>
  <si>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</si>
  <si>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</si>
  <si>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</si>
  <si>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</si>
  <si>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</si>
  <si>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</si>
  <si>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</si>
  <si>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</si>
  <si>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</si>
  <si>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</si>
  <si>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</si>
  <si>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</si>
  <si>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</si>
  <si>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</si>
  <si>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</si>
  <si>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</si>
  <si>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</si>
  <si>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</si>
  <si>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</si>
  <si>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</si>
  <si>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</si>
  <si>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</si>
  <si>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</si>
  <si>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</si>
  <si>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</si>
  <si>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</si>
  <si>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</si>
  <si>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</si>
  <si>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</si>
  <si>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</si>
  <si>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</si>
  <si>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</si>
  <si>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</si>
  <si>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</si>
  <si>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</si>
  <si>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</si>
  <si>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</si>
  <si>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</si>
  <si>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</si>
  <si>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</si>
  <si>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</si>
  <si>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</si>
  <si>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</si>
  <si>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</si>
  <si>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</si>
  <si>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</si>
  <si>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</si>
  <si>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</si>
  <si>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</si>
  <si>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</si>
  <si>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</si>
  <si>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</si>
  <si>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</si>
  <si>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</si>
  <si>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</si>
  <si>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</si>
  <si>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</si>
  <si>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</si>
  <si>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</si>
  <si>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</si>
  <si>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</si>
  <si>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</si>
  <si>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</si>
  <si>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</si>
  <si>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</si>
  <si>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</si>
  <si>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</si>
  <si>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</si>
  <si>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</si>
  <si>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</si>
  <si>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</si>
  <si>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</si>
  <si>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</si>
  <si>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</si>
  <si>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</si>
  <si>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</si>
  <si>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</si>
  <si>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</si>
  <si>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</si>
  <si>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</si>
  <si>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</si>
  <si>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</si>
  <si>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</si>
  <si>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</si>
  <si>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</si>
  <si>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</si>
  <si>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</si>
  <si>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</si>
  <si>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</si>
  <si>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</si>
  <si>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</si>
  <si>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</si>
  <si>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</si>
  <si>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</si>
  <si>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</si>
  <si>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</si>
  <si>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</si>
  <si>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</si>
  <si>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</si>
  <si>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</si>
  <si>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</si>
  <si>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</si>
  <si>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</si>
  <si>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</si>
  <si>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</si>
  <si>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</si>
  <si>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</si>
  <si>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</si>
  <si>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</si>
  <si>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</si>
  <si>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</si>
  <si>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</si>
  <si>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</si>
  <si>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</si>
  <si>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</si>
  <si>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</si>
  <si>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</si>
  <si>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</si>
  <si>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</si>
  <si>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</si>
  <si>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</si>
  <si>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</si>
  <si>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</si>
  <si>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</si>
  <si>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</si>
  <si>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</si>
  <si>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</si>
  <si>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</si>
  <si>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</si>
  <si>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</si>
  <si>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</si>
  <si>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</si>
  <si>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</si>
  <si>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</si>
  <si>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</si>
  <si>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</si>
  <si>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</si>
  <si>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</si>
  <si>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</si>
  <si>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</si>
  <si>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</si>
  <si>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</si>
  <si>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</si>
  <si>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</si>
  <si>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</si>
  <si>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</si>
  <si>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</si>
  <si>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</si>
  <si>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</si>
  <si>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</si>
  <si>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</si>
  <si>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</si>
  <si>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</si>
  <si>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</si>
  <si>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</si>
  <si>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</si>
  <si>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</si>
  <si>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</si>
  <si>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</si>
  <si>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</si>
  <si>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</si>
  <si>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</si>
  <si>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</si>
  <si>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</si>
  <si>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</si>
  <si>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</si>
  <si>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</si>
  <si>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</si>
  <si>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</si>
  <si>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</si>
  <si>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</si>
  <si>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</si>
  <si>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</si>
  <si>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</si>
  <si>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</si>
  <si>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</si>
  <si>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</si>
  <si>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</si>
  <si>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</si>
  <si>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</si>
  <si>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</si>
  <si>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</si>
  <si>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</si>
  <si>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</si>
  <si>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</si>
  <si>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</si>
  <si>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</si>
  <si>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</si>
  <si>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</si>
  <si>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</si>
  <si>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</si>
  <si>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</si>
  <si>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</si>
  <si>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</si>
  <si>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</si>
  <si>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</si>
  <si>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</si>
  <si>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</si>
  <si>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</si>
  <si>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</si>
  <si>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</si>
  <si>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</si>
  <si>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</si>
  <si>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</si>
  <si>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</si>
  <si>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</si>
  <si>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</si>
  <si>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</si>
  <si>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</si>
  <si>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</si>
  <si>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</si>
  <si>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</si>
  <si>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</si>
  <si>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</si>
  <si>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</si>
  <si>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</si>
  <si>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</si>
  <si>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</si>
  <si>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</si>
  <si>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</si>
  <si>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</si>
  <si>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</si>
  <si>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</si>
  <si>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</si>
  <si>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</si>
  <si>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</si>
  <si>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</si>
  <si>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</si>
  <si>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</si>
  <si>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</si>
  <si>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</si>
  <si>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</si>
  <si>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</si>
  <si>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</si>
  <si>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</si>
  <si>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</si>
  <si>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</si>
  <si>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</si>
  <si>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</si>
  <si>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</si>
  <si>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</si>
  <si>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</si>
  <si>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</si>
  <si>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</si>
  <si>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</si>
  <si>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</si>
  <si>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</si>
  <si>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</si>
  <si>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</si>
  <si>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</si>
  <si>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</si>
  <si>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</si>
  <si>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</si>
  <si>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</si>
  <si>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</si>
  <si>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</si>
  <si>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</si>
  <si>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</si>
  <si>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</si>
  <si>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</si>
  <si>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</si>
  <si>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</si>
  <si>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</si>
  <si>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</si>
  <si>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</si>
  <si>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</si>
  <si>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</si>
  <si>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</si>
  <si>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</si>
  <si>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</si>
  <si>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</si>
  <si>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</si>
  <si>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</si>
  <si>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</si>
  <si>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</si>
  <si>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</si>
  <si>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</si>
  <si>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</si>
  <si>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</si>
  <si>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</si>
  <si>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</si>
  <si>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</si>
  <si>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</si>
  <si>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</si>
  <si>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</si>
  <si>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</si>
  <si>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</si>
  <si>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</si>
  <si>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</si>
  <si>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</si>
  <si>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</si>
  <si>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</si>
  <si>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</si>
  <si>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</si>
  <si>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</si>
  <si>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</si>
  <si>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</si>
  <si>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</si>
  <si>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</si>
  <si>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</si>
  <si>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</si>
  <si>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</si>
  <si>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</si>
  <si>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</si>
  <si>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</si>
  <si>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</si>
  <si>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</si>
  <si>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</si>
  <si>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</si>
  <si>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</si>
  <si>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</si>
  <si>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</si>
  <si>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</si>
  <si>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</si>
  <si>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</si>
  <si>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</si>
  <si>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</si>
  <si>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</si>
  <si>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</si>
  <si>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</si>
  <si>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</si>
  <si>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</si>
  <si>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</si>
  <si>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</si>
  <si>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</si>
  <si>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</si>
  <si>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</si>
  <si>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</si>
  <si>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</si>
  <si>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</si>
  <si>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</si>
  <si>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</si>
  <si>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</si>
  <si>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</si>
  <si>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</si>
  <si>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</si>
  <si>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</si>
  <si>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</si>
  <si>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</si>
  <si>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</si>
  <si>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</si>
  <si>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</si>
  <si>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</si>
  <si>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</si>
  <si>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</si>
  <si>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</si>
  <si>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</si>
  <si>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</si>
  <si>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</si>
  <si>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</si>
  <si>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</si>
  <si>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</si>
  <si>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</si>
  <si>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</si>
  <si>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</si>
  <si>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</si>
  <si>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</si>
  <si>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</si>
  <si>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</si>
  <si>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</si>
  <si>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</si>
  <si>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</si>
  <si>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</si>
  <si>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</si>
  <si>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</si>
  <si>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</si>
  <si>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</si>
  <si>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</si>
  <si>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</si>
  <si>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</si>
  <si>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</si>
  <si>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</si>
  <si>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</si>
  <si>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</si>
  <si>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</si>
  <si>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</si>
  <si>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</si>
  <si>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</si>
  <si>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</si>
  <si>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</si>
  <si>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</si>
  <si>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</si>
  <si>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</si>
  <si>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</si>
  <si>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</si>
  <si>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</si>
  <si>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</si>
  <si>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</si>
  <si>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</si>
  <si>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</si>
  <si>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</si>
  <si>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</si>
  <si>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</si>
  <si>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</si>
  <si>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</si>
  <si>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</si>
  <si>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</si>
  <si>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</si>
  <si>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</si>
  <si>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</si>
  <si>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</si>
  <si>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</si>
  <si>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</si>
  <si>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</si>
  <si>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</si>
  <si>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</si>
  <si>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</si>
  <si>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</si>
  <si>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</si>
  <si>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</si>
  <si>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</si>
  <si>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</si>
  <si>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</si>
  <si>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</si>
  <si>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</si>
  <si>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</si>
  <si>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</si>
  <si>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</si>
  <si>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</si>
  <si>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</si>
  <si>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</si>
  <si>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</si>
  <si>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</si>
  <si>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</si>
  <si>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</si>
  <si>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</si>
  <si>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</si>
  <si>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</si>
  <si>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</si>
  <si>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</si>
  <si>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</si>
  <si>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</si>
  <si>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</si>
  <si>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</si>
  <si>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</si>
  <si>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</si>
  <si>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</si>
  <si>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</si>
  <si>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</si>
  <si>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</si>
  <si>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</si>
  <si>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</si>
  <si>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</si>
  <si>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</si>
  <si>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</si>
  <si>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</si>
  <si>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</si>
  <si>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</si>
  <si>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</si>
  <si>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</si>
  <si>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</si>
  <si>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</si>
  <si>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</si>
  <si>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</si>
  <si>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</si>
  <si>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</si>
  <si>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</si>
  <si>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</si>
  <si>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</si>
  <si>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</si>
  <si>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</si>
  <si>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</si>
  <si>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</si>
  <si>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</si>
  <si>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</si>
  <si>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</si>
  <si>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</si>
  <si>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</si>
  <si>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</si>
  <si>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</si>
  <si>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</si>
  <si>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</si>
  <si>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</si>
  <si>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</si>
  <si>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</si>
  <si>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</si>
  <si>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</si>
  <si>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</si>
  <si>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</si>
  <si>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</si>
  <si>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</si>
  <si>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</si>
  <si>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</si>
  <si>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</si>
  <si>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</si>
  <si>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</si>
  <si>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</si>
  <si>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</si>
  <si>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</si>
  <si>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</si>
  <si>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</si>
  <si>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</si>
  <si>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</si>
  <si>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</si>
  <si>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</si>
  <si>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</si>
  <si>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</si>
  <si>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</si>
  <si>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</si>
  <si>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</si>
  <si>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</si>
  <si>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</si>
  <si>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</si>
  <si>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</si>
  <si>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</si>
  <si>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</si>
  <si>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</si>
  <si>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</si>
  <si>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</si>
  <si>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</si>
  <si>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</si>
  <si>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</si>
  <si>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</si>
  <si>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</si>
  <si>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</si>
  <si>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</si>
  <si>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</si>
  <si>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</si>
  <si>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</si>
  <si>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</si>
  <si>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</si>
  <si>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</si>
  <si>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</si>
  <si>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</si>
  <si>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</si>
  <si>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</si>
  <si>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</si>
  <si>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</si>
  <si>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</si>
  <si>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</si>
  <si>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</si>
  <si>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</si>
  <si>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</si>
  <si>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</si>
  <si>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</si>
  <si>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</si>
  <si>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</si>
  <si>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</si>
  <si>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</si>
  <si>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</si>
  <si>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</si>
  <si>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</si>
  <si>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</si>
  <si>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</si>
  <si>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</si>
  <si>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</si>
  <si>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</si>
  <si>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</si>
  <si>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</si>
  <si>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</si>
  <si>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</si>
  <si>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</si>
  <si>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</si>
  <si>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</si>
  <si>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</si>
  <si>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</si>
  <si>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</si>
  <si>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</si>
  <si>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</si>
  <si>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</si>
  <si>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</si>
  <si>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</si>
  <si>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</si>
  <si>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</si>
  <si>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</si>
  <si>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</si>
  <si>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</si>
  <si>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</si>
  <si>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</si>
  <si>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</si>
  <si>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</si>
  <si>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</si>
  <si>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</si>
  <si>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</si>
  <si>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</si>
  <si>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</si>
  <si>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</si>
  <si>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</si>
  <si>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</si>
  <si>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</si>
  <si>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</si>
  <si>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</si>
  <si>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</si>
  <si>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</si>
  <si>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</si>
  <si>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</si>
  <si>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</si>
  <si>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</si>
  <si>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</si>
  <si>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</si>
  <si>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</si>
  <si>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</si>
  <si>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</si>
  <si>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</si>
  <si>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</si>
  <si>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</si>
  <si>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</si>
  <si>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</si>
  <si>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</si>
  <si>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</si>
  <si>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</si>
  <si>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</si>
  <si>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</si>
  <si>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</si>
  <si>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</si>
  <si>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</si>
  <si>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</si>
  <si>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</si>
  <si>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</si>
  <si>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</si>
  <si>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</si>
  <si>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</si>
  <si>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</si>
  <si>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</si>
  <si>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</si>
  <si>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</si>
  <si>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</si>
  <si>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</si>
  <si>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</si>
  <si>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</si>
  <si>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</si>
  <si>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</si>
  <si>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</si>
  <si>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</si>
  <si>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</si>
  <si>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</si>
  <si>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</si>
  <si>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</si>
  <si>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</si>
  <si>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</si>
  <si>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</si>
  <si>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</si>
  <si>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</si>
  <si>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</si>
  <si>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</si>
  <si>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</si>
  <si>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</si>
  <si>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</si>
  <si>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</si>
  <si>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</si>
  <si>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</si>
  <si>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</si>
  <si>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</si>
  <si>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</si>
  <si>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</si>
  <si>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</si>
  <si>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</si>
  <si>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</si>
  <si>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</si>
  <si>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</si>
  <si>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</si>
  <si>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</si>
  <si>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</si>
  <si>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</si>
  <si>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</si>
  <si>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</si>
  <si>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</si>
  <si>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</si>
  <si>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</si>
  <si>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</si>
  <si>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</si>
  <si>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</si>
  <si>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</si>
  <si>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</si>
  <si>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</si>
  <si>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</si>
  <si>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</si>
  <si>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</si>
  <si>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</si>
  <si>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</si>
  <si>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</si>
  <si>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</si>
  <si>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</si>
  <si>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</si>
  <si>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</si>
  <si>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</si>
  <si>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</si>
  <si>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</si>
  <si>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</si>
  <si>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</si>
  <si>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</si>
  <si>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</si>
  <si>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</si>
  <si>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</si>
  <si>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</si>
  <si>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</si>
  <si>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</si>
  <si>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</si>
  <si>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</si>
  <si>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</si>
  <si>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</si>
  <si>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</si>
  <si>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</si>
  <si>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</si>
  <si>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</si>
  <si>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</si>
  <si>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</si>
  <si>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</si>
  <si>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</si>
  <si>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</si>
  <si>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</si>
  <si>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</si>
  <si>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</si>
  <si>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</si>
  <si>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</si>
  <si>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</si>
  <si>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</si>
  <si>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</si>
  <si>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</si>
  <si>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</si>
  <si>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</si>
  <si>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</si>
  <si>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</si>
  <si>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</si>
  <si>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</si>
  <si>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</si>
  <si>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</si>
  <si>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</si>
  <si>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</si>
  <si>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</si>
  <si>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</si>
  <si>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</si>
  <si>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</si>
  <si>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</si>
  <si>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</si>
  <si>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</si>
  <si>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</si>
  <si>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</si>
  <si>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</si>
  <si>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</si>
  <si>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</si>
  <si>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</si>
  <si>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</si>
  <si>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</si>
  <si>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</si>
  <si>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</si>
  <si>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</si>
  <si>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</si>
  <si>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</si>
  <si>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</si>
  <si>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</si>
  <si>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</si>
  <si>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</si>
  <si>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</si>
  <si>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</si>
  <si>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</si>
  <si>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</si>
  <si>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</si>
  <si>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</si>
  <si>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</si>
  <si>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</si>
  <si>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</si>
  <si>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</si>
  <si>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</si>
  <si>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</si>
  <si>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</si>
  <si>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</si>
  <si>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</si>
  <si>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</si>
  <si>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</si>
  <si>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</si>
  <si>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</si>
  <si>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</si>
  <si>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</si>
  <si>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</si>
  <si>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</si>
  <si>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</si>
  <si>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</si>
  <si>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</si>
  <si>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</si>
  <si>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</si>
  <si>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</si>
  <si>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</si>
  <si>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</si>
  <si>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</si>
  <si>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</si>
  <si>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</si>
  <si>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</si>
  <si>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</si>
  <si>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</si>
  <si>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</si>
  <si>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</si>
  <si>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</si>
  <si>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</si>
  <si>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</si>
  <si>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</si>
  <si>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</si>
  <si>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</si>
  <si>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</si>
  <si>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</si>
  <si>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</si>
  <si>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</si>
  <si>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</si>
  <si>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</si>
  <si>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</si>
  <si>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</si>
  <si>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</si>
  <si>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</si>
  <si>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</si>
  <si>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</si>
  <si>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</si>
  <si>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</si>
  <si>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</si>
  <si>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</si>
  <si>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</si>
  <si>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</si>
  <si>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</si>
  <si>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</si>
  <si>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</si>
  <si>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</si>
  <si>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</si>
  <si>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</si>
  <si>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</si>
  <si>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</si>
  <si>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</si>
  <si>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</si>
  <si>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</si>
  <si>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</si>
  <si>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</si>
  <si>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</si>
  <si>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</si>
  <si>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</si>
  <si>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</si>
  <si>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</si>
  <si>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</si>
  <si>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</si>
  <si>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</si>
  <si>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</si>
  <si>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</si>
  <si>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</si>
  <si>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</si>
  <si>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</si>
  <si>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</si>
  <si>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</si>
  <si>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</si>
  <si>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</si>
  <si>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</si>
  <si>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</si>
  <si>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</si>
  <si>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</si>
  <si>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</si>
  <si>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</si>
  <si>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</si>
  <si>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</si>
  <si>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</si>
  <si>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</si>
  <si>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</si>
  <si>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</si>
  <si>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</si>
  <si>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</si>
  <si>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</si>
  <si>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</si>
  <si>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</si>
  <si>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</si>
  <si>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</si>
  <si>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</si>
  <si>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</si>
  <si>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</si>
  <si>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</si>
  <si>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</si>
  <si>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</si>
  <si>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</si>
  <si>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</si>
  <si>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</si>
  <si>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</si>
  <si>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</si>
  <si>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</si>
  <si>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</si>
  <si>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</si>
  <si>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</si>
  <si>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</si>
  <si>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</si>
  <si>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</si>
  <si>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</si>
  <si>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</si>
  <si>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</si>
  <si>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</si>
  <si>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</si>
  <si>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</si>
  <si>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</si>
  <si>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</si>
  <si>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</si>
  <si>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</si>
  <si>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</si>
  <si>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</si>
  <si>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</si>
  <si>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</si>
  <si>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</si>
  <si>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</si>
  <si>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</si>
  <si>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</si>
  <si>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</si>
  <si>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</si>
  <si>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</si>
  <si>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</si>
  <si>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</si>
  <si>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</si>
  <si>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</si>
  <si>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</si>
  <si>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</si>
  <si>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</si>
  <si>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</si>
  <si>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</si>
  <si>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</si>
  <si>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</si>
  <si>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</si>
  <si>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</si>
  <si>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</si>
  <si>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</si>
  <si>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</si>
  <si>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</si>
  <si>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</si>
  <si>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</si>
  <si>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</si>
  <si>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</si>
  <si>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</si>
  <si>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</si>
  <si>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</si>
  <si>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</si>
  <si>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</si>
  <si>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</si>
  <si>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</si>
  <si>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</si>
  <si>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</si>
  <si>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</si>
  <si>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</si>
  <si>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</si>
  <si>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</si>
  <si>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</si>
  <si>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</si>
  <si>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</si>
  <si>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</si>
  <si>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</si>
  <si>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</si>
  <si>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</si>
  <si>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</si>
  <si>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</si>
  <si>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</si>
  <si>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</si>
  <si>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</si>
  <si>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</si>
  <si>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</si>
  <si>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</si>
  <si>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</si>
  <si>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</si>
  <si>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</si>
  <si>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</si>
  <si>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</si>
  <si>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</si>
  <si>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</si>
  <si>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</si>
  <si>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</si>
  <si>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</si>
  <si>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</si>
  <si>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</si>
  <si>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</si>
  <si>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</si>
  <si>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</si>
  <si>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</si>
  <si>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</si>
  <si>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</si>
  <si>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</si>
  <si>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</si>
  <si>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</si>
  <si>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</si>
  <si>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</si>
  <si>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</si>
  <si>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</si>
  <si>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</si>
  <si>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</si>
  <si>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</si>
  <si>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</si>
  <si>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</si>
  <si>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</si>
  <si>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</si>
  <si>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</si>
  <si>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</si>
  <si>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</si>
  <si>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</si>
  <si>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</si>
  <si>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</si>
  <si>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</si>
  <si>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</si>
  <si>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</si>
  <si>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</si>
  <si>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</si>
  <si>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</si>
  <si>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</si>
  <si>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</si>
  <si>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</si>
  <si>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</si>
  <si>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</si>
  <si>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</si>
  <si>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</si>
  <si>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</si>
  <si>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</si>
  <si>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</si>
  <si>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</si>
  <si>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</si>
  <si>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</si>
  <si>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</si>
  <si>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</si>
  <si>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</si>
  <si>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</si>
  <si>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Morgan, Cass, Scott</t>
  </si>
  <si>
    <t>2204 Concord Arenzville Road</t>
  </si>
  <si>
    <t>Concord</t>
  </si>
  <si>
    <t>tlangley@triopiacusd27.org</t>
  </si>
  <si>
    <t>Steve Eisenhauer</t>
  </si>
  <si>
    <t>217-457-2283</t>
  </si>
  <si>
    <t>217-457-2297</t>
  </si>
  <si>
    <t>Zumbahlen, Eyth, Surrat, Foote, and Flynn, Ltd.</t>
  </si>
  <si>
    <t>Cynthia S. Foote</t>
  </si>
  <si>
    <t>1395 Lincoln Avenue</t>
  </si>
  <si>
    <t>Jacksonville</t>
  </si>
  <si>
    <t>IL</t>
  </si>
  <si>
    <t>217-245-5121</t>
  </si>
  <si>
    <t>217-243-3356</t>
  </si>
  <si>
    <t>066-004993</t>
  </si>
  <si>
    <t>cfoote@zescpa.com</t>
  </si>
  <si>
    <t>Lease Purchase Agreement</t>
  </si>
  <si>
    <t>2015 Health Life Safety Bonds</t>
  </si>
  <si>
    <t>ISBE Loan</t>
  </si>
  <si>
    <t>Pathway</t>
  </si>
  <si>
    <t>Robbins Schwartz</t>
  </si>
  <si>
    <t>PCIS IL School District Liquid Asset Fund</t>
  </si>
  <si>
    <t>Error Code 8-1: Proceeds of long-term debt includes a lease purchse agreement for buses which is included in the Transportation Fund, page 7 line 43</t>
  </si>
  <si>
    <t>Bus Lease</t>
  </si>
  <si>
    <t>Health Life Safety Bond</t>
  </si>
  <si>
    <t>217-457-2284 ext 1025</t>
  </si>
  <si>
    <t>seisenhauer@triopiacusd27.org</t>
  </si>
  <si>
    <t>Zumbahlen, Eyth, Surratt, Foote, &amp; Flynn, Ltd.</t>
  </si>
  <si>
    <t>Pg. 11, Line 107: Refunds and Reimbursements</t>
  </si>
  <si>
    <t>Pg.  10, Line 74: Vending Income</t>
  </si>
  <si>
    <t>Four Rivers Special Education District</t>
  </si>
  <si>
    <t>Pg. 15, Line 41: Expenses for Home-Schooled and/or Psychiatric Students</t>
  </si>
  <si>
    <t>ED-Instruction-Regular Programs</t>
  </si>
  <si>
    <t>10-1000-300</t>
  </si>
  <si>
    <t>CDS- A Division of Delage Langdon</t>
  </si>
  <si>
    <t>Sprero Family Services</t>
  </si>
  <si>
    <t>Pg. 10, Line 81: Student Activity Income</t>
  </si>
  <si>
    <t>Pg. 12, Line 183: REAP Money</t>
  </si>
  <si>
    <t>Pg. 14, Line 272: Federal SEED Grant $6,365, Federal Back to Books Grant $2,029</t>
  </si>
  <si>
    <t>Pg. 12, Line 171:  Grant Income - $1593 Illinois Premium grant - Livestock/Horticulture; $750 Library per capita grant; $1,050 FFA grant; $56 Grant - Vocation/Ag Fair</t>
  </si>
  <si>
    <t>Error Code 8-2: Long term debt retired is shown in the transportation fund on page 19 cell H206, in addition to the amount shown in the debt service fund.</t>
  </si>
  <si>
    <t xml:space="preserve">Error Code 9-3: Transfer from Ed Fund to Debt Service Fund to pay Principal on ISBE loans.  No line for this transfer is available in Debt Service Fund so entered amount on line 43. </t>
  </si>
  <si>
    <t>Triopia CUSD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</si>
</sst>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1069027026</v>
      </c>
      <c r="B13" s="2037"/>
      <c r="C13" s="2037"/>
      <c r="D13" s="2037"/>
      <c r="E13" s="2037"/>
      <c r="F13" s="2037"/>
      <c r="G13" s="2037"/>
      <c r="H13" s="2038"/>
      <c r="I13" s="31"/>
      <c r="J13" s="30"/>
      <c r="K13" s="28"/>
      <c r="L13" s="30"/>
      <c r="M13" s="30"/>
      <c r="N13" s="30"/>
      <c r="O13" s="30"/>
      <c r="P13" s="30"/>
      <c r="Q13" s="30"/>
      <c r="R13" s="30"/>
      <c r="S13" s="30"/>
      <c r="T13" s="2041" t="s">
        <v>2085</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2120</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62650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2090</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t="s">
        <v>2092</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62631</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2104</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22" sqref="I22:S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1220386</v>
      </c>
      <c r="C4" s="1546"/>
      <c r="D4" s="1774">
        <f>B4-C4</f>
        <v>1220386</v>
      </c>
      <c r="E4" s="1546">
        <v>1297167</v>
      </c>
      <c r="F4" s="1774">
        <f>E4-C4</f>
        <v>1297167</v>
      </c>
    </row>
    <row r="5" spans="1:6" ht="13.7" customHeight="1" x14ac:dyDescent="0.2">
      <c r="A5" s="716" t="s">
        <v>925</v>
      </c>
      <c r="B5" s="1772">
        <f>'Revenues 9-14'!D5</f>
        <v>230262</v>
      </c>
      <c r="C5" s="585"/>
      <c r="D5" s="1775">
        <f t="shared" ref="D5:D18" si="0">B5-C5</f>
        <v>230262</v>
      </c>
      <c r="E5" s="585">
        <v>244748</v>
      </c>
      <c r="F5" s="1775">
        <f>E5-C5</f>
        <v>244748</v>
      </c>
    </row>
    <row r="6" spans="1:6" ht="13.7" customHeight="1" x14ac:dyDescent="0.2">
      <c r="A6" s="716" t="s">
        <v>431</v>
      </c>
      <c r="B6" s="1772">
        <f>'Revenues 9-14'!E5</f>
        <v>171653</v>
      </c>
      <c r="C6" s="585"/>
      <c r="D6" s="1775">
        <f t="shared" si="0"/>
        <v>171653</v>
      </c>
      <c r="E6" s="585">
        <v>175437</v>
      </c>
      <c r="F6" s="1775">
        <f t="shared" ref="F6:F18" si="1">E6-C6</f>
        <v>175437</v>
      </c>
    </row>
    <row r="7" spans="1:6" ht="13.7" customHeight="1" x14ac:dyDescent="0.2">
      <c r="A7" s="716" t="s">
        <v>157</v>
      </c>
      <c r="B7" s="1772">
        <f>'Revenues 9-14'!F5</f>
        <v>92105</v>
      </c>
      <c r="C7" s="585"/>
      <c r="D7" s="1775">
        <f t="shared" si="0"/>
        <v>92105</v>
      </c>
      <c r="E7" s="585">
        <v>97899</v>
      </c>
      <c r="F7" s="1775">
        <f t="shared" si="1"/>
        <v>97899</v>
      </c>
    </row>
    <row r="8" spans="1:6" ht="13.7" customHeight="1" x14ac:dyDescent="0.2">
      <c r="A8" s="716" t="s">
        <v>1241</v>
      </c>
      <c r="B8" s="1772">
        <f>'Revenues 9-14'!G5</f>
        <v>87777</v>
      </c>
      <c r="C8" s="585"/>
      <c r="D8" s="1775">
        <f t="shared" si="0"/>
        <v>87777</v>
      </c>
      <c r="E8" s="585">
        <v>71602</v>
      </c>
      <c r="F8" s="1775">
        <f t="shared" si="1"/>
        <v>71602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23026</v>
      </c>
      <c r="C10" s="585"/>
      <c r="D10" s="1775">
        <f t="shared" si="0"/>
        <v>23026</v>
      </c>
      <c r="E10" s="585">
        <v>24475</v>
      </c>
      <c r="F10" s="1775">
        <f t="shared" si="1"/>
        <v>24475</v>
      </c>
    </row>
    <row r="11" spans="1:6" x14ac:dyDescent="0.2">
      <c r="A11" s="716" t="s">
        <v>429</v>
      </c>
      <c r="B11" s="1772">
        <f>'Revenues 9-14'!J5</f>
        <v>326575</v>
      </c>
      <c r="C11" s="585"/>
      <c r="D11" s="1775">
        <f t="shared" si="0"/>
        <v>326575</v>
      </c>
      <c r="E11" s="585">
        <v>342659</v>
      </c>
      <c r="F11" s="1775">
        <f t="shared" si="1"/>
        <v>342659</v>
      </c>
    </row>
    <row r="12" spans="1:6" ht="13.7" customHeight="1" x14ac:dyDescent="0.2">
      <c r="A12" s="716" t="s">
        <v>159</v>
      </c>
      <c r="B12" s="1772">
        <f>'Revenues 9-14'!K5</f>
        <v>22700</v>
      </c>
      <c r="C12" s="585"/>
      <c r="D12" s="1775">
        <f t="shared" si="0"/>
        <v>22700</v>
      </c>
      <c r="E12" s="585">
        <v>24475</v>
      </c>
      <c r="F12" s="1775">
        <f t="shared" si="1"/>
        <v>24475</v>
      </c>
    </row>
    <row r="13" spans="1:6" ht="13.7" customHeight="1" x14ac:dyDescent="0.2">
      <c r="A13" s="716" t="s">
        <v>993</v>
      </c>
      <c r="B13" s="1772">
        <f>SUM('Revenues 9-14'!C6:D6)</f>
        <v>22885</v>
      </c>
      <c r="C13" s="585"/>
      <c r="D13" s="1775">
        <f t="shared" si="0"/>
        <v>22885</v>
      </c>
      <c r="E13" s="585">
        <v>24475</v>
      </c>
      <c r="F13" s="1775">
        <f t="shared" si="1"/>
        <v>24475</v>
      </c>
    </row>
    <row r="14" spans="1:6" ht="13.7" customHeight="1" x14ac:dyDescent="0.2">
      <c r="A14" s="716" t="s">
        <v>430</v>
      </c>
      <c r="B14" s="1772">
        <f>SUM('Revenues 9-14'!C7:D7,'Revenues 9-14'!F7:H7)</f>
        <v>18562</v>
      </c>
      <c r="C14" s="585"/>
      <c r="D14" s="1775">
        <f t="shared" si="0"/>
        <v>18562</v>
      </c>
      <c r="E14" s="585">
        <v>19580</v>
      </c>
      <c r="F14" s="1775">
        <f t="shared" si="1"/>
        <v>19580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74378</v>
      </c>
      <c r="C16" s="585"/>
      <c r="D16" s="1775">
        <f t="shared" si="0"/>
        <v>74378</v>
      </c>
      <c r="E16" s="585">
        <v>61374</v>
      </c>
      <c r="F16" s="1775">
        <f t="shared" si="1"/>
        <v>61374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2290309</v>
      </c>
      <c r="C19" s="1773">
        <f>SUM(C4:C18)</f>
        <v>0</v>
      </c>
      <c r="D19" s="1773">
        <f>SUM(D4:D18)</f>
        <v>2290309</v>
      </c>
      <c r="E19" s="1773">
        <f>SUM(E4:E18)</f>
        <v>2383891</v>
      </c>
      <c r="F19" s="1773">
        <f>SUM(F4:F18)</f>
        <v>2383891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I22" sqref="I22:S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2094</v>
      </c>
      <c r="B31" s="734">
        <v>41852</v>
      </c>
      <c r="C31" s="735">
        <v>193789</v>
      </c>
      <c r="D31" s="736">
        <v>7</v>
      </c>
      <c r="E31" s="735">
        <v>99177</v>
      </c>
      <c r="F31" s="735"/>
      <c r="G31" s="735"/>
      <c r="H31" s="735">
        <v>99177</v>
      </c>
      <c r="I31" s="1778">
        <f>((E31+F31)-H31)+G31</f>
        <v>0</v>
      </c>
      <c r="J31" s="735"/>
      <c r="K31" s="737"/>
    </row>
    <row r="32" spans="1:11" ht="12" customHeight="1" x14ac:dyDescent="0.2">
      <c r="A32" s="733" t="s">
        <v>2095</v>
      </c>
      <c r="B32" s="734">
        <v>42185</v>
      </c>
      <c r="C32" s="735">
        <v>4415000</v>
      </c>
      <c r="D32" s="736">
        <v>8</v>
      </c>
      <c r="E32" s="735">
        <v>4285000</v>
      </c>
      <c r="F32" s="735"/>
      <c r="G32" s="735"/>
      <c r="H32" s="735">
        <v>140000</v>
      </c>
      <c r="I32" s="1778">
        <f>((E32+F32)-H32)+G32</f>
        <v>4145000</v>
      </c>
      <c r="J32" s="735">
        <f>4145000-109254</f>
        <v>4035746</v>
      </c>
      <c r="K32" s="737"/>
    </row>
    <row r="33" spans="1:11" ht="12" customHeight="1" x14ac:dyDescent="0.2">
      <c r="A33" s="733" t="s">
        <v>2096</v>
      </c>
      <c r="B33" s="734">
        <v>41932</v>
      </c>
      <c r="C33" s="735">
        <v>25000</v>
      </c>
      <c r="D33" s="736">
        <v>9</v>
      </c>
      <c r="E33" s="735">
        <v>4260</v>
      </c>
      <c r="F33" s="735"/>
      <c r="G33" s="735"/>
      <c r="H33" s="735">
        <v>4260</v>
      </c>
      <c r="I33" s="1778">
        <f t="shared" ref="I33:I48" si="1">((E33+F33)-H33)+G33</f>
        <v>0</v>
      </c>
      <c r="J33" s="735"/>
      <c r="K33" s="737"/>
    </row>
    <row r="34" spans="1:11" ht="12" customHeight="1" x14ac:dyDescent="0.2">
      <c r="A34" s="733" t="s">
        <v>2094</v>
      </c>
      <c r="B34" s="734">
        <v>42926</v>
      </c>
      <c r="C34" s="735">
        <v>173922</v>
      </c>
      <c r="D34" s="736">
        <v>7</v>
      </c>
      <c r="E34" s="735"/>
      <c r="F34" s="735">
        <v>173922</v>
      </c>
      <c r="G34" s="735"/>
      <c r="H34" s="735"/>
      <c r="I34" s="1778">
        <f t="shared" si="1"/>
        <v>173922</v>
      </c>
      <c r="J34" s="735">
        <v>173922</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4807711</v>
      </c>
      <c r="D49" s="746"/>
      <c r="E49" s="1778">
        <f t="shared" ref="E49:J49" si="2">SUM(E31:E48)</f>
        <v>4388437</v>
      </c>
      <c r="F49" s="1778">
        <f t="shared" si="2"/>
        <v>173922</v>
      </c>
      <c r="G49" s="1778">
        <f t="shared" si="2"/>
        <v>0</v>
      </c>
      <c r="H49" s="1778">
        <f t="shared" si="2"/>
        <v>243437</v>
      </c>
      <c r="I49" s="1778">
        <f t="shared" si="2"/>
        <v>4318922</v>
      </c>
      <c r="J49" s="1778">
        <f t="shared" si="2"/>
        <v>4209668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2101</v>
      </c>
      <c r="G52" s="2206"/>
      <c r="H52" s="737"/>
      <c r="I52" s="737"/>
      <c r="J52" s="747"/>
    </row>
    <row r="53" spans="1:11" ht="11.25" customHeight="1" x14ac:dyDescent="0.2">
      <c r="A53" s="751" t="s">
        <v>969</v>
      </c>
      <c r="B53" s="752" t="s">
        <v>1008</v>
      </c>
      <c r="C53" s="747"/>
      <c r="D53" s="738"/>
      <c r="E53" s="750" t="s">
        <v>518</v>
      </c>
      <c r="F53" s="2207" t="s">
        <v>2102</v>
      </c>
      <c r="G53" s="2208"/>
      <c r="H53" s="737"/>
      <c r="I53" s="737"/>
      <c r="J53" s="747"/>
    </row>
    <row r="54" spans="1:11" ht="11.25" customHeight="1" x14ac:dyDescent="0.2">
      <c r="A54" s="753" t="s">
        <v>970</v>
      </c>
      <c r="B54" s="748" t="s">
        <v>1009</v>
      </c>
      <c r="C54" s="747"/>
      <c r="D54" s="738"/>
      <c r="E54" s="750" t="s">
        <v>519</v>
      </c>
      <c r="F54" s="2207" t="s">
        <v>2096</v>
      </c>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22" sqref="I22:S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v>146942</v>
      </c>
      <c r="K3" s="766">
        <v>9807</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18562</v>
      </c>
      <c r="I5" s="773"/>
      <c r="J5" s="774"/>
      <c r="K5" s="774"/>
    </row>
    <row r="6" spans="1:11" x14ac:dyDescent="0.2">
      <c r="A6" s="775" t="s">
        <v>744</v>
      </c>
      <c r="B6" s="776"/>
      <c r="C6" s="776"/>
      <c r="D6" s="776"/>
      <c r="E6" s="777"/>
      <c r="F6" s="778" t="s">
        <v>904</v>
      </c>
      <c r="G6" s="765"/>
      <c r="H6" s="765"/>
      <c r="I6" s="765"/>
      <c r="J6" s="766">
        <f>354+51</f>
        <v>405</v>
      </c>
      <c r="K6" s="766"/>
    </row>
    <row r="7" spans="1:11" x14ac:dyDescent="0.2">
      <c r="A7" s="779" t="s">
        <v>264</v>
      </c>
      <c r="B7" s="780"/>
      <c r="C7" s="780"/>
      <c r="D7" s="780"/>
      <c r="E7" s="781"/>
      <c r="F7" s="771" t="s">
        <v>905</v>
      </c>
      <c r="G7" s="768"/>
      <c r="H7" s="768"/>
      <c r="I7" s="768"/>
      <c r="J7" s="782"/>
      <c r="K7" s="766">
        <v>4243</v>
      </c>
    </row>
    <row r="8" spans="1:11" x14ac:dyDescent="0.2">
      <c r="A8" s="779" t="s">
        <v>363</v>
      </c>
      <c r="B8" s="780"/>
      <c r="C8" s="780"/>
      <c r="D8" s="780"/>
      <c r="E8" s="781"/>
      <c r="F8" s="771" t="s">
        <v>906</v>
      </c>
      <c r="G8" s="783"/>
      <c r="H8" s="783"/>
      <c r="I8" s="783"/>
      <c r="J8" s="766">
        <f>145109+44824</f>
        <v>189933</v>
      </c>
      <c r="K8" s="770"/>
    </row>
    <row r="9" spans="1:11" x14ac:dyDescent="0.2">
      <c r="A9" s="779" t="s">
        <v>140</v>
      </c>
      <c r="B9" s="780"/>
      <c r="C9" s="780"/>
      <c r="D9" s="780"/>
      <c r="E9" s="781"/>
      <c r="F9" s="778" t="s">
        <v>908</v>
      </c>
      <c r="G9" s="783"/>
      <c r="H9" s="772"/>
      <c r="I9" s="772"/>
      <c r="J9" s="782"/>
      <c r="K9" s="766">
        <v>4823</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18562</v>
      </c>
      <c r="I12" s="1780">
        <f>SUM(I5:I11)</f>
        <v>0</v>
      </c>
      <c r="J12" s="1780">
        <f>SUM(J5:J11)</f>
        <v>190338</v>
      </c>
      <c r="K12" s="1780">
        <f>SUM(K5:K11)</f>
        <v>9066</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18562</v>
      </c>
      <c r="I14" s="772"/>
      <c r="J14" s="774"/>
      <c r="K14" s="766">
        <v>7592</v>
      </c>
    </row>
    <row r="15" spans="1:11" x14ac:dyDescent="0.2">
      <c r="A15" s="2236" t="s">
        <v>4</v>
      </c>
      <c r="B15" s="2236"/>
      <c r="C15" s="2236"/>
      <c r="D15" s="2236"/>
      <c r="E15" s="2237"/>
      <c r="F15" s="790" t="s">
        <v>910</v>
      </c>
      <c r="G15" s="772"/>
      <c r="H15" s="765"/>
      <c r="I15" s="765"/>
      <c r="J15" s="766">
        <v>38174</v>
      </c>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v>147060</v>
      </c>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147060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18562</v>
      </c>
      <c r="I23" s="1780">
        <f>SUM(I14:I16,I21,I22)</f>
        <v>0</v>
      </c>
      <c r="J23" s="1780">
        <f>SUM(J14:J16,J21,J22)</f>
        <v>185234</v>
      </c>
      <c r="K23" s="1780">
        <f>SUM(K14:K16,K21,K22)</f>
        <v>7592</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152046</v>
      </c>
      <c r="K24" s="1785">
        <f>SUM(K3,K12)-K23</f>
        <v>11281</v>
      </c>
    </row>
    <row r="25" spans="1:11" ht="13.5" thickTop="1" x14ac:dyDescent="0.2">
      <c r="A25" s="799" t="s">
        <v>440</v>
      </c>
      <c r="B25" s="800"/>
      <c r="C25" s="800"/>
      <c r="D25" s="800"/>
      <c r="E25" s="801"/>
      <c r="F25" s="802">
        <v>714</v>
      </c>
      <c r="G25" s="803"/>
      <c r="H25" s="803"/>
      <c r="I25" s="803"/>
      <c r="J25" s="798">
        <f>42792+109254</f>
        <v>152046</v>
      </c>
      <c r="K25" s="798">
        <v>11281</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22" sqref="I22:S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59192</v>
      </c>
      <c r="D5" s="842"/>
      <c r="E5" s="842"/>
      <c r="F5" s="1782">
        <f>(C5+D5)-E5</f>
        <v>59192</v>
      </c>
      <c r="G5" s="838"/>
      <c r="H5" s="843"/>
      <c r="I5" s="843"/>
      <c r="J5" s="843"/>
      <c r="K5" s="794"/>
      <c r="L5" s="1791">
        <f>F5-K5</f>
        <v>59192</v>
      </c>
    </row>
    <row r="6" spans="1:14" ht="14.25" thickTop="1" thickBot="1" x14ac:dyDescent="0.25">
      <c r="A6" s="779" t="s">
        <v>1179</v>
      </c>
      <c r="B6" s="841">
        <v>222</v>
      </c>
      <c r="C6" s="766">
        <v>0</v>
      </c>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8116865</v>
      </c>
      <c r="D8" s="845"/>
      <c r="E8" s="845"/>
      <c r="F8" s="1782">
        <f>(C8+D8)-E8</f>
        <v>8116865</v>
      </c>
      <c r="G8" s="844">
        <v>50</v>
      </c>
      <c r="H8" s="766">
        <v>2337286</v>
      </c>
      <c r="I8" s="766">
        <f>71050+13788+76837+327+336</f>
        <v>162338</v>
      </c>
      <c r="J8" s="766"/>
      <c r="K8" s="1791">
        <f>(H8+I8)-J8</f>
        <v>2499624</v>
      </c>
      <c r="L8" s="1791">
        <f>F8-K8</f>
        <v>5617241</v>
      </c>
    </row>
    <row r="9" spans="1:14" ht="14.25" thickTop="1" thickBot="1" x14ac:dyDescent="0.25">
      <c r="A9" s="779" t="s">
        <v>1181</v>
      </c>
      <c r="B9" s="841">
        <v>232</v>
      </c>
      <c r="C9" s="766">
        <v>0</v>
      </c>
      <c r="D9" s="766"/>
      <c r="E9" s="766"/>
      <c r="F9" s="1782">
        <f>(C9+D9)-E9</f>
        <v>0</v>
      </c>
      <c r="G9" s="844">
        <v>20</v>
      </c>
      <c r="H9" s="766"/>
      <c r="I9" s="766"/>
      <c r="J9" s="766"/>
      <c r="K9" s="1791">
        <f>(H9+I9)-J9</f>
        <v>0</v>
      </c>
      <c r="L9" s="1791">
        <f>F9-K9</f>
        <v>0</v>
      </c>
    </row>
    <row r="10" spans="1:14" ht="24" thickTop="1" thickBot="1" x14ac:dyDescent="0.25">
      <c r="A10" s="846" t="s">
        <v>1182</v>
      </c>
      <c r="B10" s="841">
        <v>240</v>
      </c>
      <c r="C10" s="847">
        <v>332180</v>
      </c>
      <c r="D10" s="847">
        <v>38174</v>
      </c>
      <c r="E10" s="847"/>
      <c r="F10" s="1786">
        <f>(C10+D10)-E10</f>
        <v>370354</v>
      </c>
      <c r="G10" s="844">
        <v>20</v>
      </c>
      <c r="H10" s="848">
        <v>168098</v>
      </c>
      <c r="I10" s="848">
        <f>100+1660+2913+572+1069+1164+1724+110+430+1909</f>
        <v>11651</v>
      </c>
      <c r="J10" s="848"/>
      <c r="K10" s="1791">
        <f>(H10+I10)-J10</f>
        <v>179749</v>
      </c>
      <c r="L10" s="1791">
        <f>F10-K10</f>
        <v>190605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1135809</v>
      </c>
      <c r="D12" s="845">
        <v>15470</v>
      </c>
      <c r="E12" s="845"/>
      <c r="F12" s="1782">
        <f>(C12+D12)-E12</f>
        <v>1151279</v>
      </c>
      <c r="G12" s="844">
        <v>10</v>
      </c>
      <c r="H12" s="766">
        <v>1104266</v>
      </c>
      <c r="I12" s="766">
        <f>1745+940+170+352+74+41+2970+425+355+223+140+95+621+272+467+60+528+1201+230</f>
        <v>10909</v>
      </c>
      <c r="J12" s="766"/>
      <c r="K12" s="1791">
        <f>(H12+I12)-J12</f>
        <v>1115175</v>
      </c>
      <c r="L12" s="1791">
        <f>F12-K12</f>
        <v>36104</v>
      </c>
    </row>
    <row r="13" spans="1:14" ht="14.25" thickTop="1" thickBot="1" x14ac:dyDescent="0.25">
      <c r="A13" s="849" t="s">
        <v>1184</v>
      </c>
      <c r="B13" s="841">
        <v>252</v>
      </c>
      <c r="C13" s="845">
        <v>408847</v>
      </c>
      <c r="D13" s="845">
        <v>119660</v>
      </c>
      <c r="E13" s="845">
        <v>145870</v>
      </c>
      <c r="F13" s="1782">
        <f>(C13+D13)-E13</f>
        <v>382637</v>
      </c>
      <c r="G13" s="844">
        <v>5</v>
      </c>
      <c r="H13" s="766">
        <v>300557</v>
      </c>
      <c r="I13" s="766">
        <f>5144+8676+810+810+810+810+810+8676+8676+8676+8676</f>
        <v>52574</v>
      </c>
      <c r="J13" s="766">
        <f>145870</f>
        <v>145870</v>
      </c>
      <c r="K13" s="1791">
        <f>(H13+I13)-J13</f>
        <v>207261</v>
      </c>
      <c r="L13" s="1791">
        <f>F13-K13</f>
        <v>175376</v>
      </c>
    </row>
    <row r="14" spans="1:14" ht="14.25" thickTop="1" thickBot="1" x14ac:dyDescent="0.25">
      <c r="A14" s="849" t="s">
        <v>1185</v>
      </c>
      <c r="B14" s="841">
        <v>253</v>
      </c>
      <c r="C14" s="766">
        <v>60886</v>
      </c>
      <c r="D14" s="766">
        <v>3759</v>
      </c>
      <c r="E14" s="766"/>
      <c r="F14" s="1782">
        <f>(C14+D14)-E14</f>
        <v>64645</v>
      </c>
      <c r="G14" s="844">
        <v>3</v>
      </c>
      <c r="H14" s="766">
        <v>48282</v>
      </c>
      <c r="I14" s="766">
        <f>73+135+637+7055+431+61</f>
        <v>8392</v>
      </c>
      <c r="J14" s="766"/>
      <c r="K14" s="1791">
        <f>(H14+I14)-J14</f>
        <v>56674</v>
      </c>
      <c r="L14" s="1791">
        <f>F14-K14</f>
        <v>7971</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10113779</v>
      </c>
      <c r="D16" s="1782">
        <f>SUM(D3,D5:D6,D8:D10,D12:D15)</f>
        <v>177063</v>
      </c>
      <c r="E16" s="1782">
        <f>SUM(E3,E5:E6,E8:E10,E12:E15)</f>
        <v>145870</v>
      </c>
      <c r="F16" s="1782">
        <f>SUM(F3,F5:F6,F8:F10,F12:F15)</f>
        <v>10144972</v>
      </c>
      <c r="G16" s="844"/>
      <c r="H16" s="1782">
        <f>SUM(H3,H6,H8:H10,H12:H14,)</f>
        <v>3958489</v>
      </c>
      <c r="I16" s="1782">
        <f>SUM(I3,I6,I8:I10,I12:I14,)</f>
        <v>245864</v>
      </c>
      <c r="J16" s="1782">
        <f>SUM(J3,J6,J8:J10,J12:J14,)</f>
        <v>145870</v>
      </c>
      <c r="K16" s="1782">
        <f>(H16+I16)-J16</f>
        <v>4058483</v>
      </c>
      <c r="L16" s="1782">
        <f>F16-K16</f>
        <v>6086489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245864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I22" sqref="I22:S22"/>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2901844</v>
      </c>
      <c r="G8" s="866"/>
    </row>
    <row r="9" spans="1:7" x14ac:dyDescent="0.2">
      <c r="A9" s="870" t="s">
        <v>480</v>
      </c>
      <c r="B9" s="871" t="s">
        <v>1988</v>
      </c>
      <c r="C9" s="872"/>
      <c r="D9" s="870" t="s">
        <v>522</v>
      </c>
      <c r="E9" s="869"/>
      <c r="F9" s="1935">
        <f>'Expenditures 15-22'!K151</f>
        <v>207004</v>
      </c>
      <c r="G9" s="873"/>
    </row>
    <row r="10" spans="1:7" x14ac:dyDescent="0.2">
      <c r="A10" s="870" t="s">
        <v>520</v>
      </c>
      <c r="B10" s="871" t="s">
        <v>1989</v>
      </c>
      <c r="C10" s="872"/>
      <c r="D10" s="870" t="s">
        <v>522</v>
      </c>
      <c r="E10" s="869"/>
      <c r="F10" s="1935">
        <f>'Expenditures 15-22'!K174</f>
        <v>323060</v>
      </c>
      <c r="G10" s="873"/>
    </row>
    <row r="11" spans="1:7" x14ac:dyDescent="0.2">
      <c r="A11" s="870" t="s">
        <v>481</v>
      </c>
      <c r="B11" s="871" t="s">
        <v>1990</v>
      </c>
      <c r="C11" s="872"/>
      <c r="D11" s="870" t="s">
        <v>522</v>
      </c>
      <c r="E11" s="869"/>
      <c r="F11" s="1935">
        <f>'Expenditures 15-22'!K210</f>
        <v>350287</v>
      </c>
      <c r="G11" s="873"/>
    </row>
    <row r="12" spans="1:7" x14ac:dyDescent="0.2">
      <c r="A12" s="870" t="s">
        <v>482</v>
      </c>
      <c r="B12" s="871" t="s">
        <v>1991</v>
      </c>
      <c r="C12" s="872"/>
      <c r="D12" s="870" t="s">
        <v>522</v>
      </c>
      <c r="E12" s="869"/>
      <c r="F12" s="1935">
        <f>'Expenditures 15-22'!K295</f>
        <v>130965</v>
      </c>
      <c r="G12" s="873"/>
    </row>
    <row r="13" spans="1:7" x14ac:dyDescent="0.2">
      <c r="A13" s="870" t="s">
        <v>108</v>
      </c>
      <c r="B13" s="871" t="s">
        <v>1992</v>
      </c>
      <c r="C13" s="872"/>
      <c r="D13" s="870" t="s">
        <v>522</v>
      </c>
      <c r="E13" s="869"/>
      <c r="F13" s="1935">
        <f>'Expenditures 15-22'!K342</f>
        <v>324716</v>
      </c>
      <c r="G13" s="874"/>
    </row>
    <row r="14" spans="1:7" ht="12" customHeight="1" thickBot="1" x14ac:dyDescent="0.25">
      <c r="A14" s="1792"/>
      <c r="B14" s="1793"/>
      <c r="C14" s="1794"/>
      <c r="D14" s="1795" t="s">
        <v>522</v>
      </c>
      <c r="E14" s="1796" t="s">
        <v>1015</v>
      </c>
      <c r="F14" s="1797">
        <f>SUM(F8:F13)</f>
        <v>4237876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95390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3660</v>
      </c>
      <c r="G52" s="866"/>
    </row>
    <row r="53" spans="1:7" x14ac:dyDescent="0.2">
      <c r="A53" s="870" t="s">
        <v>479</v>
      </c>
      <c r="B53" s="870" t="s">
        <v>1551</v>
      </c>
      <c r="C53" s="890">
        <f>'Expenditures 15-22'!B102</f>
        <v>4000</v>
      </c>
      <c r="D53" s="889" t="str">
        <f>'Expenditures 15-22'!A102</f>
        <v>Total Payments to Other Govt Units</v>
      </c>
      <c r="E53" s="869"/>
      <c r="F53" s="1939">
        <f>'Expenditures 15-22'!K102</f>
        <v>137140</v>
      </c>
      <c r="G53" s="866"/>
    </row>
    <row r="54" spans="1:7" x14ac:dyDescent="0.2">
      <c r="A54" s="870" t="s">
        <v>479</v>
      </c>
      <c r="B54" s="870" t="s">
        <v>1552</v>
      </c>
      <c r="C54" s="890" t="s">
        <v>1039</v>
      </c>
      <c r="D54" s="886" t="s">
        <v>1157</v>
      </c>
      <c r="E54" s="869"/>
      <c r="F54" s="1939">
        <f>'Expenditures 15-22'!G114</f>
        <v>8359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10870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144260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99177</v>
      </c>
      <c r="G64" s="866"/>
    </row>
    <row r="65" spans="1:8" x14ac:dyDescent="0.2">
      <c r="A65" s="870" t="s">
        <v>481</v>
      </c>
      <c r="B65" s="870" t="s">
        <v>2001</v>
      </c>
      <c r="C65" s="887" t="s">
        <v>1039</v>
      </c>
      <c r="D65" s="886" t="s">
        <v>1157</v>
      </c>
      <c r="E65" s="869"/>
      <c r="F65" s="1939">
        <f>'Expenditures 15-22'!G210</f>
        <v>119660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618516</v>
      </c>
      <c r="G76" s="866"/>
    </row>
    <row r="77" spans="1:8" s="894" customFormat="1" ht="12" customHeight="1" thickTop="1" thickBot="1" x14ac:dyDescent="0.25">
      <c r="A77" s="1801"/>
      <c r="B77" s="1798"/>
      <c r="C77" s="1794"/>
      <c r="D77" s="1799" t="s">
        <v>2011</v>
      </c>
      <c r="E77" s="1796"/>
      <c r="F77" s="1802">
        <f>(F14-F76)</f>
        <v>3619360</v>
      </c>
      <c r="G77" s="870"/>
    </row>
    <row r="78" spans="1:8" s="894" customFormat="1" ht="12" customHeight="1" thickTop="1" x14ac:dyDescent="0.2">
      <c r="A78" s="1803"/>
      <c r="B78" s="1798"/>
      <c r="C78" s="1794"/>
      <c r="D78" s="1799" t="s">
        <v>2057</v>
      </c>
      <c r="E78" s="1796"/>
      <c r="F78" s="899">
        <v>348.06</v>
      </c>
      <c r="G78" s="900"/>
      <c r="H78" s="870"/>
    </row>
    <row r="79" spans="1:8" s="894" customFormat="1" ht="12" customHeight="1" thickBot="1" x14ac:dyDescent="0.25">
      <c r="A79" s="1804"/>
      <c r="B79" s="1798"/>
      <c r="C79" s="1794"/>
      <c r="D79" s="1799" t="s">
        <v>2012</v>
      </c>
      <c r="E79" s="1796" t="s">
        <v>1015</v>
      </c>
      <c r="F79" s="1805">
        <f>IF(F78&gt;0,F77/F78," Complete Line 78")</f>
        <v>10398.666896512095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99707</v>
      </c>
      <c r="G94" s="913"/>
    </row>
    <row r="95" spans="1:7" x14ac:dyDescent="0.2">
      <c r="A95" s="909" t="s">
        <v>142</v>
      </c>
      <c r="B95" s="909" t="s">
        <v>177</v>
      </c>
      <c r="C95" s="911">
        <v>1700</v>
      </c>
      <c r="D95" s="919" t="str">
        <f>'Revenues 9-14'!A82</f>
        <v>Total District/School Activity Income</v>
      </c>
      <c r="E95" s="907"/>
      <c r="F95" s="1811">
        <f>SUM('Revenues 9-14'!C82,'Revenues 9-14'!D82)</f>
        <v>55640</v>
      </c>
      <c r="G95" s="913"/>
    </row>
    <row r="96" spans="1:7" x14ac:dyDescent="0.2">
      <c r="A96" s="909" t="s">
        <v>479</v>
      </c>
      <c r="B96" s="909" t="s">
        <v>178</v>
      </c>
      <c r="C96" s="911">
        <f>'Revenues 9-14'!B84</f>
        <v>1811</v>
      </c>
      <c r="D96" s="912" t="str">
        <f>'Revenues 9-14'!A84</f>
        <v>Rentals - Regular Textbooks</v>
      </c>
      <c r="E96" s="907"/>
      <c r="F96" s="1811">
        <f>'Revenues 9-14'!C84</f>
        <v>36285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30325</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73435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4776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605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4823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110646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3449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33400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56656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60633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3660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11067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5423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13957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9080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613567</v>
      </c>
    </row>
    <row r="179" spans="1:7" ht="12" customHeight="1" x14ac:dyDescent="0.2">
      <c r="A179" s="1792"/>
      <c r="B179" s="1806"/>
      <c r="C179" s="1807"/>
      <c r="D179" s="1808" t="s">
        <v>2014</v>
      </c>
      <c r="E179" s="1809"/>
      <c r="F179" s="1811">
        <f>'PCTC-OEPP 27-28'!F77-F178</f>
        <v>3005793</v>
      </c>
    </row>
    <row r="180" spans="1:7" ht="12" customHeight="1" x14ac:dyDescent="0.2">
      <c r="A180" s="1792"/>
      <c r="B180" s="1806"/>
      <c r="C180" s="1807"/>
      <c r="D180" s="1808" t="s">
        <v>1924</v>
      </c>
      <c r="E180" s="1809"/>
      <c r="F180" s="1811">
        <f>'Cap Outlay Deprec 26'!I18</f>
        <v>245864</v>
      </c>
    </row>
    <row r="181" spans="1:7" ht="12" customHeight="1" x14ac:dyDescent="0.2">
      <c r="A181" s="1792"/>
      <c r="B181" s="1806"/>
      <c r="C181" s="1807"/>
      <c r="D181" s="1808" t="s">
        <v>2015</v>
      </c>
      <c r="E181" s="1809"/>
      <c r="F181" s="1811">
        <f>F179+F180</f>
        <v>3251657</v>
      </c>
    </row>
    <row r="182" spans="1:7" ht="12" customHeight="1" x14ac:dyDescent="0.2">
      <c r="A182" s="1792"/>
      <c r="B182" s="1812"/>
      <c r="C182" s="1807"/>
      <c r="D182" s="1808" t="str">
        <f>D78</f>
        <v>9 Month ADA from District Average Daily Attendance/Prior General State Aid Inquiry 2017-2018</v>
      </c>
      <c r="E182" s="1809"/>
      <c r="F182" s="1813">
        <f>'PCTC-OEPP 27-28'!F78</f>
        <v>348.06</v>
      </c>
      <c r="G182" s="931"/>
    </row>
    <row r="183" spans="1:7" ht="12" customHeight="1" thickBot="1" x14ac:dyDescent="0.25">
      <c r="A183" s="1792"/>
      <c r="B183" s="1812"/>
      <c r="C183" s="1807"/>
      <c r="D183" s="1808" t="s">
        <v>2016</v>
      </c>
      <c r="E183" s="1809" t="s">
        <v>1626</v>
      </c>
      <c r="F183" s="1814">
        <f>F181/F182</f>
        <v>9342.2312245015219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I22" sqref="I22:S22"/>
      <selection pane="bottomLeft" activeCell="I22" sqref="I22:S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2110</v>
      </c>
      <c r="B17" s="1956" t="s">
        <v>2111</v>
      </c>
      <c r="C17" s="1958" t="s">
        <v>2112</v>
      </c>
      <c r="D17" s="1867">
        <v>12753</v>
      </c>
      <c r="E17" s="1562">
        <f t="shared" ref="E17:E141" si="1">IF(D17&lt;=25000,D17,IF(D17&gt;25000,25000,0))</f>
        <v>12753</v>
      </c>
      <c r="F17" s="1815">
        <f t="shared" si="0"/>
        <v>12753</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12753</v>
      </c>
      <c r="E141" s="1563">
        <f t="shared" si="1"/>
        <v>12753</v>
      </c>
      <c r="F141" s="1817">
        <f>SUM(F17:F140)</f>
        <v>12753</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I22" sqref="I22:S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50260</v>
      </c>
      <c r="F10" s="975"/>
      <c r="G10" s="976"/>
      <c r="H10" s="162"/>
      <c r="I10" s="162"/>
    </row>
    <row r="11" spans="1:9" s="669" customFormat="1" ht="22.5" customHeight="1" x14ac:dyDescent="0.2">
      <c r="A11" s="2305" t="s">
        <v>1944</v>
      </c>
      <c r="B11" s="2306"/>
      <c r="C11" s="2306"/>
      <c r="D11" s="2307"/>
      <c r="E11" s="978">
        <v>12872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2051586</v>
      </c>
      <c r="F19" s="1822"/>
      <c r="G19" s="1824">
        <f>'Expenditures 15-22'!K33-SUM('Expenditures 15-22'!G33,'Expenditures 15-22'!I33)+'Expenditures 15-22'!D229</f>
        <v>2051586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84531</v>
      </c>
      <c r="F21" s="1825"/>
      <c r="G21" s="1828">
        <f>'Expenditures 15-22'!K42-SUM('Expenditures 15-22'!G42,'Expenditures 15-22'!I42)+'Expenditures 15-22'!K120-SUM('Expenditures 15-22'!G120,'Expenditures 15-22'!I120)+'Expenditures 15-22'!K180-SUM('Expenditures 15-22'!G180,'Expenditures 15-22'!I180)+'Expenditures 15-22'!D238</f>
        <v>84531</v>
      </c>
      <c r="H21" s="988"/>
      <c r="I21" s="162"/>
    </row>
    <row r="22" spans="1:9" s="669" customFormat="1" ht="12" customHeight="1" x14ac:dyDescent="0.2">
      <c r="A22" s="995" t="s">
        <v>585</v>
      </c>
      <c r="B22" s="996"/>
      <c r="C22" s="994">
        <v>2200</v>
      </c>
      <c r="D22" s="1825"/>
      <c r="E22" s="1827">
        <f>'Expenditures 15-22'!K47-SUM('Expenditures 15-22'!G47,'Expenditures 15-22'!I47)+'Expenditures 15-22'!D243</f>
        <v>6470</v>
      </c>
      <c r="F22" s="1825"/>
      <c r="G22" s="1828">
        <f>'Expenditures 15-22'!K47-SUM('Expenditures 15-22'!G47,'Expenditures 15-22'!I47)+'Expenditures 15-22'!D243</f>
        <v>6470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471521</v>
      </c>
      <c r="F23" s="1825"/>
      <c r="G23" s="1827">
        <f>'Expenditures 15-22'!K53-SUM('Expenditures 15-22'!G53,'Expenditures 15-22'!I53)+'Expenditures 15-22'!D257+'Expenditures 15-22'!K330-SUM('Expenditures 15-22'!G330,'Expenditures 15-22'!I330)</f>
        <v>471521</v>
      </c>
      <c r="H23" s="988"/>
      <c r="I23" s="162"/>
    </row>
    <row r="24" spans="1:9" s="669" customFormat="1" ht="12" customHeight="1" x14ac:dyDescent="0.2">
      <c r="A24" s="995" t="s">
        <v>587</v>
      </c>
      <c r="B24" s="996"/>
      <c r="C24" s="994">
        <v>2400</v>
      </c>
      <c r="D24" s="1825"/>
      <c r="E24" s="1827">
        <f>'Expenditures 15-22'!K57-SUM('Expenditures 15-22'!G57,'Expenditures 15-22'!I57)+'Expenditures 15-22'!D261</f>
        <v>249002</v>
      </c>
      <c r="F24" s="1825"/>
      <c r="G24" s="1828">
        <f>'Expenditures 15-22'!K57-SUM('Expenditures 15-22'!G57,'Expenditures 15-22'!I57)+'Expenditures 15-22'!D261</f>
        <v>249002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58916</v>
      </c>
      <c r="E27" s="1827">
        <f>E8</f>
        <v>0</v>
      </c>
      <c r="F27" s="1827">
        <f>'Expenditures 15-22'!K60-SUM('Expenditures 15-22'!G60,'Expenditures 15-22'!I60)+'Expenditures 15-22'!D264-E8</f>
        <v>58916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317372</v>
      </c>
      <c r="F28" s="1829">
        <f>'Expenditures 15-22'!K61-SUM('Expenditures 15-22'!G61,'Expenditures 15-22'!I61)+'Expenditures 15-22'!K124-SUM('Expenditures 15-22'!G124,'Expenditures 15-22'!I124)+'Expenditures 15-22'!D266-E9</f>
        <v>317372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149708</v>
      </c>
      <c r="F29" s="1825"/>
      <c r="G29" s="1828">
        <f>'Expenditures 15-22'!K62-SUM('Expenditures 15-22'!G62,'Expenditures 15-22'!I62)+'Expenditures 15-22'!K125-SUM('Expenditures 15-22'!G125,'Expenditures 15-22'!I125)+'Expenditures 15-22'!K182-SUM('Expenditures 15-22'!G182,'Expenditures 15-22'!I182)+'Expenditures 15-22'!D267</f>
        <v>149708</v>
      </c>
      <c r="H29" s="986"/>
    </row>
    <row r="30" spans="1:9" ht="12" customHeight="1" x14ac:dyDescent="0.2">
      <c r="A30" s="995" t="s">
        <v>102</v>
      </c>
      <c r="B30" s="998"/>
      <c r="C30" s="994">
        <v>2560</v>
      </c>
      <c r="D30" s="1825"/>
      <c r="E30" s="1827">
        <f>'Expenditures 15-22'!K63-SUM('Expenditures 15-22'!G63,'Expenditures 15-22'!I63)+'Expenditures 15-22'!D268-E10</f>
        <v>94611</v>
      </c>
      <c r="F30" s="1825"/>
      <c r="G30" s="1827">
        <f>'Expenditures 15-22'!K63-SUM('Expenditures 15-22'!G63,'Expenditures 15-22'!I63)+'Expenditures 15-22'!D268-E10</f>
        <v>94611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3660</v>
      </c>
      <c r="F39" s="1825"/>
      <c r="G39" s="1827">
        <f>'Expenditures 15-22'!K75-SUM('Expenditures 15-22'!G75,'Expenditures 15-22'!I75)+'Expenditures 15-22'!K130-SUM('Expenditures 15-22'!G130,'Expenditures 15-22'!I130)+'Expenditures 15-22'!K185-SUM('Expenditures 15-22'!G185,'Expenditures 15-22'!I185)+'Expenditures 15-22'!D280</f>
        <v>3660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58916</v>
      </c>
      <c r="E41" s="1829">
        <f>SUM(E19:E40)</f>
        <v>3428461</v>
      </c>
      <c r="F41" s="1829">
        <f>SUM(F19:F39)</f>
        <v>376288</v>
      </c>
      <c r="G41" s="1829">
        <f>SUM(G19:G40)</f>
        <v>3111089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58916</v>
      </c>
      <c r="F43" s="1830" t="s">
        <v>495</v>
      </c>
      <c r="G43" s="1831">
        <f>F41</f>
        <v>376288</v>
      </c>
    </row>
    <row r="44" spans="1:7" ht="12" customHeight="1" x14ac:dyDescent="0.2">
      <c r="A44" s="988"/>
      <c r="B44" s="162"/>
      <c r="C44" s="1002"/>
      <c r="D44" s="1830" t="s">
        <v>494</v>
      </c>
      <c r="E44" s="1831">
        <f>E41</f>
        <v>3428461</v>
      </c>
      <c r="F44" s="1830" t="s">
        <v>494</v>
      </c>
      <c r="G44" s="1831">
        <f>G41</f>
        <v>3111089</v>
      </c>
    </row>
    <row r="45" spans="1:7" ht="12" customHeight="1" x14ac:dyDescent="0.2">
      <c r="A45" s="988"/>
      <c r="B45" s="162"/>
      <c r="C45" s="162"/>
      <c r="D45" s="1832" t="s">
        <v>1063</v>
      </c>
      <c r="E45" s="1833">
        <f>(E43/E44)</f>
        <v>1.718438681379196E-2</v>
      </c>
      <c r="F45" s="1832" t="s">
        <v>1063</v>
      </c>
      <c r="G45" s="1833">
        <f>(G43/G44)</f>
        <v>0.12095057389872163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I22" sqref="I22:S2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Triopia CUSD 27</v>
      </c>
      <c r="D6" s="2326"/>
      <c r="E6" s="2326"/>
      <c r="F6" s="1877"/>
    </row>
    <row r="7" spans="1:10" ht="11.25" customHeight="1" thickBot="1" x14ac:dyDescent="0.3">
      <c r="A7" s="1875"/>
      <c r="B7" s="1876"/>
      <c r="C7" s="2327">
        <f>COVER!A13</f>
        <v>1069027026</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2099</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2077</v>
      </c>
      <c r="D21" s="1890" t="s">
        <v>2077</v>
      </c>
      <c r="E21" s="1893" t="s">
        <v>2077</v>
      </c>
      <c r="F21" s="1892" t="s">
        <v>2098</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2097</v>
      </c>
      <c r="H32" s="1903">
        <f t="shared" si="0"/>
        <v>5</v>
      </c>
      <c r="I32" s="1903">
        <f t="shared" si="1"/>
        <v>5</v>
      </c>
      <c r="J32" s="1903">
        <f t="shared" si="2"/>
        <v>0</v>
      </c>
    </row>
    <row r="33" spans="1:11" ht="12" customHeight="1" x14ac:dyDescent="0.2">
      <c r="A33" s="1888" t="s">
        <v>1622</v>
      </c>
      <c r="B33" s="1889"/>
      <c r="C33" s="1890"/>
      <c r="D33" s="1890" t="s">
        <v>2077</v>
      </c>
      <c r="E33" s="1893" t="s">
        <v>2077</v>
      </c>
      <c r="F33" s="1892" t="s">
        <v>2113</v>
      </c>
      <c r="H33" s="1903">
        <f t="shared" si="0"/>
        <v>0</v>
      </c>
      <c r="I33" s="1903">
        <f t="shared" si="1"/>
        <v>5</v>
      </c>
      <c r="J33" s="1903">
        <f t="shared" si="2"/>
        <v>5</v>
      </c>
    </row>
    <row r="34" spans="1:11" ht="12" customHeight="1" x14ac:dyDescent="0.25">
      <c r="A34" s="1895"/>
      <c r="B34" s="1895"/>
      <c r="C34" s="1895"/>
      <c r="D34" s="1895"/>
      <c r="E34" s="1895"/>
      <c r="F34" s="1895"/>
      <c r="H34" s="1903">
        <f>SUM(H11:H32)</f>
        <v>20</v>
      </c>
      <c r="I34" s="1903">
        <f>SUM(I11:I32)</f>
        <v>20</v>
      </c>
      <c r="J34" s="1903">
        <f>SUM(J11:J32)</f>
        <v>15</v>
      </c>
      <c r="K34" s="1903">
        <f>SUM(H34:J34)</f>
        <v>55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2" sqref="I22:S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Triopia CUSD 27</v>
      </c>
      <c r="J6" s="2336"/>
      <c r="Q6" s="1686"/>
    </row>
    <row r="7" spans="1:17" x14ac:dyDescent="0.2">
      <c r="A7" s="2337" t="s">
        <v>924</v>
      </c>
      <c r="B7" s="2338"/>
      <c r="C7" s="2338"/>
      <c r="D7" s="2338"/>
      <c r="E7" s="2339"/>
      <c r="F7" s="1018"/>
      <c r="G7" s="1010"/>
      <c r="H7" s="1017" t="s">
        <v>390</v>
      </c>
      <c r="I7" s="2340">
        <f>COVER!A13</f>
        <v>1069027026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115550</v>
      </c>
      <c r="F12" s="1040"/>
      <c r="G12" s="1834">
        <f t="shared" ref="G12:G18" si="0">SUM(E12:F12)</f>
        <v>115550</v>
      </c>
      <c r="H12" s="1041">
        <v>118394</v>
      </c>
      <c r="I12" s="1040"/>
      <c r="J12" s="1834">
        <f t="shared" ref="J12:J18" si="1">SUM(H12:I12)</f>
        <v>118394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115550</v>
      </c>
      <c r="F19" s="1836">
        <f t="shared" si="2"/>
        <v>0</v>
      </c>
      <c r="G19" s="1836">
        <f t="shared" si="2"/>
        <v>115550</v>
      </c>
      <c r="H19" s="1836">
        <f t="shared" si="2"/>
        <v>118394</v>
      </c>
      <c r="I19" s="1836">
        <f t="shared" si="2"/>
        <v>0</v>
      </c>
      <c r="J19" s="1836">
        <f t="shared" si="2"/>
        <v>118394</v>
      </c>
    </row>
    <row r="20" spans="1:10" ht="13.5" thickTop="1" x14ac:dyDescent="0.2">
      <c r="A20" s="1036">
        <v>9</v>
      </c>
      <c r="B20" s="2347" t="s">
        <v>1703</v>
      </c>
      <c r="C20" s="2347"/>
      <c r="D20" s="2348"/>
      <c r="E20" s="1047"/>
      <c r="F20" s="1047"/>
      <c r="G20" s="1047"/>
      <c r="H20" s="1047"/>
      <c r="I20" s="1047"/>
      <c r="J20" s="1837">
        <f>IF(AND(G19&gt;0,J19&gt;0),(((J19-G19)/G19)),"Enter Budget Data")</f>
        <v>2.4612721765469494E-2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2082</v>
      </c>
      <c r="D28" s="2351"/>
      <c r="E28" s="1055"/>
      <c r="F28" s="2351" t="s">
        <v>2103</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I22" sqref="I22:S22"/>
    </sheetView>
  </sheetViews>
  <sheetFormatPr defaultColWidth="9.140625" defaultRowHeight="12.75" x14ac:dyDescent="0.2"/>
  <cols>
    <col min="1" max="1" width="3" style="329" customWidth="1"/>
    <col min="2" max="2" width="162" style="329" bestFit="1" customWidth="1"/>
    <col min="3" max="3" width="3.140625" style="329" customWidth="1"/>
    <col min="4" max="5" width="9.140625" style="329"/>
    <col min="6" max="6" width="9.140625" style="329" customWidth="1"/>
    <col min="7"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2118</v>
      </c>
    </row>
    <row r="7" spans="1:2" x14ac:dyDescent="0.2">
      <c r="A7" s="1069">
        <v>3</v>
      </c>
      <c r="B7" s="329" t="s">
        <v>2119</v>
      </c>
    </row>
    <row r="8" spans="1:2" x14ac:dyDescent="0.2">
      <c r="A8" s="1069">
        <v>4</v>
      </c>
      <c r="B8" s="329" t="s">
        <v>2107</v>
      </c>
    </row>
    <row r="9" spans="1:2" x14ac:dyDescent="0.2">
      <c r="A9" s="1069">
        <v>5</v>
      </c>
      <c r="B9" s="329" t="s">
        <v>2114</v>
      </c>
    </row>
    <row r="10" spans="1:2" x14ac:dyDescent="0.2">
      <c r="A10" s="1069">
        <v>6</v>
      </c>
      <c r="B10" s="329" t="s">
        <v>2106</v>
      </c>
    </row>
    <row r="11" spans="1:2" x14ac:dyDescent="0.2">
      <c r="A11" s="1069">
        <v>7</v>
      </c>
      <c r="B11" s="329" t="s">
        <v>2117</v>
      </c>
    </row>
    <row r="12" spans="1:2" x14ac:dyDescent="0.2">
      <c r="A12" s="1069">
        <v>8</v>
      </c>
      <c r="B12" s="329" t="s">
        <v>2115</v>
      </c>
    </row>
    <row r="13" spans="1:2" x14ac:dyDescent="0.2">
      <c r="A13" s="1069">
        <v>9</v>
      </c>
      <c r="B13" s="329" t="s">
        <v>2116</v>
      </c>
    </row>
    <row r="14" spans="1:2" x14ac:dyDescent="0.2">
      <c r="A14" s="1070">
        <v>10</v>
      </c>
      <c r="B14" s="329" t="s">
        <v>2109</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Triopia CUSD 27</v>
      </c>
    </row>
    <row r="65" spans="2:2" x14ac:dyDescent="0.2">
      <c r="B65" s="1071">
        <f>COVER!A13</f>
        <v>1069027026</v>
      </c>
    </row>
  </sheetData>
  <phoneticPr fontId="14" type="noConversion"/>
  <pageMargins left="0.2" right="0.2" top="1.17" bottom="0.75" header="0.19" footer="0.16"/>
  <pageSetup scale="6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22" sqref="I22:S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2" sqref="I22:S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2" sqref="I22:S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2973208</v>
      </c>
      <c r="C8" s="1838">
        <f>'Acct Summary 7-8'!D8</f>
        <v>238575</v>
      </c>
      <c r="D8" s="1838">
        <f>'Acct Summary 7-8'!F8</f>
        <v>229616</v>
      </c>
      <c r="E8" s="1838">
        <f>'Acct Summary 7-8'!I8</f>
        <v>23070</v>
      </c>
      <c r="F8" s="1838">
        <f>SUM(B8:E8)</f>
        <v>3464469</v>
      </c>
    </row>
    <row r="9" spans="1:8" s="1080" customFormat="1" ht="14.25" customHeight="1" thickBot="1" x14ac:dyDescent="0.25">
      <c r="A9" s="1079" t="s">
        <v>1436</v>
      </c>
      <c r="B9" s="1839">
        <f>'Acct Summary 7-8'!C17</f>
        <v>2901844</v>
      </c>
      <c r="C9" s="1839">
        <f>'Acct Summary 7-8'!D17</f>
        <v>207004</v>
      </c>
      <c r="D9" s="1839">
        <f>'Acct Summary 7-8'!F17</f>
        <v>350287</v>
      </c>
      <c r="E9" s="1838"/>
      <c r="F9" s="1838">
        <f>SUM(B9:E9)</f>
        <v>3459135</v>
      </c>
    </row>
    <row r="10" spans="1:8" s="1080" customFormat="1" ht="14.25" thickTop="1" thickBot="1" x14ac:dyDescent="0.25">
      <c r="A10" s="1081" t="s">
        <v>1437</v>
      </c>
      <c r="B10" s="1840">
        <f>(B8-B9)</f>
        <v>71364</v>
      </c>
      <c r="C10" s="1840">
        <f>(C8-C9)</f>
        <v>31571</v>
      </c>
      <c r="D10" s="1840">
        <f>(D8-D9)</f>
        <v>-120671</v>
      </c>
      <c r="E10" s="1839">
        <f>(E8-E9)</f>
        <v>23070</v>
      </c>
      <c r="F10" s="1841">
        <f>SUM(F8-F9)</f>
        <v>5334</v>
      </c>
    </row>
    <row r="11" spans="1:8" s="1080" customFormat="1" ht="14.25" thickTop="1" thickBot="1" x14ac:dyDescent="0.25">
      <c r="A11" s="1082" t="s">
        <v>1785</v>
      </c>
      <c r="B11" s="1842">
        <f>'Acct Summary 7-8'!C81</f>
        <v>1033346</v>
      </c>
      <c r="C11" s="1842">
        <f>'Acct Summary 7-8'!D81</f>
        <v>415813</v>
      </c>
      <c r="D11" s="1842">
        <f>'Acct Summary 7-8'!F81</f>
        <v>152946</v>
      </c>
      <c r="E11" s="1842">
        <f>'Acct Summary 7-8'!I81</f>
        <v>0</v>
      </c>
      <c r="F11" s="1843">
        <f>SUM(B11:E11)</f>
        <v>1602105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ERROR!</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ERROR</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1069027026</v>
      </c>
    </row>
    <row r="3" spans="1:2" x14ac:dyDescent="0.2">
      <c r="A3" t="s">
        <v>1013</v>
      </c>
      <c r="B3" s="138" t="str">
        <f>COVER!A15</f>
        <v>Morgan, Cass, Scott</v>
      </c>
    </row>
    <row r="4" spans="1:2" x14ac:dyDescent="0.2">
      <c r="A4" t="s">
        <v>1064</v>
      </c>
      <c r="B4" s="138" t="str">
        <f>COVER!A17</f>
        <v>Triopia CUSD 27</v>
      </c>
    </row>
    <row r="5" spans="1:2" x14ac:dyDescent="0.2">
      <c r="A5" t="s">
        <v>728</v>
      </c>
      <c r="B5" s="138" t="str">
        <f>COVER!A38</f>
        <v>Steve Eisenhauer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 Foote, and Flynn, Ltd.</v>
      </c>
    </row>
    <row r="17" spans="1:2" x14ac:dyDescent="0.2">
      <c r="A17" t="s">
        <v>939</v>
      </c>
      <c r="B17" s="138" t="str">
        <f>COVER!T15</f>
        <v>Cynthia S. Foote</v>
      </c>
    </row>
    <row r="18" spans="1:2" x14ac:dyDescent="0.2">
      <c r="A18" t="s">
        <v>1212</v>
      </c>
      <c r="B18" s="138" t="str">
        <f>COVER!T17</f>
        <v>1395 Lincoln Avenue</v>
      </c>
    </row>
    <row r="19" spans="1:2" x14ac:dyDescent="0.2">
      <c r="A19" t="s">
        <v>941</v>
      </c>
      <c r="B19" s="138" t="str">
        <f>COVER!T25</f>
        <v>cfoote@zescpa.com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1033346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925322</v>
      </c>
      <c r="D92" s="2" t="str">
        <f t="shared" si="0"/>
        <v>Error?</v>
      </c>
    </row>
    <row r="93" spans="1:4" x14ac:dyDescent="0.2">
      <c r="A93" s="5">
        <v>32</v>
      </c>
      <c r="B93" s="138">
        <f>'Assets-Liab 5-6'!C41</f>
        <v>1033346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415813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415813</v>
      </c>
      <c r="D123" s="2" t="str">
        <f t="shared" si="0"/>
        <v>Error?</v>
      </c>
    </row>
    <row r="124" spans="1:4" x14ac:dyDescent="0.2">
      <c r="A124" s="5">
        <v>63</v>
      </c>
      <c r="B124" s="138">
        <f>'Assets-Liab 5-6'!D41</f>
        <v>415813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109254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109254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152946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152946</v>
      </c>
      <c r="D170" s="2" t="str">
        <f t="shared" si="1"/>
        <v>Error?</v>
      </c>
    </row>
    <row r="171" spans="1:4" x14ac:dyDescent="0.2">
      <c r="A171" s="5">
        <v>110</v>
      </c>
      <c r="B171" s="138">
        <f>'Assets-Liab 5-6'!F41</f>
        <v>152946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240264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207624</v>
      </c>
      <c r="D189" s="2" t="str">
        <f t="shared" si="1"/>
        <v>Error?</v>
      </c>
    </row>
    <row r="190" spans="1:4" x14ac:dyDescent="0.2">
      <c r="A190" s="5">
        <v>129</v>
      </c>
      <c r="B190" s="138">
        <f>'Assets-Liab 5-6'!G41</f>
        <v>240264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42792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42792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59192</v>
      </c>
      <c r="D273" s="2" t="str">
        <f t="shared" si="3"/>
        <v>Error?</v>
      </c>
    </row>
    <row r="274" spans="1:4" x14ac:dyDescent="0.2">
      <c r="A274" s="5">
        <v>213</v>
      </c>
      <c r="B274" s="138">
        <f>'Assets-Liab 5-6'!M17</f>
        <v>8116865</v>
      </c>
      <c r="D274" s="2" t="str">
        <f t="shared" si="3"/>
        <v>Error?</v>
      </c>
    </row>
    <row r="275" spans="1:4" x14ac:dyDescent="0.2">
      <c r="A275" s="5">
        <v>214</v>
      </c>
      <c r="B275" s="138">
        <f>'Assets-Liab 5-6'!M18</f>
        <v>370354</v>
      </c>
      <c r="D275" s="2" t="str">
        <f t="shared" si="3"/>
        <v>Error?</v>
      </c>
    </row>
    <row r="276" spans="1:4" x14ac:dyDescent="0.2">
      <c r="A276" s="5">
        <v>215</v>
      </c>
      <c r="B276" s="138">
        <f>'Assets-Liab 5-6'!M19</f>
        <v>1598561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10144972</v>
      </c>
      <c r="C279" s="2" t="s">
        <v>594</v>
      </c>
      <c r="D279" s="2" t="str">
        <f t="shared" si="3"/>
        <v>Error?</v>
      </c>
    </row>
    <row r="280" spans="1:4" x14ac:dyDescent="0.2">
      <c r="A280" s="5">
        <v>219</v>
      </c>
      <c r="B280" s="138">
        <f>'Assets-Liab 5-6'!M40</f>
        <v>10144972</v>
      </c>
      <c r="D280" s="2" t="str">
        <f t="shared" si="3"/>
        <v>Error?</v>
      </c>
    </row>
    <row r="281" spans="1:4" x14ac:dyDescent="0.2">
      <c r="A281" s="5">
        <v>220</v>
      </c>
      <c r="B281" s="138">
        <f>'Assets-Liab 5-6'!M41</f>
        <v>10144972</v>
      </c>
      <c r="C281" s="2" t="s">
        <v>594</v>
      </c>
      <c r="D281" s="2" t="str">
        <f t="shared" si="3"/>
        <v>Error?</v>
      </c>
    </row>
    <row r="282" spans="1:4" x14ac:dyDescent="0.2">
      <c r="A282" s="5">
        <v>221</v>
      </c>
      <c r="B282" s="138">
        <f>'Assets-Liab 5-6'!N21</f>
        <v>109254</v>
      </c>
      <c r="D282" s="2" t="str">
        <f t="shared" si="3"/>
        <v>Error?</v>
      </c>
    </row>
    <row r="283" spans="1:4" x14ac:dyDescent="0.2">
      <c r="A283" s="5">
        <v>222</v>
      </c>
      <c r="B283" s="138">
        <f>'Assets-Liab 5-6'!N22</f>
        <v>4209668</v>
      </c>
      <c r="D283" s="2" t="str">
        <f t="shared" si="3"/>
        <v>Error?</v>
      </c>
    </row>
    <row r="284" spans="1:4" x14ac:dyDescent="0.2">
      <c r="A284" s="5">
        <v>223</v>
      </c>
      <c r="B284" s="138">
        <f>'Assets-Liab 5-6'!N23</f>
        <v>4318922</v>
      </c>
      <c r="C284" s="2" t="s">
        <v>594</v>
      </c>
      <c r="D284" s="2" t="str">
        <f t="shared" si="3"/>
        <v>Error?</v>
      </c>
    </row>
    <row r="285" spans="1:4" x14ac:dyDescent="0.2">
      <c r="A285" s="5">
        <v>224</v>
      </c>
      <c r="B285" s="138">
        <f>'Assets-Liab 5-6'!N36</f>
        <v>4318922</v>
      </c>
      <c r="D285" s="2" t="str">
        <f t="shared" si="3"/>
        <v>Error?</v>
      </c>
    </row>
    <row r="286" spans="1:4" x14ac:dyDescent="0.2">
      <c r="A286" s="10">
        <v>225</v>
      </c>
      <c r="D286" s="2" t="str">
        <f t="shared" si="3"/>
        <v>OK</v>
      </c>
    </row>
    <row r="287" spans="1:4" x14ac:dyDescent="0.2">
      <c r="A287" s="5">
        <v>226</v>
      </c>
      <c r="B287" s="138">
        <f>'Assets-Liab 5-6'!N37</f>
        <v>4318922</v>
      </c>
      <c r="C287" s="2" t="s">
        <v>594</v>
      </c>
      <c r="D287" s="2" t="str">
        <f t="shared" si="3"/>
        <v>Error?</v>
      </c>
    </row>
    <row r="288" spans="1:4" x14ac:dyDescent="0.2">
      <c r="A288" s="5">
        <v>227</v>
      </c>
      <c r="B288" s="138">
        <f>'Assets-Liab 5-6'!N41</f>
        <v>4318922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23070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1077642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31980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1428917</v>
      </c>
      <c r="C720" s="2" t="s">
        <v>594</v>
      </c>
      <c r="D720" s="2" t="str">
        <f t="shared" si="10"/>
        <v>Error?</v>
      </c>
    </row>
    <row r="721" spans="1:4" x14ac:dyDescent="0.2">
      <c r="A721" s="5">
        <v>660</v>
      </c>
      <c r="B721" s="138">
        <f>'Expenditures 15-22'!C36</f>
        <v>39599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30386</v>
      </c>
      <c r="D725" s="2" t="str">
        <f t="shared" si="10"/>
        <v>Error?</v>
      </c>
    </row>
    <row r="726" spans="1:4" x14ac:dyDescent="0.2">
      <c r="A726" s="5">
        <v>665</v>
      </c>
      <c r="B726" s="138">
        <f>'Expenditures 15-22'!C41</f>
        <v>913</v>
      </c>
      <c r="D726" s="2" t="str">
        <f t="shared" si="10"/>
        <v>Error?</v>
      </c>
    </row>
    <row r="727" spans="1:4" x14ac:dyDescent="0.2">
      <c r="A727" s="5">
        <v>666</v>
      </c>
      <c r="B727" s="138">
        <f>'Expenditures 15-22'!C42</f>
        <v>70898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91614</v>
      </c>
      <c r="D733" s="2" t="str">
        <f t="shared" si="10"/>
        <v>Error?</v>
      </c>
    </row>
    <row r="734" spans="1:4" x14ac:dyDescent="0.2">
      <c r="A734" s="5">
        <v>673</v>
      </c>
      <c r="B734" s="138">
        <f>'Expenditures 15-22'!C53</f>
        <v>91614</v>
      </c>
      <c r="C734" s="2" t="s">
        <v>594</v>
      </c>
      <c r="D734" s="2" t="str">
        <f t="shared" si="10"/>
        <v>Error?</v>
      </c>
    </row>
    <row r="735" spans="1:4" x14ac:dyDescent="0.2">
      <c r="A735" s="5">
        <v>674</v>
      </c>
      <c r="B735" s="138">
        <f>'Expenditures 15-22'!C55</f>
        <v>201321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201321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39188</v>
      </c>
      <c r="D739" s="2" t="str">
        <f t="shared" si="10"/>
        <v>Error?</v>
      </c>
    </row>
    <row r="740" spans="1:4" x14ac:dyDescent="0.2">
      <c r="A740" s="5">
        <v>679</v>
      </c>
      <c r="B740" s="138">
        <f>'Expenditures 15-22'!C61</f>
        <v>92995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25376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157559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521392</v>
      </c>
      <c r="C755" s="2" t="s">
        <v>594</v>
      </c>
      <c r="D755" s="2" t="str">
        <f t="shared" si="10"/>
        <v>Error?</v>
      </c>
    </row>
    <row r="756" spans="1:4" x14ac:dyDescent="0.2">
      <c r="A756" s="5">
        <v>695</v>
      </c>
      <c r="B756" s="138">
        <f>'Expenditures 15-22'!C75</f>
        <v>3660</v>
      </c>
      <c r="D756" s="2" t="str">
        <f t="shared" si="10"/>
        <v>Error?</v>
      </c>
    </row>
    <row r="757" spans="1:4" x14ac:dyDescent="0.2">
      <c r="A757" s="5">
        <v>696</v>
      </c>
      <c r="B757" s="138">
        <f>'Expenditures 15-22'!C114</f>
        <v>1953969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296453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357719</v>
      </c>
      <c r="C778" s="2" t="s">
        <v>594</v>
      </c>
      <c r="D778" s="2" t="str">
        <f t="shared" si="11"/>
        <v>Error?</v>
      </c>
    </row>
    <row r="779" spans="1:4" x14ac:dyDescent="0.2">
      <c r="A779" s="5">
        <v>718</v>
      </c>
      <c r="B779" s="138">
        <f>'Expenditures 15-22'!D36</f>
        <v>12247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12247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21853</v>
      </c>
      <c r="D791" s="2" t="str">
        <f t="shared" si="11"/>
        <v>Error?</v>
      </c>
    </row>
    <row r="792" spans="1:4" x14ac:dyDescent="0.2">
      <c r="A792" s="5">
        <v>731</v>
      </c>
      <c r="B792" s="138">
        <f>'Expenditures 15-22'!D53</f>
        <v>21853</v>
      </c>
      <c r="C792" s="2" t="s">
        <v>594</v>
      </c>
      <c r="D792" s="2" t="str">
        <f t="shared" si="11"/>
        <v>Error?</v>
      </c>
    </row>
    <row r="793" spans="1:4" x14ac:dyDescent="0.2">
      <c r="A793" s="5">
        <v>732</v>
      </c>
      <c r="B793" s="138">
        <f>'Expenditures 15-22'!D55</f>
        <v>23759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23759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7000</v>
      </c>
      <c r="D797" s="2" t="str">
        <f t="shared" si="11"/>
        <v>Error?</v>
      </c>
    </row>
    <row r="798" spans="1:4" x14ac:dyDescent="0.2">
      <c r="A798" s="5">
        <v>737</v>
      </c>
      <c r="B798" s="138">
        <f>'Expenditures 15-22'!D61</f>
        <v>7000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71859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429578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32033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36019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79900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3482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850</v>
      </c>
      <c r="D846" s="2" t="str">
        <f t="shared" si="12"/>
        <v>Error?</v>
      </c>
    </row>
    <row r="847" spans="1:4" x14ac:dyDescent="0.2">
      <c r="A847" s="5">
        <v>786</v>
      </c>
      <c r="B847" s="138">
        <f>'Expenditures 15-22'!E47</f>
        <v>4332</v>
      </c>
      <c r="C847" s="2" t="s">
        <v>594</v>
      </c>
      <c r="D847" s="2" t="str">
        <f t="shared" si="12"/>
        <v>Error?</v>
      </c>
    </row>
    <row r="848" spans="1:4" x14ac:dyDescent="0.2">
      <c r="A848" s="5">
        <v>787</v>
      </c>
      <c r="B848" s="138">
        <f>'Expenditures 15-22'!E49</f>
        <v>28099</v>
      </c>
      <c r="D848" s="2" t="str">
        <f t="shared" si="12"/>
        <v>Error?</v>
      </c>
    </row>
    <row r="849" spans="1:4" x14ac:dyDescent="0.2">
      <c r="A849" s="5">
        <v>788</v>
      </c>
      <c r="B849" s="138">
        <f>'Expenditures 15-22'!E50</f>
        <v>1072</v>
      </c>
      <c r="D849" s="2" t="str">
        <f t="shared" si="12"/>
        <v>Error?</v>
      </c>
    </row>
    <row r="850" spans="1:4" x14ac:dyDescent="0.2">
      <c r="A850" s="5">
        <v>789</v>
      </c>
      <c r="B850" s="138">
        <f>'Expenditures 15-22'!E53</f>
        <v>29171</v>
      </c>
      <c r="C850" s="2" t="s">
        <v>594</v>
      </c>
      <c r="D850" s="2" t="str">
        <f t="shared" si="12"/>
        <v>Error?</v>
      </c>
    </row>
    <row r="851" spans="1:4" x14ac:dyDescent="0.2">
      <c r="A851" s="5">
        <v>790</v>
      </c>
      <c r="B851" s="138">
        <f>'Expenditures 15-22'!E55</f>
        <v>1726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5753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40982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258022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45646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8586</v>
      </c>
      <c r="D891" s="2" t="str">
        <f t="shared" si="12"/>
        <v>Error?</v>
      </c>
    </row>
    <row r="892" spans="1:4" x14ac:dyDescent="0.2">
      <c r="A892" s="5">
        <v>831</v>
      </c>
      <c r="B892" s="138">
        <f>'Expenditures 15-22'!F14</f>
        <v>22795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100000</v>
      </c>
      <c r="C894" s="2" t="s">
        <v>594</v>
      </c>
      <c r="D894" s="2" t="str">
        <f t="shared" si="12"/>
        <v>Error?</v>
      </c>
    </row>
    <row r="895" spans="1:4" x14ac:dyDescent="0.2">
      <c r="A895" s="5">
        <v>834</v>
      </c>
      <c r="B895" s="138">
        <f>'Expenditures 15-22'!F36</f>
        <v>200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200</v>
      </c>
      <c r="C901" s="2" t="s">
        <v>594</v>
      </c>
      <c r="D901" s="2" t="str">
        <f t="shared" si="13"/>
        <v>Error?</v>
      </c>
    </row>
    <row r="902" spans="1:4" x14ac:dyDescent="0.2">
      <c r="A902" s="5">
        <v>841</v>
      </c>
      <c r="B902" s="138">
        <f>'Expenditures 15-22'!F44</f>
        <v>111</v>
      </c>
      <c r="D902" s="2" t="str">
        <f t="shared" si="13"/>
        <v>Error?</v>
      </c>
    </row>
    <row r="903" spans="1:4" x14ac:dyDescent="0.2">
      <c r="A903" s="5">
        <v>842</v>
      </c>
      <c r="B903" s="138">
        <f>'Expenditures 15-22'!F45</f>
        <v>2027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2138</v>
      </c>
      <c r="C905" s="2" t="s">
        <v>594</v>
      </c>
      <c r="D905" s="2" t="str">
        <f t="shared" si="13"/>
        <v>Error?</v>
      </c>
    </row>
    <row r="906" spans="1:4" x14ac:dyDescent="0.2">
      <c r="A906" s="5">
        <v>845</v>
      </c>
      <c r="B906" s="138">
        <f>'Expenditures 15-22'!F49</f>
        <v>1593</v>
      </c>
      <c r="D906" s="2" t="str">
        <f t="shared" si="13"/>
        <v>Error?</v>
      </c>
    </row>
    <row r="907" spans="1:4" x14ac:dyDescent="0.2">
      <c r="A907" s="5">
        <v>846</v>
      </c>
      <c r="B907" s="138">
        <f>'Expenditures 15-22'!F50</f>
        <v>1011</v>
      </c>
      <c r="D907" s="2" t="str">
        <f t="shared" si="13"/>
        <v>Error?</v>
      </c>
    </row>
    <row r="908" spans="1:4" x14ac:dyDescent="0.2">
      <c r="A908" s="5">
        <v>847</v>
      </c>
      <c r="B908" s="138">
        <f>'Expenditures 15-22'!F53</f>
        <v>2604</v>
      </c>
      <c r="C908" s="2" t="s">
        <v>594</v>
      </c>
      <c r="D908" s="2" t="str">
        <f t="shared" si="13"/>
        <v>Error?</v>
      </c>
    </row>
    <row r="909" spans="1:4" x14ac:dyDescent="0.2">
      <c r="A909" s="5">
        <v>848</v>
      </c>
      <c r="B909" s="138">
        <f>'Expenditures 15-22'!F55</f>
        <v>5273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5273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110433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110888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121103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221103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3759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3759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28040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2581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30621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30813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1479814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11167</v>
      </c>
      <c r="C1105" s="2" t="s">
        <v>594</v>
      </c>
      <c r="D1105" s="2" t="str">
        <f t="shared" si="16"/>
        <v>Error?</v>
      </c>
    </row>
    <row r="1106" spans="1:4" x14ac:dyDescent="0.2">
      <c r="A1106" s="5">
        <v>1045</v>
      </c>
      <c r="B1106" s="138">
        <f>'Expenditures 15-22'!K14</f>
        <v>90828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2001757</v>
      </c>
      <c r="C1108" s="2" t="s">
        <v>594</v>
      </c>
      <c r="D1108" s="2" t="str">
        <f t="shared" si="16"/>
        <v>Error?</v>
      </c>
    </row>
    <row r="1109" spans="1:4" x14ac:dyDescent="0.2">
      <c r="A1109" s="5">
        <v>1048</v>
      </c>
      <c r="B1109" s="138">
        <f>'Expenditures 15-22'!K36</f>
        <v>52046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30386</v>
      </c>
      <c r="C1113" s="2" t="s">
        <v>594</v>
      </c>
      <c r="D1113" s="2" t="str">
        <f t="shared" si="16"/>
        <v>Error?</v>
      </c>
    </row>
    <row r="1114" spans="1:4" x14ac:dyDescent="0.2">
      <c r="A1114" s="5">
        <v>1053</v>
      </c>
      <c r="B1114" s="138">
        <f>'Expenditures 15-22'!K41</f>
        <v>913</v>
      </c>
      <c r="C1114" s="2" t="s">
        <v>594</v>
      </c>
      <c r="D1114" s="2" t="str">
        <f t="shared" si="16"/>
        <v>Error?</v>
      </c>
    </row>
    <row r="1115" spans="1:4" x14ac:dyDescent="0.2">
      <c r="A1115" s="5">
        <v>1054</v>
      </c>
      <c r="B1115" s="138">
        <f>'Expenditures 15-22'!K42</f>
        <v>83345</v>
      </c>
      <c r="C1115" s="2" t="s">
        <v>594</v>
      </c>
      <c r="D1115" s="2" t="str">
        <f t="shared" si="16"/>
        <v>Error?</v>
      </c>
    </row>
    <row r="1116" spans="1:4" x14ac:dyDescent="0.2">
      <c r="A1116" s="5">
        <v>1055</v>
      </c>
      <c r="B1116" s="138">
        <f>'Expenditures 15-22'!K44</f>
        <v>3593</v>
      </c>
      <c r="C1116" s="2" t="s">
        <v>594</v>
      </c>
      <c r="D1116" s="2" t="str">
        <f t="shared" si="16"/>
        <v>Error?</v>
      </c>
    </row>
    <row r="1117" spans="1:4" x14ac:dyDescent="0.2">
      <c r="A1117" s="5">
        <v>1056</v>
      </c>
      <c r="B1117" s="138">
        <f>'Expenditures 15-22'!K45</f>
        <v>2027</v>
      </c>
      <c r="C1117" s="2" t="s">
        <v>594</v>
      </c>
      <c r="D1117" s="2" t="str">
        <f t="shared" si="16"/>
        <v>Error?</v>
      </c>
    </row>
    <row r="1118" spans="1:4" x14ac:dyDescent="0.2">
      <c r="A1118" s="5">
        <v>1057</v>
      </c>
      <c r="B1118" s="138">
        <f>'Expenditures 15-22'!K46</f>
        <v>850</v>
      </c>
      <c r="C1118" s="2" t="s">
        <v>594</v>
      </c>
      <c r="D1118" s="2" t="str">
        <f t="shared" si="16"/>
        <v>Error?</v>
      </c>
    </row>
    <row r="1119" spans="1:4" x14ac:dyDescent="0.2">
      <c r="A1119" s="5">
        <v>1058</v>
      </c>
      <c r="B1119" s="138">
        <f>'Expenditures 15-22'!K47</f>
        <v>6470</v>
      </c>
      <c r="C1119" s="2" t="s">
        <v>594</v>
      </c>
      <c r="D1119" s="2" t="str">
        <f t="shared" si="16"/>
        <v>Error?</v>
      </c>
    </row>
    <row r="1120" spans="1:4" x14ac:dyDescent="0.2">
      <c r="A1120" s="5">
        <v>1059</v>
      </c>
      <c r="B1120" s="138">
        <f>'Expenditures 15-22'!K49</f>
        <v>29782</v>
      </c>
      <c r="C1120" s="2" t="s">
        <v>594</v>
      </c>
      <c r="D1120" s="2" t="str">
        <f t="shared" si="16"/>
        <v>Error?</v>
      </c>
    </row>
    <row r="1121" spans="1:4" x14ac:dyDescent="0.2">
      <c r="A1121" s="5">
        <v>1060</v>
      </c>
      <c r="B1121" s="138">
        <f>'Expenditures 15-22'!K50</f>
        <v>115550</v>
      </c>
      <c r="C1121" s="2" t="s">
        <v>594</v>
      </c>
      <c r="D1121" s="2" t="str">
        <f t="shared" si="16"/>
        <v>Error?</v>
      </c>
    </row>
    <row r="1122" spans="1:4" x14ac:dyDescent="0.2">
      <c r="A1122" s="5">
        <v>1061</v>
      </c>
      <c r="B1122" s="138">
        <f>'Expenditures 15-22'!K53</f>
        <v>145332</v>
      </c>
      <c r="C1122" s="2" t="s">
        <v>594</v>
      </c>
      <c r="D1122" s="2" t="str">
        <f t="shared" si="16"/>
        <v>Error?</v>
      </c>
    </row>
    <row r="1123" spans="1:4" x14ac:dyDescent="0.2">
      <c r="A1123" s="5">
        <v>1062</v>
      </c>
      <c r="B1123" s="138">
        <f>'Expenditures 15-22'!K55</f>
        <v>232079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232079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51100</v>
      </c>
      <c r="C1127" s="2" t="s">
        <v>594</v>
      </c>
      <c r="D1127" s="2" t="str">
        <f t="shared" si="16"/>
        <v>Error?</v>
      </c>
    </row>
    <row r="1128" spans="1:4" x14ac:dyDescent="0.2">
      <c r="A1128" s="5">
        <v>1067</v>
      </c>
      <c r="B1128" s="138">
        <f>'Expenditures 15-22'!K61</f>
        <v>99995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140924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292019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759245</v>
      </c>
      <c r="C1143" s="2" t="s">
        <v>594</v>
      </c>
      <c r="D1143" s="2" t="str">
        <f t="shared" si="16"/>
        <v>Error?</v>
      </c>
    </row>
    <row r="1144" spans="1:4" x14ac:dyDescent="0.2">
      <c r="A1144" s="5">
        <v>1083</v>
      </c>
      <c r="B1144" s="138">
        <f>'Expenditures 15-22'!K75</f>
        <v>3660</v>
      </c>
      <c r="C1144" s="2" t="s">
        <v>594</v>
      </c>
      <c r="D1144" s="2" t="str">
        <f t="shared" si="16"/>
        <v>Error?</v>
      </c>
    </row>
    <row r="1145" spans="1:4" x14ac:dyDescent="0.2">
      <c r="A1145" s="5">
        <v>1084</v>
      </c>
      <c r="B1145" s="138">
        <f>'Expenditures 15-22'!K102</f>
        <v>137140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2901844</v>
      </c>
      <c r="C1152" s="2" t="s">
        <v>594</v>
      </c>
      <c r="D1152" s="2" t="str">
        <f t="shared" si="17"/>
        <v>Error?</v>
      </c>
    </row>
    <row r="1153" spans="1:4" x14ac:dyDescent="0.2">
      <c r="A1153" s="5">
        <v>1092</v>
      </c>
      <c r="B1153" s="138">
        <f>'Expenditures 15-22'!K115</f>
        <v>71364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181888</v>
      </c>
      <c r="D1237" s="2" t="str">
        <f t="shared" si="18"/>
        <v>Error?</v>
      </c>
    </row>
    <row r="1238" spans="1:4" x14ac:dyDescent="0.2">
      <c r="A1238" s="10">
        <v>1177</v>
      </c>
      <c r="D1238" s="2" t="str">
        <f t="shared" si="18"/>
        <v>OK</v>
      </c>
    </row>
    <row r="1239" spans="1:4" x14ac:dyDescent="0.2">
      <c r="A1239" s="5">
        <v>1178</v>
      </c>
      <c r="B1239" s="138">
        <f>'Expenditures 15-22'!E127</f>
        <v>181888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181888</v>
      </c>
      <c r="C1241" s="2" t="s">
        <v>594</v>
      </c>
      <c r="D1241" s="2" t="str">
        <f t="shared" si="18"/>
        <v>Error?</v>
      </c>
    </row>
    <row r="1242" spans="1:4" x14ac:dyDescent="0.2">
      <c r="A1242" s="5">
        <v>1181</v>
      </c>
      <c r="B1242" s="138">
        <f>'Expenditures 15-22'!E151</f>
        <v>181888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14246</v>
      </c>
      <c r="D1245" s="2" t="str">
        <f t="shared" si="18"/>
        <v>Error?</v>
      </c>
    </row>
    <row r="1246" spans="1:4" x14ac:dyDescent="0.2">
      <c r="A1246" s="10">
        <v>1185</v>
      </c>
      <c r="D1246" s="2" t="str">
        <f t="shared" si="18"/>
        <v>OK</v>
      </c>
    </row>
    <row r="1247" spans="1:4" x14ac:dyDescent="0.2">
      <c r="A1247" s="5">
        <v>1186</v>
      </c>
      <c r="B1247" s="138">
        <f>'Expenditures 15-22'!F127</f>
        <v>14246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14246</v>
      </c>
      <c r="C1249" s="2" t="s">
        <v>594</v>
      </c>
      <c r="D1249" s="2" t="str">
        <f t="shared" si="18"/>
        <v>Error?</v>
      </c>
    </row>
    <row r="1250" spans="1:4" x14ac:dyDescent="0.2">
      <c r="A1250" s="5">
        <v>1189</v>
      </c>
      <c r="B1250" s="138">
        <f>'Expenditures 15-22'!F151</f>
        <v>14246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10870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10870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10870</v>
      </c>
      <c r="C1258" s="2" t="s">
        <v>594</v>
      </c>
      <c r="D1258" s="2" t="str">
        <f t="shared" si="18"/>
        <v>Error?</v>
      </c>
    </row>
    <row r="1259" spans="1:4" x14ac:dyDescent="0.2">
      <c r="A1259" s="5">
        <v>1198</v>
      </c>
      <c r="B1259" s="138">
        <f>'Expenditures 15-22'!G151</f>
        <v>10870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207004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207004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207004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207004</v>
      </c>
      <c r="C1288" s="2" t="s">
        <v>594</v>
      </c>
      <c r="D1288" s="2" t="str">
        <f t="shared" si="19"/>
        <v>Error?</v>
      </c>
    </row>
    <row r="1289" spans="1:4" x14ac:dyDescent="0.2">
      <c r="A1289" s="5">
        <v>1228</v>
      </c>
      <c r="B1289" s="138">
        <f>'Expenditures 15-22'!K152</f>
        <v>31571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178800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144260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323060</v>
      </c>
      <c r="C1317" s="2" t="s">
        <v>594</v>
      </c>
      <c r="D1317" s="2" t="str">
        <f t="shared" si="19"/>
        <v>Error?</v>
      </c>
    </row>
    <row r="1318" spans="1:4" x14ac:dyDescent="0.2">
      <c r="A1318" s="5">
        <v>1257</v>
      </c>
      <c r="B1318" s="138">
        <f>'Expenditures 15-22'!H174</f>
        <v>323060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178800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144260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323060</v>
      </c>
      <c r="C1331" s="2" t="s">
        <v>594</v>
      </c>
      <c r="D1331" s="2" t="str">
        <f t="shared" si="19"/>
        <v>Error?</v>
      </c>
    </row>
    <row r="1332" spans="1:4" x14ac:dyDescent="0.2">
      <c r="A1332" s="5">
        <v>1271</v>
      </c>
      <c r="B1332" s="138">
        <f>'Expenditures 15-22'!K174</f>
        <v>323060</v>
      </c>
      <c r="C1332" s="2" t="s">
        <v>594</v>
      </c>
      <c r="D1332" s="2" t="str">
        <f t="shared" si="19"/>
        <v>Error?</v>
      </c>
    </row>
    <row r="1333" spans="1:4" x14ac:dyDescent="0.2">
      <c r="A1333" s="5">
        <v>1272</v>
      </c>
      <c r="B1333" s="138">
        <f>'Expenditures 15-22'!K175</f>
        <v>-5857</v>
      </c>
      <c r="C1333" s="2" t="s">
        <v>594</v>
      </c>
      <c r="D1333" s="2" t="str">
        <f t="shared" si="19"/>
        <v>Error?</v>
      </c>
    </row>
    <row r="1334" spans="1:4" x14ac:dyDescent="0.2">
      <c r="A1334" s="10">
        <v>1273</v>
      </c>
      <c r="D1334" s="2" t="str">
        <f t="shared" si="19"/>
        <v>OK</v>
      </c>
    </row>
    <row r="1335" spans="1:4" x14ac:dyDescent="0.2">
      <c r="A1335" s="5">
        <v>1274</v>
      </c>
      <c r="B1335" s="138">
        <f>'Expenditures 15-22'!C182</f>
        <v>77364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77364</v>
      </c>
      <c r="C1339" s="2" t="s">
        <v>594</v>
      </c>
      <c r="D1339" s="2" t="str">
        <f t="shared" si="19"/>
        <v>Error?</v>
      </c>
    </row>
    <row r="1340" spans="1:4" x14ac:dyDescent="0.2">
      <c r="A1340" s="5">
        <v>1279</v>
      </c>
      <c r="B1340" s="138">
        <f>'Expenditures 15-22'!C210</f>
        <v>77364</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22672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22672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22672</v>
      </c>
      <c r="C1353" s="2" t="s">
        <v>594</v>
      </c>
      <c r="D1353" s="2" t="str">
        <f t="shared" si="20"/>
        <v>Error?</v>
      </c>
    </row>
    <row r="1354" spans="1:4" x14ac:dyDescent="0.2">
      <c r="A1354" s="5">
        <v>1293</v>
      </c>
      <c r="B1354" s="138">
        <f>'Expenditures 15-22'!F182</f>
        <v>29483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29483</v>
      </c>
      <c r="C1358" s="2" t="s">
        <v>594</v>
      </c>
      <c r="D1358" s="2" t="str">
        <f t="shared" si="20"/>
        <v>Error?</v>
      </c>
    </row>
    <row r="1359" spans="1:4" x14ac:dyDescent="0.2">
      <c r="A1359" s="5">
        <v>1298</v>
      </c>
      <c r="B1359" s="138">
        <f>'Expenditures 15-22'!F210</f>
        <v>29483</v>
      </c>
      <c r="C1359" s="2" t="s">
        <v>594</v>
      </c>
      <c r="D1359" s="2" t="str">
        <f t="shared" si="20"/>
        <v>Error?</v>
      </c>
    </row>
    <row r="1360" spans="1:4" x14ac:dyDescent="0.2">
      <c r="A1360" s="5">
        <v>1299</v>
      </c>
      <c r="B1360" s="138">
        <f>'Expenditures 15-22'!G182</f>
        <v>119660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119660</v>
      </c>
      <c r="C1364" s="2" t="s">
        <v>594</v>
      </c>
      <c r="D1364" s="2" t="str">
        <f t="shared" si="20"/>
        <v>Error?</v>
      </c>
    </row>
    <row r="1365" spans="1:4" x14ac:dyDescent="0.2">
      <c r="A1365" s="5">
        <v>1304</v>
      </c>
      <c r="B1365" s="138">
        <f>'Expenditures 15-22'!G210</f>
        <v>119660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101108</v>
      </c>
      <c r="C1375" s="2" t="s">
        <v>594</v>
      </c>
      <c r="D1375" s="2" t="str">
        <f t="shared" si="20"/>
        <v>Error?</v>
      </c>
    </row>
    <row r="1376" spans="1:4" x14ac:dyDescent="0.2">
      <c r="A1376" s="5">
        <v>1315</v>
      </c>
      <c r="B1376" s="138">
        <f>'Expenditures 15-22'!H210</f>
        <v>101108</v>
      </c>
      <c r="C1376" s="2" t="s">
        <v>594</v>
      </c>
      <c r="D1376" s="2" t="str">
        <f t="shared" si="20"/>
        <v>Error?</v>
      </c>
    </row>
    <row r="1377" spans="1:4" x14ac:dyDescent="0.2">
      <c r="A1377" s="5">
        <v>1316</v>
      </c>
      <c r="B1377" s="138">
        <f>'Expenditures 15-22'!K182</f>
        <v>249179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249179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101108</v>
      </c>
      <c r="C1387" s="2" t="s">
        <v>594</v>
      </c>
      <c r="D1387" s="2" t="str">
        <f t="shared" si="20"/>
        <v>Error?</v>
      </c>
    </row>
    <row r="1388" spans="1:4" x14ac:dyDescent="0.2">
      <c r="A1388" s="5">
        <v>1327</v>
      </c>
      <c r="B1388" s="138">
        <f>'Expenditures 15-22'!K210</f>
        <v>350287</v>
      </c>
      <c r="C1388" s="2" t="s">
        <v>594</v>
      </c>
      <c r="D1388" s="2" t="str">
        <f t="shared" si="20"/>
        <v>Error?</v>
      </c>
    </row>
    <row r="1389" spans="1:4" x14ac:dyDescent="0.2">
      <c r="A1389" s="5">
        <v>1328</v>
      </c>
      <c r="B1389" s="138">
        <f>'Expenditures 15-22'!K211</f>
        <v>-120671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2303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54429</v>
      </c>
      <c r="C1410" s="2" t="s">
        <v>594</v>
      </c>
      <c r="D1410" s="2" t="str">
        <f t="shared" si="21"/>
        <v>Error?</v>
      </c>
    </row>
    <row r="1411" spans="1:4" x14ac:dyDescent="0.2">
      <c r="A1411" s="5">
        <v>1350</v>
      </c>
      <c r="B1411" s="138">
        <f>'Expenditures 15-22'!D232</f>
        <v>614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1473</v>
      </c>
      <c r="D1423" s="2" t="str">
        <f t="shared" si="21"/>
        <v>Error?</v>
      </c>
    </row>
    <row r="1424" spans="1:4" x14ac:dyDescent="0.2">
      <c r="A1424" s="5">
        <v>1363</v>
      </c>
      <c r="B1424" s="138">
        <f>'Expenditures 15-22'!D257</f>
        <v>1473</v>
      </c>
      <c r="C1424" s="2" t="s">
        <v>594</v>
      </c>
      <c r="D1424" s="2" t="str">
        <f t="shared" si="21"/>
        <v>Error?</v>
      </c>
    </row>
    <row r="1425" spans="1:4" x14ac:dyDescent="0.2">
      <c r="A1425" s="5">
        <v>1364</v>
      </c>
      <c r="B1425" s="138">
        <f>'Expenditures 15-22'!D259</f>
        <v>16923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16923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7816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21243</v>
      </c>
      <c r="D1431" s="2" t="str">
        <f t="shared" si="21"/>
        <v>Error?</v>
      </c>
    </row>
    <row r="1432" spans="1:4" x14ac:dyDescent="0.2">
      <c r="A1432" s="5">
        <v>1371</v>
      </c>
      <c r="B1432" s="138">
        <f>'Expenditures 15-22'!D267</f>
        <v>20189</v>
      </c>
      <c r="D1432" s="2" t="str">
        <f t="shared" si="21"/>
        <v>Error?</v>
      </c>
    </row>
    <row r="1433" spans="1:4" x14ac:dyDescent="0.2">
      <c r="A1433" s="5">
        <v>1372</v>
      </c>
      <c r="B1433" s="138">
        <f>'Expenditures 15-22'!D268</f>
        <v>7706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56954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76536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130965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2303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54429</v>
      </c>
      <c r="C1474" s="2" t="s">
        <v>594</v>
      </c>
      <c r="D1474" s="2" t="str">
        <f t="shared" si="22"/>
        <v>Error?</v>
      </c>
    </row>
    <row r="1475" spans="1:4" x14ac:dyDescent="0.2">
      <c r="A1475" s="5">
        <v>1414</v>
      </c>
      <c r="B1475" s="138">
        <f>'Expenditures 15-22'!K232</f>
        <v>614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572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1473</v>
      </c>
      <c r="C1487" s="2" t="s">
        <v>594</v>
      </c>
      <c r="D1487" s="2" t="str">
        <f t="shared" si="22"/>
        <v>Error?</v>
      </c>
    </row>
    <row r="1488" spans="1:4" x14ac:dyDescent="0.2">
      <c r="A1488" s="5">
        <v>1427</v>
      </c>
      <c r="B1488" s="138">
        <f>'Expenditures 15-22'!K257</f>
        <v>1473</v>
      </c>
      <c r="C1488" s="2" t="s">
        <v>594</v>
      </c>
      <c r="D1488" s="2" t="str">
        <f t="shared" si="22"/>
        <v>Error?</v>
      </c>
    </row>
    <row r="1489" spans="1:4" x14ac:dyDescent="0.2">
      <c r="A1489" s="5">
        <v>1428</v>
      </c>
      <c r="B1489" s="138">
        <f>'Expenditures 15-22'!K259</f>
        <v>16923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16923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7816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21243</v>
      </c>
      <c r="C1495" s="2" t="s">
        <v>594</v>
      </c>
      <c r="D1495" s="2" t="str">
        <f t="shared" si="22"/>
        <v>Error?</v>
      </c>
    </row>
    <row r="1496" spans="1:4" x14ac:dyDescent="0.2">
      <c r="A1496" s="5">
        <v>1435</v>
      </c>
      <c r="B1496" s="138">
        <f>'Expenditures 15-22'!K267</f>
        <v>20189</v>
      </c>
      <c r="C1496" s="2" t="s">
        <v>594</v>
      </c>
      <c r="D1496" s="2" t="str">
        <f t="shared" si="22"/>
        <v>Error?</v>
      </c>
    </row>
    <row r="1497" spans="1:4" x14ac:dyDescent="0.2">
      <c r="A1497" s="5">
        <v>1436</v>
      </c>
      <c r="B1497" s="138">
        <f>'Expenditures 15-22'!K268</f>
        <v>7706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56954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76536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130965</v>
      </c>
      <c r="C1517" s="2" t="s">
        <v>594</v>
      </c>
      <c r="D1517" s="2" t="str">
        <f t="shared" si="22"/>
        <v>Error?</v>
      </c>
    </row>
    <row r="1518" spans="1:4" x14ac:dyDescent="0.2">
      <c r="A1518" s="5">
        <v>1457</v>
      </c>
      <c r="B1518" s="138">
        <f>'Expenditures 15-22'!K296</f>
        <v>36839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38174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38174</v>
      </c>
      <c r="C1547" s="2" t="s">
        <v>594</v>
      </c>
      <c r="D1547" s="2" t="str">
        <f t="shared" si="23"/>
        <v>Error?</v>
      </c>
    </row>
    <row r="1548" spans="1:4" x14ac:dyDescent="0.2">
      <c r="A1548" s="5">
        <v>1487</v>
      </c>
      <c r="B1548" s="138">
        <f>'Expenditures 15-22'!G312</f>
        <v>38174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38174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38174</v>
      </c>
      <c r="C1559" s="2" t="s">
        <v>594</v>
      </c>
      <c r="D1559" s="2" t="str">
        <f t="shared" si="23"/>
        <v>Error?</v>
      </c>
    </row>
    <row r="1560" spans="1:4" x14ac:dyDescent="0.2">
      <c r="A1560" s="5">
        <v>1499</v>
      </c>
      <c r="B1560" s="138">
        <f>'Expenditures 15-22'!K312</f>
        <v>38174</v>
      </c>
      <c r="C1560" s="2" t="s">
        <v>594</v>
      </c>
      <c r="D1560" s="2" t="str">
        <f t="shared" si="23"/>
        <v>Error?</v>
      </c>
    </row>
    <row r="1561" spans="1:4" x14ac:dyDescent="0.2">
      <c r="A1561" s="5">
        <v>1500</v>
      </c>
      <c r="B1561" s="138">
        <f>'Expenditures 15-22'!K313</f>
        <v>6701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943172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1033346</v>
      </c>
      <c r="C1630" s="2" t="s">
        <v>594</v>
      </c>
      <c r="D1630" s="2" t="str">
        <f t="shared" si="24"/>
        <v>Error?</v>
      </c>
    </row>
    <row r="1631" spans="1:4" x14ac:dyDescent="0.2">
      <c r="A1631" s="5">
        <v>1570</v>
      </c>
      <c r="B1631" s="138">
        <f>'Acct Summary 7-8'!D79</f>
        <v>384242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415813</v>
      </c>
      <c r="C1644" s="2" t="s">
        <v>594</v>
      </c>
      <c r="D1644" s="2" t="str">
        <f t="shared" si="24"/>
        <v>Error?</v>
      </c>
    </row>
    <row r="1645" spans="1:4" x14ac:dyDescent="0.2">
      <c r="A1645" s="5">
        <v>1584</v>
      </c>
      <c r="B1645" s="138">
        <f>'Acct Summary 7-8'!E79</f>
        <v>110851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109254</v>
      </c>
      <c r="C1658" s="2" t="s">
        <v>594</v>
      </c>
      <c r="D1658" s="2" t="str">
        <f t="shared" si="24"/>
        <v>Error?</v>
      </c>
    </row>
    <row r="1659" spans="1:4" x14ac:dyDescent="0.2">
      <c r="A1659" s="5">
        <v>1598</v>
      </c>
      <c r="B1659" s="138">
        <f>'Acct Summary 7-8'!F79</f>
        <v>99695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152946</v>
      </c>
      <c r="C1672" s="2" t="s">
        <v>594</v>
      </c>
      <c r="D1672" s="2" t="str">
        <f t="shared" si="25"/>
        <v>Error?</v>
      </c>
    </row>
    <row r="1673" spans="1:4" x14ac:dyDescent="0.2">
      <c r="A1673" s="5">
        <v>1612</v>
      </c>
      <c r="B1673" s="138">
        <f>'Acct Summary 7-8'!G79</f>
        <v>203425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240264</v>
      </c>
      <c r="C1686" s="2" t="s">
        <v>594</v>
      </c>
      <c r="D1686" s="2" t="str">
        <f t="shared" si="25"/>
        <v>Error?</v>
      </c>
    </row>
    <row r="1687" spans="1:4" x14ac:dyDescent="0.2">
      <c r="A1687" s="5">
        <v>1626</v>
      </c>
      <c r="B1687" s="138">
        <f>'Acct Summary 7-8'!H79</f>
        <v>36091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42792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1220386</v>
      </c>
      <c r="C1744" s="2" t="s">
        <v>594</v>
      </c>
      <c r="D1744" s="2" t="str">
        <f t="shared" si="26"/>
        <v>Error?</v>
      </c>
    </row>
    <row r="1745" spans="1:5" x14ac:dyDescent="0.2">
      <c r="A1745" s="5">
        <v>1684</v>
      </c>
      <c r="B1745" s="138">
        <f>'Tax Sched 23'!B5</f>
        <v>230262</v>
      </c>
      <c r="C1745" s="2" t="s">
        <v>594</v>
      </c>
      <c r="D1745" s="2" t="str">
        <f t="shared" si="26"/>
        <v>Error?</v>
      </c>
    </row>
    <row r="1746" spans="1:5" x14ac:dyDescent="0.2">
      <c r="A1746" s="5">
        <v>1685</v>
      </c>
      <c r="B1746" s="138">
        <f>'Tax Sched 23'!B6</f>
        <v>171653</v>
      </c>
      <c r="C1746" s="2" t="s">
        <v>594</v>
      </c>
      <c r="D1746" s="2" t="str">
        <f t="shared" si="26"/>
        <v>Error?</v>
      </c>
    </row>
    <row r="1747" spans="1:5" x14ac:dyDescent="0.2">
      <c r="A1747" s="5">
        <v>1686</v>
      </c>
      <c r="B1747" s="138">
        <f>'Tax Sched 23'!B7</f>
        <v>92105</v>
      </c>
      <c r="C1747" s="2" t="s">
        <v>594</v>
      </c>
      <c r="D1747" s="2" t="str">
        <f t="shared" si="26"/>
        <v>Error?</v>
      </c>
    </row>
    <row r="1748" spans="1:5" x14ac:dyDescent="0.2">
      <c r="A1748" s="5">
        <v>1687</v>
      </c>
      <c r="B1748" s="138">
        <f>'Tax Sched 23'!B8</f>
        <v>87777</v>
      </c>
      <c r="C1748" s="2" t="s">
        <v>594</v>
      </c>
      <c r="D1748" s="2" t="str">
        <f t="shared" si="26"/>
        <v>Error?</v>
      </c>
    </row>
    <row r="1749" spans="1:5" x14ac:dyDescent="0.2">
      <c r="A1749" s="5">
        <v>1688</v>
      </c>
      <c r="B1749" s="138">
        <f>'Tax Sched 23'!B10</f>
        <v>23026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326575</v>
      </c>
      <c r="C1752" s="2" t="s">
        <v>594</v>
      </c>
      <c r="D1752" s="2" t="str">
        <f t="shared" si="26"/>
        <v>Error?</v>
      </c>
    </row>
    <row r="1753" spans="1:5" x14ac:dyDescent="0.2">
      <c r="A1753" s="5">
        <v>1692</v>
      </c>
      <c r="B1753" s="138">
        <f>'Tax Sched 23'!B12</f>
        <v>22700</v>
      </c>
      <c r="C1753" s="2" t="s">
        <v>594</v>
      </c>
      <c r="D1753" s="2" t="str">
        <f t="shared" si="26"/>
        <v>Error?</v>
      </c>
    </row>
    <row r="1754" spans="1:5" x14ac:dyDescent="0.2">
      <c r="A1754" s="5">
        <v>1693</v>
      </c>
      <c r="B1754" s="138">
        <f>'Tax Sched 23'!B14</f>
        <v>18562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2290309</v>
      </c>
      <c r="C1759" s="2" t="s">
        <v>594</v>
      </c>
      <c r="D1759" s="2" t="str">
        <f t="shared" si="26"/>
        <v>Error?</v>
      </c>
    </row>
    <row r="1760" spans="1:5" x14ac:dyDescent="0.2">
      <c r="A1760" s="5">
        <v>1699</v>
      </c>
      <c r="B1760" s="138">
        <f>'Tax Sched 23'!D4</f>
        <v>1220386</v>
      </c>
      <c r="C1760" s="2" t="s">
        <v>594</v>
      </c>
      <c r="D1760" s="2" t="str">
        <f t="shared" si="26"/>
        <v>Error?</v>
      </c>
    </row>
    <row r="1761" spans="1:5" x14ac:dyDescent="0.2">
      <c r="A1761" s="5">
        <v>1700</v>
      </c>
      <c r="B1761" s="138">
        <f>'Tax Sched 23'!D5</f>
        <v>230262</v>
      </c>
      <c r="C1761" s="2" t="s">
        <v>594</v>
      </c>
      <c r="D1761" s="2" t="str">
        <f t="shared" si="26"/>
        <v>Error?</v>
      </c>
    </row>
    <row r="1762" spans="1:5" s="8" customFormat="1" x14ac:dyDescent="0.2">
      <c r="A1762" s="5">
        <v>1701</v>
      </c>
      <c r="B1762" s="138">
        <f>'Tax Sched 23'!D6</f>
        <v>171653</v>
      </c>
      <c r="C1762" s="2" t="s">
        <v>594</v>
      </c>
      <c r="D1762" s="2" t="str">
        <f t="shared" si="26"/>
        <v>Error?</v>
      </c>
      <c r="E1762" s="9"/>
    </row>
    <row r="1763" spans="1:5" x14ac:dyDescent="0.2">
      <c r="A1763" s="5">
        <v>1702</v>
      </c>
      <c r="B1763" s="138">
        <f>'Tax Sched 23'!D7</f>
        <v>92105</v>
      </c>
      <c r="C1763" s="2" t="s">
        <v>594</v>
      </c>
      <c r="D1763" s="2" t="str">
        <f t="shared" si="26"/>
        <v>Error?</v>
      </c>
    </row>
    <row r="1764" spans="1:5" x14ac:dyDescent="0.2">
      <c r="A1764" s="5">
        <v>1703</v>
      </c>
      <c r="B1764" s="138">
        <f>'Tax Sched 23'!D8</f>
        <v>87777</v>
      </c>
      <c r="C1764" s="2" t="s">
        <v>594</v>
      </c>
      <c r="D1764" s="2" t="str">
        <f t="shared" si="26"/>
        <v>Error?</v>
      </c>
    </row>
    <row r="1765" spans="1:5" x14ac:dyDescent="0.2">
      <c r="A1765" s="5">
        <v>1704</v>
      </c>
      <c r="B1765" s="138">
        <f>'Tax Sched 23'!D10</f>
        <v>23026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326575</v>
      </c>
      <c r="C1768" s="2" t="s">
        <v>594</v>
      </c>
      <c r="D1768" s="2" t="str">
        <f t="shared" si="26"/>
        <v>Error?</v>
      </c>
    </row>
    <row r="1769" spans="1:5" x14ac:dyDescent="0.2">
      <c r="A1769" s="5">
        <v>1708</v>
      </c>
      <c r="B1769" s="138">
        <f>'Tax Sched 23'!D12</f>
        <v>22700</v>
      </c>
      <c r="C1769" s="2" t="s">
        <v>594</v>
      </c>
      <c r="D1769" s="2" t="str">
        <f t="shared" si="26"/>
        <v>Error?</v>
      </c>
    </row>
    <row r="1770" spans="1:5" x14ac:dyDescent="0.2">
      <c r="A1770" s="5">
        <v>1709</v>
      </c>
      <c r="B1770" s="138">
        <f>'Tax Sched 23'!D14</f>
        <v>18562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2290309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1297167</v>
      </c>
      <c r="C1792" s="2" t="s">
        <v>594</v>
      </c>
      <c r="D1792" s="2" t="str">
        <f t="shared" si="27"/>
        <v>Error?</v>
      </c>
    </row>
    <row r="1793" spans="1:4" x14ac:dyDescent="0.2">
      <c r="A1793" s="5">
        <v>1732</v>
      </c>
      <c r="B1793" s="138">
        <f>'Tax Sched 23'!F5</f>
        <v>244748</v>
      </c>
      <c r="C1793" s="2" t="s">
        <v>594</v>
      </c>
      <c r="D1793" s="2" t="str">
        <f t="shared" si="27"/>
        <v>Error?</v>
      </c>
    </row>
    <row r="1794" spans="1:4" x14ac:dyDescent="0.2">
      <c r="A1794" s="5">
        <v>1733</v>
      </c>
      <c r="B1794" s="138">
        <f>'Tax Sched 23'!F6</f>
        <v>175437</v>
      </c>
      <c r="C1794" s="2" t="s">
        <v>594</v>
      </c>
      <c r="D1794" s="2" t="str">
        <f t="shared" si="27"/>
        <v>Error?</v>
      </c>
    </row>
    <row r="1795" spans="1:4" x14ac:dyDescent="0.2">
      <c r="A1795" s="5">
        <v>1734</v>
      </c>
      <c r="B1795" s="138">
        <f>'Tax Sched 23'!F7</f>
        <v>97899</v>
      </c>
      <c r="C1795" s="2" t="s">
        <v>594</v>
      </c>
      <c r="D1795" s="2" t="str">
        <f t="shared" si="27"/>
        <v>Error?</v>
      </c>
    </row>
    <row r="1796" spans="1:4" x14ac:dyDescent="0.2">
      <c r="A1796" s="5">
        <v>1735</v>
      </c>
      <c r="B1796" s="138">
        <f>'Tax Sched 23'!F8</f>
        <v>71602</v>
      </c>
      <c r="C1796" s="2" t="s">
        <v>594</v>
      </c>
      <c r="D1796" s="2" t="str">
        <f t="shared" si="27"/>
        <v>Error?</v>
      </c>
    </row>
    <row r="1797" spans="1:4" x14ac:dyDescent="0.2">
      <c r="A1797" s="5">
        <v>1736</v>
      </c>
      <c r="B1797" s="138">
        <f>'Tax Sched 23'!F10</f>
        <v>24475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342659</v>
      </c>
      <c r="C1800" s="2" t="s">
        <v>594</v>
      </c>
      <c r="D1800" s="2" t="str">
        <f t="shared" si="27"/>
        <v>Error?</v>
      </c>
    </row>
    <row r="1801" spans="1:4" x14ac:dyDescent="0.2">
      <c r="A1801" s="5">
        <v>1740</v>
      </c>
      <c r="B1801" s="138">
        <f>'Tax Sched 23'!F12</f>
        <v>24475</v>
      </c>
      <c r="C1801" s="2" t="s">
        <v>594</v>
      </c>
      <c r="D1801" s="2" t="str">
        <f t="shared" si="27"/>
        <v>Error?</v>
      </c>
    </row>
    <row r="1802" spans="1:4" x14ac:dyDescent="0.2">
      <c r="A1802" s="5">
        <v>1741</v>
      </c>
      <c r="B1802" s="138">
        <f>'Tax Sched 23'!F14</f>
        <v>19580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2383891</v>
      </c>
      <c r="C1807" s="2" t="s">
        <v>594</v>
      </c>
      <c r="D1807" s="2" t="str">
        <f t="shared" si="27"/>
        <v>Error?</v>
      </c>
    </row>
    <row r="1808" spans="1:4" x14ac:dyDescent="0.2">
      <c r="A1808" s="5">
        <v>1747</v>
      </c>
      <c r="B1808" s="138">
        <f>'Tax Sched 23'!E4</f>
        <v>1297167</v>
      </c>
      <c r="D1808" s="2" t="str">
        <f t="shared" si="27"/>
        <v>Error?</v>
      </c>
    </row>
    <row r="1809" spans="1:4" x14ac:dyDescent="0.2">
      <c r="A1809" s="5">
        <v>1748</v>
      </c>
      <c r="B1809" s="138">
        <f>'Tax Sched 23'!E5</f>
        <v>244748</v>
      </c>
      <c r="D1809" s="2" t="str">
        <f t="shared" si="27"/>
        <v>Error?</v>
      </c>
    </row>
    <row r="1810" spans="1:4" x14ac:dyDescent="0.2">
      <c r="A1810" s="5">
        <v>1749</v>
      </c>
      <c r="B1810" s="138">
        <f>'Tax Sched 23'!E6</f>
        <v>175437</v>
      </c>
      <c r="D1810" s="2" t="str">
        <f t="shared" si="27"/>
        <v>Error?</v>
      </c>
    </row>
    <row r="1811" spans="1:4" x14ac:dyDescent="0.2">
      <c r="A1811" s="5">
        <v>1750</v>
      </c>
      <c r="B1811" s="138">
        <f>'Tax Sched 23'!E7</f>
        <v>97899</v>
      </c>
      <c r="D1811" s="2" t="str">
        <f t="shared" si="27"/>
        <v>Error?</v>
      </c>
    </row>
    <row r="1812" spans="1:4" x14ac:dyDescent="0.2">
      <c r="A1812" s="5">
        <v>1751</v>
      </c>
      <c r="B1812" s="138">
        <f>'Tax Sched 23'!E8</f>
        <v>71602</v>
      </c>
      <c r="D1812" s="2" t="str">
        <f t="shared" si="27"/>
        <v>Error?</v>
      </c>
    </row>
    <row r="1813" spans="1:4" x14ac:dyDescent="0.2">
      <c r="A1813" s="5">
        <v>1752</v>
      </c>
      <c r="B1813" s="138">
        <f>'Tax Sched 23'!E10</f>
        <v>24475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342659</v>
      </c>
      <c r="D1816" s="2" t="str">
        <f t="shared" si="27"/>
        <v>Error?</v>
      </c>
    </row>
    <row r="1817" spans="1:4" x14ac:dyDescent="0.2">
      <c r="A1817" s="5">
        <v>1756</v>
      </c>
      <c r="B1817" s="138">
        <f>'Tax Sched 23'!E12</f>
        <v>24475</v>
      </c>
      <c r="D1817" s="2" t="str">
        <f t="shared" si="27"/>
        <v>Error?</v>
      </c>
    </row>
    <row r="1818" spans="1:4" x14ac:dyDescent="0.2">
      <c r="A1818" s="5">
        <v>1757</v>
      </c>
      <c r="B1818" s="138">
        <f>'Tax Sched 23'!E14</f>
        <v>19580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2383891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4388437</v>
      </c>
      <c r="C1939" s="2" t="s">
        <v>594</v>
      </c>
      <c r="D1939" s="2" t="str">
        <f t="shared" si="29"/>
        <v>Error?</v>
      </c>
    </row>
    <row r="1940" spans="1:5" x14ac:dyDescent="0.2">
      <c r="A1940" s="5">
        <v>1879</v>
      </c>
      <c r="B1940" s="138">
        <f>'Short-Term Long-Term Debt 24'!F49</f>
        <v>173922</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18562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18562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18562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59192</v>
      </c>
      <c r="D2008" s="2" t="str">
        <f t="shared" si="30"/>
        <v>Error?</v>
      </c>
    </row>
    <row r="2009" spans="1:4" x14ac:dyDescent="0.2">
      <c r="A2009" s="5">
        <v>1948</v>
      </c>
      <c r="B2009" s="138">
        <f>'Cap Outlay Deprec 26'!C8</f>
        <v>8116865</v>
      </c>
      <c r="D2009" s="2" t="str">
        <f t="shared" si="30"/>
        <v>Error?</v>
      </c>
    </row>
    <row r="2010" spans="1:4" x14ac:dyDescent="0.2">
      <c r="A2010" s="5">
        <v>1949</v>
      </c>
      <c r="B2010" s="138">
        <f>'Cap Outlay Deprec 26'!C10</f>
        <v>332180</v>
      </c>
      <c r="D2010" s="2" t="str">
        <f t="shared" si="30"/>
        <v>Error?</v>
      </c>
    </row>
    <row r="2011" spans="1:4" x14ac:dyDescent="0.2">
      <c r="A2011" s="5">
        <v>1950</v>
      </c>
      <c r="B2011" s="138">
        <f>'Cap Outlay Deprec 26'!C12</f>
        <v>1135809</v>
      </c>
      <c r="D2011" s="2" t="str">
        <f t="shared" si="30"/>
        <v>Error?</v>
      </c>
    </row>
    <row r="2012" spans="1:4" x14ac:dyDescent="0.2">
      <c r="A2012" s="5">
        <v>1951</v>
      </c>
      <c r="B2012" s="138">
        <f>'Cap Outlay Deprec 26'!C13</f>
        <v>408847</v>
      </c>
      <c r="D2012" s="2" t="str">
        <f t="shared" si="30"/>
        <v>Error?</v>
      </c>
    </row>
    <row r="2013" spans="1:4" x14ac:dyDescent="0.2">
      <c r="A2013" s="5">
        <v>1952</v>
      </c>
      <c r="B2013" s="138">
        <f>'Cap Outlay Deprec 26'!C16</f>
        <v>10113779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38174</v>
      </c>
      <c r="D2016" s="2" t="str">
        <f t="shared" si="30"/>
        <v>Error?</v>
      </c>
    </row>
    <row r="2017" spans="1:4" x14ac:dyDescent="0.2">
      <c r="A2017" s="5">
        <v>1956</v>
      </c>
      <c r="B2017" s="138">
        <f>'Cap Outlay Deprec 26'!D12</f>
        <v>15470</v>
      </c>
      <c r="D2017" s="2" t="str">
        <f t="shared" si="30"/>
        <v>Error?</v>
      </c>
    </row>
    <row r="2018" spans="1:4" x14ac:dyDescent="0.2">
      <c r="A2018" s="5">
        <v>1957</v>
      </c>
      <c r="B2018" s="138">
        <f>'Cap Outlay Deprec 26'!D13</f>
        <v>119660</v>
      </c>
      <c r="D2018" s="2" t="str">
        <f t="shared" si="30"/>
        <v>Error?</v>
      </c>
    </row>
    <row r="2019" spans="1:4" x14ac:dyDescent="0.2">
      <c r="A2019" s="5">
        <v>1958</v>
      </c>
      <c r="B2019" s="138">
        <f>'Cap Outlay Deprec 26'!D16</f>
        <v>177063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145870</v>
      </c>
      <c r="D2024" s="2" t="str">
        <f t="shared" si="30"/>
        <v>Error?</v>
      </c>
    </row>
    <row r="2025" spans="1:4" x14ac:dyDescent="0.2">
      <c r="A2025" s="5">
        <v>1964</v>
      </c>
      <c r="B2025" s="138">
        <f>'Cap Outlay Deprec 26'!E16</f>
        <v>145870</v>
      </c>
      <c r="C2025" s="2" t="s">
        <v>594</v>
      </c>
      <c r="D2025" s="2" t="str">
        <f t="shared" si="30"/>
        <v>Error?</v>
      </c>
    </row>
    <row r="2026" spans="1:4" x14ac:dyDescent="0.2">
      <c r="A2026" s="5">
        <v>1965</v>
      </c>
      <c r="B2026" s="138">
        <f>'Cap Outlay Deprec 26'!F5</f>
        <v>59192</v>
      </c>
      <c r="C2026" s="2" t="s">
        <v>594</v>
      </c>
      <c r="D2026" s="2" t="str">
        <f t="shared" si="30"/>
        <v>Error?</v>
      </c>
    </row>
    <row r="2027" spans="1:4" x14ac:dyDescent="0.2">
      <c r="A2027" s="5">
        <v>1966</v>
      </c>
      <c r="B2027" s="138">
        <f>'Cap Outlay Deprec 26'!F8</f>
        <v>8116865</v>
      </c>
      <c r="C2027" s="2" t="s">
        <v>594</v>
      </c>
      <c r="D2027" s="2" t="str">
        <f t="shared" si="30"/>
        <v>Error?</v>
      </c>
    </row>
    <row r="2028" spans="1:4" x14ac:dyDescent="0.2">
      <c r="A2028" s="5">
        <v>1967</v>
      </c>
      <c r="B2028" s="138">
        <f>'Cap Outlay Deprec 26'!F10</f>
        <v>370354</v>
      </c>
      <c r="C2028" s="2" t="s">
        <v>594</v>
      </c>
      <c r="D2028" s="2" t="str">
        <f t="shared" si="30"/>
        <v>Error?</v>
      </c>
    </row>
    <row r="2029" spans="1:4" x14ac:dyDescent="0.2">
      <c r="A2029" s="5">
        <v>1968</v>
      </c>
      <c r="B2029" s="138">
        <f>'Cap Outlay Deprec 26'!F12</f>
        <v>1151279</v>
      </c>
      <c r="C2029" s="2" t="s">
        <v>594</v>
      </c>
      <c r="D2029" s="2" t="str">
        <f t="shared" si="30"/>
        <v>Error?</v>
      </c>
    </row>
    <row r="2030" spans="1:4" x14ac:dyDescent="0.2">
      <c r="A2030" s="5">
        <v>1969</v>
      </c>
      <c r="B2030" s="138">
        <f>'Cap Outlay Deprec 26'!F13</f>
        <v>382637</v>
      </c>
      <c r="C2030" s="2" t="s">
        <v>594</v>
      </c>
      <c r="D2030" s="2" t="str">
        <f t="shared" si="30"/>
        <v>Error?</v>
      </c>
    </row>
    <row r="2031" spans="1:4" x14ac:dyDescent="0.2">
      <c r="A2031" s="5">
        <v>1970</v>
      </c>
      <c r="B2031" s="138">
        <f>'Cap Outlay Deprec 26'!F16</f>
        <v>10144972</v>
      </c>
      <c r="C2031" s="2" t="s">
        <v>594</v>
      </c>
      <c r="D2031" s="2" t="str">
        <f t="shared" si="30"/>
        <v>Error?</v>
      </c>
    </row>
    <row r="2032" spans="1:4" x14ac:dyDescent="0.2">
      <c r="A2032" s="10">
        <v>1971</v>
      </c>
      <c r="D2032" s="2" t="str">
        <f t="shared" si="30"/>
        <v>OK</v>
      </c>
    </row>
    <row r="2033" spans="1:4" x14ac:dyDescent="0.2">
      <c r="A2033" s="5">
        <v>1972</v>
      </c>
      <c r="B2033" s="138">
        <f>'Cap Outlay Deprec 26'!H8</f>
        <v>2337286</v>
      </c>
      <c r="D2033" s="2" t="str">
        <f t="shared" si="30"/>
        <v>Error?</v>
      </c>
    </row>
    <row r="2034" spans="1:4" x14ac:dyDescent="0.2">
      <c r="A2034" s="5">
        <v>1973</v>
      </c>
      <c r="B2034" s="138">
        <f>'Cap Outlay Deprec 26'!H10</f>
        <v>168098</v>
      </c>
      <c r="D2034" s="2" t="str">
        <f t="shared" si="30"/>
        <v>Error?</v>
      </c>
    </row>
    <row r="2035" spans="1:4" x14ac:dyDescent="0.2">
      <c r="A2035" s="5">
        <v>1974</v>
      </c>
      <c r="B2035" s="138">
        <f>'Cap Outlay Deprec 26'!H12</f>
        <v>1104266</v>
      </c>
      <c r="D2035" s="2" t="str">
        <f t="shared" si="30"/>
        <v>Error?</v>
      </c>
    </row>
    <row r="2036" spans="1:4" x14ac:dyDescent="0.2">
      <c r="A2036" s="5">
        <v>1975</v>
      </c>
      <c r="B2036" s="138">
        <f>'Cap Outlay Deprec 26'!H13</f>
        <v>300557</v>
      </c>
      <c r="D2036" s="2" t="str">
        <f t="shared" si="30"/>
        <v>Error?</v>
      </c>
    </row>
    <row r="2037" spans="1:4" x14ac:dyDescent="0.2">
      <c r="A2037" s="5">
        <v>1976</v>
      </c>
      <c r="B2037" s="138">
        <f>'Cap Outlay Deprec 26'!H16</f>
        <v>3958489</v>
      </c>
      <c r="C2037" s="2" t="s">
        <v>594</v>
      </c>
      <c r="D2037" s="2" t="str">
        <f t="shared" si="30"/>
        <v>Error?</v>
      </c>
    </row>
    <row r="2038" spans="1:4" x14ac:dyDescent="0.2">
      <c r="A2038" s="10">
        <v>1977</v>
      </c>
      <c r="D2038" s="2" t="str">
        <f t="shared" si="30"/>
        <v>OK</v>
      </c>
    </row>
    <row r="2039" spans="1:4" x14ac:dyDescent="0.2">
      <c r="A2039" s="5">
        <v>1978</v>
      </c>
      <c r="B2039" s="138">
        <f>'Cap Outlay Deprec 26'!I8</f>
        <v>162338</v>
      </c>
      <c r="D2039" s="2" t="str">
        <f t="shared" si="30"/>
        <v>Error?</v>
      </c>
    </row>
    <row r="2040" spans="1:4" x14ac:dyDescent="0.2">
      <c r="A2040" s="5">
        <v>1979</v>
      </c>
      <c r="B2040" s="138">
        <f>'Cap Outlay Deprec 26'!I10</f>
        <v>11651</v>
      </c>
      <c r="D2040" s="2" t="str">
        <f t="shared" si="30"/>
        <v>Error?</v>
      </c>
    </row>
    <row r="2041" spans="1:4" x14ac:dyDescent="0.2">
      <c r="A2041" s="5">
        <v>1980</v>
      </c>
      <c r="B2041" s="138">
        <f>'Cap Outlay Deprec 26'!I12</f>
        <v>10909</v>
      </c>
      <c r="D2041" s="2" t="str">
        <f t="shared" si="30"/>
        <v>Error?</v>
      </c>
    </row>
    <row r="2042" spans="1:4" x14ac:dyDescent="0.2">
      <c r="A2042" s="5">
        <v>1981</v>
      </c>
      <c r="B2042" s="138">
        <f>'Cap Outlay Deprec 26'!I13</f>
        <v>52574</v>
      </c>
      <c r="D2042" s="2" t="str">
        <f t="shared" si="30"/>
        <v>Error?</v>
      </c>
    </row>
    <row r="2043" spans="1:4" x14ac:dyDescent="0.2">
      <c r="A2043" s="5">
        <v>1982</v>
      </c>
      <c r="B2043" s="138">
        <f>'Cap Outlay Deprec 26'!I16</f>
        <v>245864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145870</v>
      </c>
      <c r="D2048" s="2" t="str">
        <f t="shared" si="31"/>
        <v>Error?</v>
      </c>
    </row>
    <row r="2049" spans="1:4" x14ac:dyDescent="0.2">
      <c r="A2049" s="5">
        <v>1988</v>
      </c>
      <c r="B2049" s="138">
        <f>'Cap Outlay Deprec 26'!J16</f>
        <v>145870</v>
      </c>
      <c r="C2049" s="2" t="s">
        <v>594</v>
      </c>
      <c r="D2049" s="2" t="str">
        <f t="shared" si="31"/>
        <v>Error?</v>
      </c>
    </row>
    <row r="2050" spans="1:4" x14ac:dyDescent="0.2">
      <c r="A2050" s="10">
        <v>1989</v>
      </c>
      <c r="D2050" s="2" t="str">
        <f t="shared" si="31"/>
        <v>OK</v>
      </c>
    </row>
    <row r="2051" spans="1:4" x14ac:dyDescent="0.2">
      <c r="A2051" s="5">
        <v>1990</v>
      </c>
      <c r="B2051" s="138">
        <f>'Cap Outlay Deprec 26'!K8</f>
        <v>2499624</v>
      </c>
      <c r="C2051" s="2" t="s">
        <v>594</v>
      </c>
      <c r="D2051" s="2" t="str">
        <f t="shared" si="31"/>
        <v>Error?</v>
      </c>
    </row>
    <row r="2052" spans="1:4" x14ac:dyDescent="0.2">
      <c r="A2052" s="5">
        <v>1991</v>
      </c>
      <c r="B2052" s="138">
        <f>'Cap Outlay Deprec 26'!K10</f>
        <v>179749</v>
      </c>
      <c r="C2052" s="2" t="s">
        <v>594</v>
      </c>
      <c r="D2052" s="2" t="str">
        <f t="shared" si="31"/>
        <v>Error?</v>
      </c>
    </row>
    <row r="2053" spans="1:4" x14ac:dyDescent="0.2">
      <c r="A2053" s="5">
        <v>1992</v>
      </c>
      <c r="B2053" s="138">
        <f>'Cap Outlay Deprec 26'!K12</f>
        <v>1115175</v>
      </c>
      <c r="C2053" s="2" t="s">
        <v>594</v>
      </c>
      <c r="D2053" s="2" t="str">
        <f t="shared" si="31"/>
        <v>Error?</v>
      </c>
    </row>
    <row r="2054" spans="1:4" x14ac:dyDescent="0.2">
      <c r="A2054" s="5">
        <v>1993</v>
      </c>
      <c r="B2054" s="138">
        <f>'Cap Outlay Deprec 26'!K13</f>
        <v>207261</v>
      </c>
      <c r="C2054" s="2" t="s">
        <v>594</v>
      </c>
      <c r="D2054" s="2" t="str">
        <f t="shared" si="31"/>
        <v>Error?</v>
      </c>
    </row>
    <row r="2055" spans="1:4" x14ac:dyDescent="0.2">
      <c r="A2055" s="5">
        <v>1994</v>
      </c>
      <c r="B2055" s="138">
        <f>'Cap Outlay Deprec 26'!K16</f>
        <v>4058483</v>
      </c>
      <c r="C2055" s="2" t="s">
        <v>594</v>
      </c>
      <c r="D2055" s="2" t="str">
        <f t="shared" si="31"/>
        <v>Error?</v>
      </c>
    </row>
    <row r="2056" spans="1:4" x14ac:dyDescent="0.2">
      <c r="A2056" s="5">
        <v>1995</v>
      </c>
      <c r="B2056" s="138">
        <f>'Cap Outlay Deprec 26'!L5</f>
        <v>59192</v>
      </c>
      <c r="C2056" s="2" t="s">
        <v>594</v>
      </c>
      <c r="D2056" s="2" t="str">
        <f t="shared" si="31"/>
        <v>Error?</v>
      </c>
    </row>
    <row r="2057" spans="1:4" x14ac:dyDescent="0.2">
      <c r="A2057" s="5">
        <v>1996</v>
      </c>
      <c r="B2057" s="138">
        <f>'Cap Outlay Deprec 26'!L8</f>
        <v>5617241</v>
      </c>
      <c r="C2057" s="2" t="s">
        <v>594</v>
      </c>
      <c r="D2057" s="2" t="str">
        <f t="shared" si="31"/>
        <v>Error?</v>
      </c>
    </row>
    <row r="2058" spans="1:4" x14ac:dyDescent="0.2">
      <c r="A2058" s="5">
        <v>1997</v>
      </c>
      <c r="B2058" s="138">
        <f>'Cap Outlay Deprec 26'!L10</f>
        <v>190605</v>
      </c>
      <c r="C2058" s="2" t="s">
        <v>594</v>
      </c>
      <c r="D2058" s="2" t="str">
        <f t="shared" si="31"/>
        <v>Error?</v>
      </c>
    </row>
    <row r="2059" spans="1:4" x14ac:dyDescent="0.2">
      <c r="A2059" s="5">
        <v>1998</v>
      </c>
      <c r="B2059" s="138">
        <f>'Cap Outlay Deprec 26'!L12</f>
        <v>36104</v>
      </c>
      <c r="C2059" s="2" t="s">
        <v>594</v>
      </c>
      <c r="D2059" s="2" t="str">
        <f t="shared" si="31"/>
        <v>Error?</v>
      </c>
    </row>
    <row r="2060" spans="1:4" x14ac:dyDescent="0.2">
      <c r="A2060" s="5">
        <v>1999</v>
      </c>
      <c r="B2060" s="138">
        <f>'Cap Outlay Deprec 26'!L13</f>
        <v>175376</v>
      </c>
      <c r="C2060" s="2" t="s">
        <v>594</v>
      </c>
      <c r="D2060" s="2" t="str">
        <f t="shared" si="31"/>
        <v>Error?</v>
      </c>
    </row>
    <row r="2061" spans="1:4" x14ac:dyDescent="0.2">
      <c r="A2061" s="5">
        <v>2000</v>
      </c>
      <c r="B2061" s="138">
        <f>'Cap Outlay Deprec 26'!L16</f>
        <v>6086489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137140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23070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108024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32640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109254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42792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1572043</v>
      </c>
      <c r="C2551" s="2" t="s">
        <v>594</v>
      </c>
      <c r="D2551" s="2" t="str">
        <f t="shared" si="38"/>
        <v>Error?</v>
      </c>
    </row>
    <row r="2552" spans="1:4" x14ac:dyDescent="0.2">
      <c r="A2552" s="10">
        <v>2491</v>
      </c>
      <c r="D2552" s="2" t="str">
        <f t="shared" si="38"/>
        <v>OK</v>
      </c>
    </row>
    <row r="2553" spans="1:4" x14ac:dyDescent="0.2">
      <c r="A2553" s="5">
        <v>2492</v>
      </c>
      <c r="B2553" s="138">
        <f>'Acct Summary 7-8'!C6</f>
        <v>1207975</v>
      </c>
      <c r="C2553" s="2" t="s">
        <v>594</v>
      </c>
      <c r="D2553" s="2" t="str">
        <f t="shared" si="38"/>
        <v>Error?</v>
      </c>
    </row>
    <row r="2554" spans="1:4" x14ac:dyDescent="0.2">
      <c r="A2554" s="5">
        <v>2493</v>
      </c>
      <c r="B2554" s="138">
        <f>'Acct Summary 7-8'!C7</f>
        <v>193190</v>
      </c>
      <c r="C2554" s="2" t="s">
        <v>594</v>
      </c>
      <c r="D2554" s="2" t="str">
        <f t="shared" si="38"/>
        <v>Error?</v>
      </c>
    </row>
    <row r="2555" spans="1:4" x14ac:dyDescent="0.2">
      <c r="A2555" s="5">
        <v>2494</v>
      </c>
      <c r="B2555" s="138">
        <f>'Acct Summary 7-8'!C8</f>
        <v>2973208</v>
      </c>
      <c r="C2555" s="2" t="s">
        <v>594</v>
      </c>
      <c r="D2555" s="2" t="str">
        <f t="shared" si="38"/>
        <v>Error?</v>
      </c>
    </row>
    <row r="2556" spans="1:4" x14ac:dyDescent="0.2">
      <c r="A2556" s="5">
        <v>2495</v>
      </c>
      <c r="B2556" s="138">
        <f>'Acct Summary 7-8'!C12</f>
        <v>2001757</v>
      </c>
      <c r="C2556" s="2" t="s">
        <v>594</v>
      </c>
      <c r="D2556" s="2" t="str">
        <f t="shared" si="38"/>
        <v>Error?</v>
      </c>
    </row>
    <row r="2557" spans="1:4" x14ac:dyDescent="0.2">
      <c r="A2557" s="5">
        <v>2496</v>
      </c>
      <c r="B2557" s="138">
        <f>'Acct Summary 7-8'!C13</f>
        <v>759245</v>
      </c>
      <c r="C2557" s="2" t="s">
        <v>594</v>
      </c>
      <c r="D2557" s="2" t="str">
        <f t="shared" si="38"/>
        <v>Error?</v>
      </c>
    </row>
    <row r="2558" spans="1:4" x14ac:dyDescent="0.2">
      <c r="A2558" s="5">
        <v>2497</v>
      </c>
      <c r="B2558" s="138">
        <f>'Acct Summary 7-8'!C14</f>
        <v>3660</v>
      </c>
      <c r="C2558" s="2" t="s">
        <v>594</v>
      </c>
      <c r="D2558" s="2" t="str">
        <f t="shared" si="38"/>
        <v>Error?</v>
      </c>
    </row>
    <row r="2559" spans="1:4" x14ac:dyDescent="0.2">
      <c r="A2559" s="5">
        <v>2498</v>
      </c>
      <c r="B2559" s="138">
        <f>'Acct Summary 7-8'!C15</f>
        <v>137140</v>
      </c>
      <c r="C2559" s="2" t="s">
        <v>594</v>
      </c>
      <c r="D2559" s="2" t="str">
        <f t="shared" ref="D2559:D2622" si="39">IF(ISBLANK(B2559),"OK",IF(A2559-B2559=0,"OK","Error?"))</f>
        <v>Error?</v>
      </c>
    </row>
    <row r="2560" spans="1:4" x14ac:dyDescent="0.2">
      <c r="A2560" s="5">
        <v>2499</v>
      </c>
      <c r="B2560" s="138">
        <f>'Acct Summary 7-8'!C16</f>
        <v>42</v>
      </c>
      <c r="C2560" s="2" t="s">
        <v>594</v>
      </c>
      <c r="D2560" s="2" t="str">
        <f t="shared" si="39"/>
        <v>Error?</v>
      </c>
    </row>
    <row r="2561" spans="1:4" x14ac:dyDescent="0.2">
      <c r="A2561" s="5">
        <v>2500</v>
      </c>
      <c r="B2561" s="138">
        <f>'Acct Summary 7-8'!C17</f>
        <v>2901844</v>
      </c>
      <c r="C2561" s="2" t="s">
        <v>594</v>
      </c>
      <c r="D2561" s="2" t="str">
        <f t="shared" si="39"/>
        <v>Error?</v>
      </c>
    </row>
    <row r="2562" spans="1:4" x14ac:dyDescent="0.2">
      <c r="A2562" s="5">
        <v>2501</v>
      </c>
      <c r="B2562" s="138">
        <f>'Acct Summary 7-8'!C20</f>
        <v>71364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238575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238575</v>
      </c>
      <c r="C2568" s="2" t="s">
        <v>594</v>
      </c>
      <c r="D2568" s="2" t="str">
        <f t="shared" si="39"/>
        <v>Error?</v>
      </c>
    </row>
    <row r="2569" spans="1:4" x14ac:dyDescent="0.2">
      <c r="A2569" s="5">
        <v>2508</v>
      </c>
      <c r="B2569" s="138">
        <f>'Acct Summary 7-8'!D13</f>
        <v>207004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207004</v>
      </c>
      <c r="C2573" s="2" t="s">
        <v>594</v>
      </c>
      <c r="D2573" s="2" t="str">
        <f t="shared" si="39"/>
        <v>Error?</v>
      </c>
    </row>
    <row r="2574" spans="1:4" x14ac:dyDescent="0.2">
      <c r="A2574" s="5">
        <v>2513</v>
      </c>
      <c r="B2574" s="138">
        <f>'Acct Summary 7-8'!D20</f>
        <v>31571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118970</v>
      </c>
      <c r="C2591" s="2" t="s">
        <v>594</v>
      </c>
      <c r="D2591" s="2" t="str">
        <f t="shared" si="39"/>
        <v>Error?</v>
      </c>
    </row>
    <row r="2592" spans="1:4" x14ac:dyDescent="0.2">
      <c r="A2592" s="10">
        <v>2531</v>
      </c>
      <c r="D2592" s="2" t="str">
        <f t="shared" si="39"/>
        <v>OK</v>
      </c>
    </row>
    <row r="2593" spans="1:4" x14ac:dyDescent="0.2">
      <c r="A2593" s="5">
        <v>2532</v>
      </c>
      <c r="B2593" s="138">
        <f>'Acct Summary 7-8'!F6</f>
        <v>110646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229616</v>
      </c>
      <c r="C2595" s="2" t="s">
        <v>594</v>
      </c>
      <c r="D2595" s="2" t="str">
        <f t="shared" si="39"/>
        <v>Error?</v>
      </c>
    </row>
    <row r="2596" spans="1:4" x14ac:dyDescent="0.2">
      <c r="A2596" s="5">
        <v>2535</v>
      </c>
      <c r="B2596" s="138">
        <f>'Acct Summary 7-8'!F13</f>
        <v>249179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101108</v>
      </c>
      <c r="C2599" s="2" t="s">
        <v>594</v>
      </c>
      <c r="D2599" s="2" t="str">
        <f t="shared" si="39"/>
        <v>Error?</v>
      </c>
    </row>
    <row r="2600" spans="1:4" x14ac:dyDescent="0.2">
      <c r="A2600" s="5">
        <v>2539</v>
      </c>
      <c r="B2600" s="138">
        <f>'Acct Summary 7-8'!F17</f>
        <v>350287</v>
      </c>
      <c r="C2600" s="2" t="s">
        <v>594</v>
      </c>
      <c r="D2600" s="2" t="str">
        <f t="shared" si="39"/>
        <v>Error?</v>
      </c>
    </row>
    <row r="2601" spans="1:4" x14ac:dyDescent="0.2">
      <c r="A2601" s="5">
        <v>2540</v>
      </c>
      <c r="B2601" s="138">
        <f>'Acct Summary 7-8'!F20</f>
        <v>-120671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167118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686</v>
      </c>
      <c r="C2605" s="2" t="s">
        <v>594</v>
      </c>
      <c r="D2605" s="2" t="str">
        <f t="shared" si="39"/>
        <v>Error?</v>
      </c>
    </row>
    <row r="2606" spans="1:4" x14ac:dyDescent="0.2">
      <c r="A2606" s="5">
        <v>2545</v>
      </c>
      <c r="B2606" s="138">
        <f>'Acct Summary 7-8'!G8</f>
        <v>167804</v>
      </c>
      <c r="C2606" s="2" t="s">
        <v>594</v>
      </c>
      <c r="D2606" s="2" t="str">
        <f t="shared" si="39"/>
        <v>Error?</v>
      </c>
    </row>
    <row r="2607" spans="1:4" x14ac:dyDescent="0.2">
      <c r="A2607" s="5">
        <v>2546</v>
      </c>
      <c r="B2607" s="138">
        <f>'Acct Summary 7-8'!G12</f>
        <v>54429</v>
      </c>
      <c r="C2607" s="2" t="s">
        <v>594</v>
      </c>
      <c r="D2607" s="2" t="str">
        <f t="shared" si="39"/>
        <v>Error?</v>
      </c>
    </row>
    <row r="2608" spans="1:4" x14ac:dyDescent="0.2">
      <c r="A2608" s="5">
        <v>2547</v>
      </c>
      <c r="B2608" s="138">
        <f>'Acct Summary 7-8'!G13</f>
        <v>76536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130965</v>
      </c>
      <c r="C2612" s="2" t="s">
        <v>594</v>
      </c>
      <c r="D2612" s="2" t="str">
        <f t="shared" si="39"/>
        <v>Error?</v>
      </c>
    </row>
    <row r="2613" spans="1:4" x14ac:dyDescent="0.2">
      <c r="A2613" s="5">
        <v>2552</v>
      </c>
      <c r="B2613" s="138">
        <f>'Acct Summary 7-8'!G20</f>
        <v>36839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317203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317203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323060</v>
      </c>
      <c r="C2634" s="2" t="s">
        <v>594</v>
      </c>
      <c r="D2634" s="2" t="str">
        <f t="shared" si="40"/>
        <v>Error?</v>
      </c>
    </row>
    <row r="2635" spans="1:4" x14ac:dyDescent="0.2">
      <c r="A2635" s="5">
        <v>2574</v>
      </c>
      <c r="B2635" s="138">
        <f>'Acct Summary 7-8'!E17</f>
        <v>323060</v>
      </c>
      <c r="C2635" s="2" t="s">
        <v>594</v>
      </c>
      <c r="D2635" s="2" t="str">
        <f t="shared" si="40"/>
        <v>Error?</v>
      </c>
    </row>
    <row r="2636" spans="1:4" x14ac:dyDescent="0.2">
      <c r="A2636" s="5">
        <v>2575</v>
      </c>
      <c r="B2636" s="138">
        <f>'Acct Summary 7-8'!E20</f>
        <v>-5857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44875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44875</v>
      </c>
      <c r="C2658" s="2" t="s">
        <v>594</v>
      </c>
      <c r="D2658" s="2" t="str">
        <f t="shared" si="40"/>
        <v>Error?</v>
      </c>
    </row>
    <row r="2659" spans="1:4" x14ac:dyDescent="0.2">
      <c r="A2659" s="5">
        <v>2598</v>
      </c>
      <c r="B2659" s="138">
        <f>'Acct Summary 7-8'!H13</f>
        <v>38174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38174</v>
      </c>
      <c r="C2661" s="2" t="s">
        <v>594</v>
      </c>
      <c r="D2661" s="2" t="str">
        <f t="shared" si="40"/>
        <v>Error?</v>
      </c>
    </row>
    <row r="2662" spans="1:4" x14ac:dyDescent="0.2">
      <c r="A2662" s="5">
        <v>2601</v>
      </c>
      <c r="B2662" s="138">
        <f>'Acct Summary 7-8'!H20</f>
        <v>6701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137140</v>
      </c>
      <c r="C2789" s="2" t="s">
        <v>594</v>
      </c>
      <c r="D2789" s="2" t="str">
        <f t="shared" si="42"/>
        <v>Error?</v>
      </c>
    </row>
    <row r="2790" spans="1:4" x14ac:dyDescent="0.2">
      <c r="A2790" s="5">
        <v>2729</v>
      </c>
      <c r="B2790" s="138">
        <f>'Expenditures 15-22'!E102</f>
        <v>137140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124087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124087</v>
      </c>
      <c r="D2914" s="2" t="str">
        <f t="shared" si="44"/>
        <v>Error?</v>
      </c>
    </row>
    <row r="2915" spans="1:4" x14ac:dyDescent="0.2">
      <c r="A2915" s="10">
        <v>2854</v>
      </c>
      <c r="D2915" s="2" t="str">
        <f t="shared" si="44"/>
        <v>OK</v>
      </c>
    </row>
    <row r="2916" spans="1:4" x14ac:dyDescent="0.2">
      <c r="A2916" s="5">
        <v>2855</v>
      </c>
      <c r="B2916" s="138">
        <f>'Assets-Liab 5-6'!L34</f>
        <v>124087</v>
      </c>
      <c r="C2916" s="2" t="s">
        <v>594</v>
      </c>
      <c r="D2916" s="2" t="str">
        <f t="shared" si="44"/>
        <v>Error?</v>
      </c>
    </row>
    <row r="2917" spans="1:4" x14ac:dyDescent="0.2">
      <c r="A2917" s="5">
        <v>2856</v>
      </c>
      <c r="B2917" s="138">
        <f>'Assets-Liab 5-6'!L41</f>
        <v>124087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137140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137140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33778</v>
      </c>
      <c r="D3055" s="2" t="str">
        <f t="shared" si="46"/>
        <v>Error?</v>
      </c>
    </row>
    <row r="3056" spans="1:4" x14ac:dyDescent="0.2">
      <c r="A3056" s="5">
        <v>2995</v>
      </c>
      <c r="B3056" s="138">
        <f>'Expenditures 15-22'!D10</f>
        <v>3975</v>
      </c>
      <c r="D3056" s="2" t="str">
        <f t="shared" si="46"/>
        <v>Error?</v>
      </c>
    </row>
    <row r="3057" spans="1:4" x14ac:dyDescent="0.2">
      <c r="A3057" s="5">
        <v>2996</v>
      </c>
      <c r="B3057" s="138">
        <f>'Expenditures 15-22'!E10</f>
        <v>860</v>
      </c>
      <c r="D3057" s="2" t="str">
        <f t="shared" si="46"/>
        <v>Error?</v>
      </c>
    </row>
    <row r="3058" spans="1:4" x14ac:dyDescent="0.2">
      <c r="A3058" s="5">
        <v>2997</v>
      </c>
      <c r="B3058" s="138">
        <f>'Expenditures 15-22'!F10</f>
        <v>12419</v>
      </c>
      <c r="D3058" s="2" t="str">
        <f t="shared" si="46"/>
        <v>Error?</v>
      </c>
    </row>
    <row r="3059" spans="1:4" x14ac:dyDescent="0.2">
      <c r="A3059" s="5">
        <v>2998</v>
      </c>
      <c r="B3059" s="138">
        <f>'Expenditures 15-22'!G10</f>
        <v>4600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55632</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23070</v>
      </c>
      <c r="C3225" s="2" t="s">
        <v>594</v>
      </c>
      <c r="D3225" s="2" t="str">
        <f t="shared" si="49"/>
        <v>Error?</v>
      </c>
    </row>
    <row r="3226" spans="1:4" x14ac:dyDescent="0.2">
      <c r="A3226" s="5">
        <v>3165</v>
      </c>
      <c r="B3226" s="138">
        <f>'Acct Summary 7-8'!I8</f>
        <v>23070</v>
      </c>
      <c r="C3226" s="2" t="s">
        <v>594</v>
      </c>
      <c r="D3226" s="2" t="str">
        <f t="shared" si="49"/>
        <v>Error?</v>
      </c>
    </row>
    <row r="3227" spans="1:4" x14ac:dyDescent="0.2">
      <c r="A3227" s="5">
        <v>3166</v>
      </c>
      <c r="B3227" s="138">
        <f>'Acct Summary 7-8'!I20</f>
        <v>23070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23070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4260</v>
      </c>
      <c r="C3231" s="2" t="s">
        <v>594</v>
      </c>
      <c r="D3231" s="2" t="str">
        <f t="shared" si="49"/>
        <v>Error?</v>
      </c>
    </row>
    <row r="3232" spans="1:4" x14ac:dyDescent="0.2">
      <c r="A3232" s="5">
        <v>3171</v>
      </c>
      <c r="B3232" s="138">
        <f>'Acct Summary 7-8'!C77</f>
        <v>18810</v>
      </c>
      <c r="C3232" s="2" t="s">
        <v>594</v>
      </c>
      <c r="D3232" s="2" t="str">
        <f t="shared" si="49"/>
        <v>Error?</v>
      </c>
    </row>
    <row r="3233" spans="1:4" x14ac:dyDescent="0.2">
      <c r="A3233" s="5">
        <v>3172</v>
      </c>
      <c r="B3233" s="138">
        <f>'Acct Summary 7-8'!C78</f>
        <v>90174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31571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173922</v>
      </c>
      <c r="D3251" s="2" t="str">
        <f t="shared" si="49"/>
        <v>Error?</v>
      </c>
    </row>
    <row r="3252" spans="1:4" x14ac:dyDescent="0.2">
      <c r="A3252" s="5">
        <v>3191</v>
      </c>
      <c r="B3252" s="138">
        <f>'Acct Summary 7-8'!F44</f>
        <v>173922</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173922</v>
      </c>
      <c r="C3255" s="2" t="s">
        <v>594</v>
      </c>
      <c r="D3255" s="2" t="str">
        <f t="shared" si="49"/>
        <v>Error?</v>
      </c>
    </row>
    <row r="3256" spans="1:4" x14ac:dyDescent="0.2">
      <c r="A3256" s="5">
        <v>3195</v>
      </c>
      <c r="B3256" s="138">
        <f>'Acct Summary 7-8'!F78</f>
        <v>53251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36839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4260</v>
      </c>
      <c r="D3273" s="2" t="str">
        <f t="shared" si="50"/>
        <v>Error?</v>
      </c>
    </row>
    <row r="3274" spans="1:4" x14ac:dyDescent="0.2">
      <c r="A3274" s="5">
        <v>3213</v>
      </c>
      <c r="B3274" s="138">
        <f>'Acct Summary 7-8'!E44</f>
        <v>4260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4260</v>
      </c>
      <c r="C3277" s="2" t="s">
        <v>594</v>
      </c>
      <c r="D3277" s="2" t="str">
        <f t="shared" si="50"/>
        <v>Error?</v>
      </c>
    </row>
    <row r="3278" spans="1:4" x14ac:dyDescent="0.2">
      <c r="A3278" s="5">
        <v>3217</v>
      </c>
      <c r="B3278" s="138">
        <f>'Acct Summary 7-8'!E78</f>
        <v>-1597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6701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23070</v>
      </c>
      <c r="C3318" s="2" t="s">
        <v>594</v>
      </c>
      <c r="D3318" s="2" t="str">
        <f t="shared" si="50"/>
        <v>Error?</v>
      </c>
    </row>
    <row r="3319" spans="1:4" x14ac:dyDescent="0.2">
      <c r="A3319" s="5">
        <v>3258</v>
      </c>
      <c r="B3319" s="138">
        <f>'Acct Summary 7-8'!I77</f>
        <v>-23070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216590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44216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261334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28362</v>
      </c>
      <c r="D3387" s="2" t="str">
        <f t="shared" si="51"/>
        <v>Error?</v>
      </c>
    </row>
    <row r="3388" spans="1:4" x14ac:dyDescent="0.2">
      <c r="A3388" s="5">
        <v>3327</v>
      </c>
      <c r="B3388" s="138">
        <f>'Expenditures 15-22'!D217</f>
        <v>23693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28362</v>
      </c>
      <c r="C3390" s="2" t="s">
        <v>594</v>
      </c>
      <c r="D3390" s="2" t="str">
        <f t="shared" si="51"/>
        <v>Error?</v>
      </c>
    </row>
    <row r="3391" spans="1:4" x14ac:dyDescent="0.2">
      <c r="A3391" s="5">
        <v>3330</v>
      </c>
      <c r="B3391" s="138">
        <f>'Expenditures 15-22'!K217</f>
        <v>23693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1033346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415813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109254</v>
      </c>
      <c r="D3417" s="2" t="str">
        <f t="shared" si="52"/>
        <v>Error?</v>
      </c>
    </row>
    <row r="3418" spans="1:4" x14ac:dyDescent="0.2">
      <c r="A3418" s="10">
        <v>3357</v>
      </c>
      <c r="D3418" s="2" t="str">
        <f t="shared" si="52"/>
        <v>OK</v>
      </c>
    </row>
    <row r="3419" spans="1:4" x14ac:dyDescent="0.2">
      <c r="A3419" s="5">
        <v>3358</v>
      </c>
      <c r="B3419" s="138">
        <f>'Assets-Liab 5-6'!F4</f>
        <v>152946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240264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42792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124087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74378</v>
      </c>
      <c r="C3446" s="2" t="s">
        <v>594</v>
      </c>
      <c r="D3446" s="2" t="str">
        <f t="shared" si="52"/>
        <v>Error?</v>
      </c>
    </row>
    <row r="3447" spans="1:4" x14ac:dyDescent="0.2">
      <c r="A3447" s="5">
        <v>3386</v>
      </c>
      <c r="B3447" s="138">
        <f>'Tax Sched 23'!D16</f>
        <v>74378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61374</v>
      </c>
      <c r="C3449" s="2" t="s">
        <v>594</v>
      </c>
      <c r="D3449" s="2" t="str">
        <f t="shared" si="52"/>
        <v>Error?</v>
      </c>
    </row>
    <row r="3450" spans="1:4" x14ac:dyDescent="0.2">
      <c r="A3450" s="5">
        <v>3389</v>
      </c>
      <c r="B3450" s="138">
        <f>'Tax Sched 23'!E16</f>
        <v>61374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88025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88025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88025</v>
      </c>
      <c r="D3567" s="2" t="str">
        <f t="shared" si="54"/>
        <v>Error?</v>
      </c>
    </row>
    <row r="3568" spans="1:4" x14ac:dyDescent="0.2">
      <c r="A3568" s="5">
        <v>3507</v>
      </c>
      <c r="B3568" s="138">
        <f>'Assets-Liab 5-6'!K41</f>
        <v>88025</v>
      </c>
      <c r="C3568" s="2" t="s">
        <v>594</v>
      </c>
      <c r="D3568" s="2" t="str">
        <f t="shared" si="54"/>
        <v>Error?</v>
      </c>
    </row>
    <row r="3569" spans="1:4" x14ac:dyDescent="0.2">
      <c r="A3569" s="5">
        <v>3508</v>
      </c>
      <c r="B3569" s="138">
        <f>'Acct Summary 7-8'!K4</f>
        <v>22895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22895</v>
      </c>
      <c r="C3571" s="2" t="s">
        <v>594</v>
      </c>
      <c r="D3571" s="2" t="str">
        <f t="shared" si="54"/>
        <v>Error?</v>
      </c>
    </row>
    <row r="3572" spans="1:4" x14ac:dyDescent="0.2">
      <c r="A3572" s="5">
        <v>3511</v>
      </c>
      <c r="B3572" s="138">
        <f>'Acct Summary 7-8'!K13</f>
        <v>27846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27846</v>
      </c>
      <c r="C3575" s="2" t="s">
        <v>594</v>
      </c>
      <c r="D3575" s="2" t="str">
        <f t="shared" si="54"/>
        <v>Error?</v>
      </c>
    </row>
    <row r="3576" spans="1:4" x14ac:dyDescent="0.2">
      <c r="A3576" s="5">
        <v>3515</v>
      </c>
      <c r="B3576" s="138">
        <f>'Acct Summary 7-8'!K20</f>
        <v>-4951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-4951</v>
      </c>
      <c r="C3588" s="2" t="s">
        <v>594</v>
      </c>
      <c r="D3588" s="2" t="str">
        <f t="shared" si="55"/>
        <v>Error?</v>
      </c>
    </row>
    <row r="3589" spans="1:4" x14ac:dyDescent="0.2">
      <c r="A3589" s="5">
        <v>3528</v>
      </c>
      <c r="B3589" s="138">
        <f>'Acct Summary 7-8'!K79</f>
        <v>92976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88025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27846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27846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27846</v>
      </c>
      <c r="C3635" s="2" t="s">
        <v>594</v>
      </c>
      <c r="D3635" s="2" t="str">
        <f t="shared" si="55"/>
        <v>Error?</v>
      </c>
    </row>
    <row r="3636" spans="1:4" x14ac:dyDescent="0.2">
      <c r="A3636" s="5">
        <v>3575</v>
      </c>
      <c r="B3636" s="138">
        <f>'Expenditures 15-22'!E367</f>
        <v>27846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27846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27846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27846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27846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22885</v>
      </c>
      <c r="C3725" s="2" t="s">
        <v>594</v>
      </c>
      <c r="D3725" s="2" t="str">
        <f t="shared" si="57"/>
        <v>Error?</v>
      </c>
    </row>
    <row r="3726" spans="1:4" x14ac:dyDescent="0.2">
      <c r="A3726" s="5">
        <v>3665</v>
      </c>
      <c r="B3726" s="138">
        <f>'Tax Sched 23'!D13</f>
        <v>22885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24475</v>
      </c>
      <c r="C3728" s="2" t="s">
        <v>594</v>
      </c>
      <c r="D3728" s="2" t="str">
        <f t="shared" si="57"/>
        <v>Error?</v>
      </c>
    </row>
    <row r="3729" spans="1:4" x14ac:dyDescent="0.2">
      <c r="A3729" s="5">
        <v>3668</v>
      </c>
      <c r="B3729" s="138">
        <f>'Tax Sched 23'!E13</f>
        <v>24475</v>
      </c>
      <c r="D3729" s="2" t="str">
        <f t="shared" si="57"/>
        <v>Error?</v>
      </c>
    </row>
    <row r="3730" spans="1:4" x14ac:dyDescent="0.2">
      <c r="A3730" s="5">
        <v>3669</v>
      </c>
      <c r="B3730" s="138">
        <f>'ICR Computation 30'!E10</f>
        <v>50260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1319875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4293083</v>
      </c>
      <c r="C4122" s="2" t="s">
        <v>594</v>
      </c>
      <c r="D4122" s="2" t="str">
        <f t="shared" si="63"/>
        <v>Error?</v>
      </c>
    </row>
    <row r="4123" spans="1:4" x14ac:dyDescent="0.2">
      <c r="A4123" s="5">
        <v>4062</v>
      </c>
      <c r="B4123" s="138">
        <f>'Acct Summary 7-8'!D10</f>
        <v>238575</v>
      </c>
      <c r="C4123" s="2" t="s">
        <v>594</v>
      </c>
      <c r="D4123" s="2" t="str">
        <f t="shared" si="63"/>
        <v>Error?</v>
      </c>
    </row>
    <row r="4124" spans="1:4" x14ac:dyDescent="0.2">
      <c r="A4124" s="5">
        <v>4063</v>
      </c>
      <c r="B4124" s="138">
        <f>'Acct Summary 7-8'!E10</f>
        <v>317203</v>
      </c>
      <c r="C4124" s="2" t="s">
        <v>594</v>
      </c>
      <c r="D4124" s="2" t="str">
        <f t="shared" si="63"/>
        <v>Error?</v>
      </c>
    </row>
    <row r="4125" spans="1:4" x14ac:dyDescent="0.2">
      <c r="A4125" s="5">
        <v>4064</v>
      </c>
      <c r="B4125" s="138">
        <f>'Acct Summary 7-8'!F10</f>
        <v>229616</v>
      </c>
      <c r="C4125" s="2" t="s">
        <v>594</v>
      </c>
      <c r="D4125" s="2" t="str">
        <f t="shared" si="63"/>
        <v>Error?</v>
      </c>
    </row>
    <row r="4126" spans="1:4" x14ac:dyDescent="0.2">
      <c r="A4126" s="5">
        <v>4065</v>
      </c>
      <c r="B4126" s="138">
        <f>'Acct Summary 7-8'!G10</f>
        <v>167804</v>
      </c>
      <c r="C4126" s="2" t="s">
        <v>594</v>
      </c>
      <c r="D4126" s="2" t="str">
        <f t="shared" si="63"/>
        <v>Error?</v>
      </c>
    </row>
    <row r="4127" spans="1:4" x14ac:dyDescent="0.2">
      <c r="A4127" s="5">
        <v>4066</v>
      </c>
      <c r="B4127" s="138">
        <f>'Acct Summary 7-8'!H10</f>
        <v>44875</v>
      </c>
      <c r="C4127" s="2" t="s">
        <v>594</v>
      </c>
      <c r="D4127" s="2" t="str">
        <f t="shared" si="63"/>
        <v>Error?</v>
      </c>
    </row>
    <row r="4128" spans="1:4" x14ac:dyDescent="0.2">
      <c r="A4128" s="5">
        <v>4067</v>
      </c>
      <c r="B4128" s="138">
        <f>'Acct Summary 7-8'!I10</f>
        <v>23070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22895</v>
      </c>
      <c r="C4130" s="2" t="s">
        <v>594</v>
      </c>
      <c r="D4130" s="2" t="str">
        <f t="shared" si="63"/>
        <v>Error?</v>
      </c>
    </row>
    <row r="4131" spans="1:4" x14ac:dyDescent="0.2">
      <c r="A4131" s="5">
        <v>4070</v>
      </c>
      <c r="B4131" s="138">
        <f>'Acct Summary 7-8'!C18</f>
        <v>1319875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4221719</v>
      </c>
      <c r="C4136" s="2" t="s">
        <v>594</v>
      </c>
      <c r="D4136" s="2" t="str">
        <f t="shared" si="63"/>
        <v>Error?</v>
      </c>
    </row>
    <row r="4137" spans="1:4" x14ac:dyDescent="0.2">
      <c r="A4137" s="5">
        <v>4076</v>
      </c>
      <c r="B4137" s="138">
        <f>'Acct Summary 7-8'!D19</f>
        <v>207004</v>
      </c>
      <c r="C4137" s="2" t="s">
        <v>594</v>
      </c>
      <c r="D4137" s="2" t="str">
        <f t="shared" si="63"/>
        <v>Error?</v>
      </c>
    </row>
    <row r="4138" spans="1:4" x14ac:dyDescent="0.2">
      <c r="A4138" s="5">
        <v>4077</v>
      </c>
      <c r="B4138" s="138">
        <f>'Acct Summary 7-8'!E19</f>
        <v>323060</v>
      </c>
      <c r="C4138" s="2" t="s">
        <v>594</v>
      </c>
      <c r="D4138" s="2" t="str">
        <f t="shared" si="63"/>
        <v>Error?</v>
      </c>
    </row>
    <row r="4139" spans="1:4" x14ac:dyDescent="0.2">
      <c r="A4139" s="5">
        <v>4078</v>
      </c>
      <c r="B4139" s="138">
        <f>'Acct Summary 7-8'!F19</f>
        <v>350287</v>
      </c>
      <c r="C4139" s="2" t="s">
        <v>594</v>
      </c>
      <c r="D4139" s="2" t="str">
        <f t="shared" si="63"/>
        <v>Error?</v>
      </c>
    </row>
    <row r="4140" spans="1:4" x14ac:dyDescent="0.2">
      <c r="A4140" s="5">
        <v>4079</v>
      </c>
      <c r="B4140" s="138">
        <f>'Acct Summary 7-8'!G19</f>
        <v>130965</v>
      </c>
      <c r="C4140" s="2" t="s">
        <v>594</v>
      </c>
      <c r="D4140" s="2" t="str">
        <f t="shared" si="63"/>
        <v>Error?</v>
      </c>
    </row>
    <row r="4141" spans="1:4" x14ac:dyDescent="0.2">
      <c r="A4141" s="5">
        <v>4080</v>
      </c>
      <c r="B4141" s="138">
        <f>'Acct Summary 7-8'!H19</f>
        <v>38174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27846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4318922</v>
      </c>
      <c r="C4171" s="2" t="s">
        <v>594</v>
      </c>
      <c r="D4171" s="2" t="str">
        <f t="shared" si="64"/>
        <v>Error?</v>
      </c>
    </row>
    <row r="4172" spans="1:4" x14ac:dyDescent="0.2">
      <c r="A4172" s="5">
        <v>4111</v>
      </c>
      <c r="B4172" s="138">
        <f>'Short-Term Long-Term Debt 24'!J49</f>
        <v>4209668</v>
      </c>
      <c r="C4172" s="2" t="s">
        <v>594</v>
      </c>
      <c r="D4172" s="2" t="str">
        <f t="shared" si="64"/>
        <v>Error?</v>
      </c>
    </row>
    <row r="4173" spans="1:4" x14ac:dyDescent="0.2">
      <c r="A4173" s="5">
        <v>4112</v>
      </c>
      <c r="B4173" s="138">
        <f>'Short-Term Long-Term Debt 24'!H49</f>
        <v>243437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99177</v>
      </c>
      <c r="D4210" s="2" t="str">
        <f t="shared" si="64"/>
        <v>Error?</v>
      </c>
    </row>
    <row r="4211" spans="1:4" x14ac:dyDescent="0.2">
      <c r="A4211" s="5">
        <v>4150</v>
      </c>
      <c r="B4211" s="138">
        <f>'Expenditures 15-22'!K206</f>
        <v>99177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3350</v>
      </c>
      <c r="C4268" s="2" t="s">
        <v>594</v>
      </c>
      <c r="D4268" s="2" t="str">
        <f t="shared" si="65"/>
        <v>Error?</v>
      </c>
    </row>
    <row r="4269" spans="1:5" x14ac:dyDescent="0.2">
      <c r="A4269" s="12">
        <v>4208</v>
      </c>
      <c r="B4269" s="138">
        <f>'FP Info 3'!J16</f>
        <v>1602105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5423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13957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11067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28691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3449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33400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8394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686</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48949689</v>
      </c>
      <c r="D4995" s="2" t="str">
        <f t="shared" si="77"/>
        <v>Error?</v>
      </c>
    </row>
    <row r="4996" spans="1:4" x14ac:dyDescent="0.2">
      <c r="A4996" s="12">
        <v>4935</v>
      </c>
      <c r="B4996" s="138">
        <f>'FP Info 3'!H31</f>
        <v>6755057.0820000004</v>
      </c>
      <c r="D4996" s="2" t="str">
        <f t="shared" si="77"/>
        <v>Error?</v>
      </c>
    </row>
    <row r="4997" spans="1:4" x14ac:dyDescent="0.2">
      <c r="A4997" s="12">
        <v>4936</v>
      </c>
      <c r="B4997" s="138">
        <f>'FP Info 3'!H37</f>
        <v>4318922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22885</v>
      </c>
      <c r="D5026" s="2" t="str">
        <f t="shared" si="77"/>
        <v>Error?</v>
      </c>
    </row>
    <row r="5027" spans="1:4" x14ac:dyDescent="0.2">
      <c r="A5027" s="5">
        <v>4966</v>
      </c>
      <c r="B5027" s="138">
        <f>'Revenues 9-14'!F104</f>
        <v>1634</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1220386</v>
      </c>
      <c r="D5061" s="2" t="str">
        <f t="shared" si="78"/>
        <v>Error?</v>
      </c>
    </row>
    <row r="5062" spans="1:4" x14ac:dyDescent="0.2">
      <c r="A5062" s="10">
        <v>5001</v>
      </c>
      <c r="D5062" s="2" t="str">
        <f t="shared" si="78"/>
        <v>OK</v>
      </c>
    </row>
    <row r="5063" spans="1:4" x14ac:dyDescent="0.2">
      <c r="A5063" s="5">
        <v>5002</v>
      </c>
      <c r="B5063" s="138">
        <f>'Revenues 9-14'!C7</f>
        <v>18562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1261833</v>
      </c>
      <c r="C5066" s="2" t="s">
        <v>594</v>
      </c>
      <c r="D5066" s="2" t="str">
        <f t="shared" si="78"/>
        <v>Error?</v>
      </c>
    </row>
    <row r="5067" spans="1:4" x14ac:dyDescent="0.2">
      <c r="A5067" s="5">
        <v>5006</v>
      </c>
      <c r="B5067" s="138">
        <f>'Revenues 9-14'!C14</f>
        <v>649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62903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63552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8307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8307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6117</v>
      </c>
      <c r="D5094" s="2" t="str">
        <f t="shared" si="78"/>
        <v>Error?</v>
      </c>
    </row>
    <row r="5095" spans="1:4" x14ac:dyDescent="0.2">
      <c r="A5095" s="5">
        <v>5034</v>
      </c>
      <c r="B5095" s="138">
        <f>'Revenues 9-14'!C74</f>
        <v>798</v>
      </c>
      <c r="D5095" s="2" t="str">
        <f t="shared" si="78"/>
        <v>Error?</v>
      </c>
    </row>
    <row r="5096" spans="1:4" x14ac:dyDescent="0.2">
      <c r="A5096" s="5">
        <v>5035</v>
      </c>
      <c r="B5096" s="138">
        <f>'Revenues 9-14'!C75</f>
        <v>99707</v>
      </c>
      <c r="C5096" s="2" t="s">
        <v>594</v>
      </c>
      <c r="D5096" s="2" t="str">
        <f t="shared" si="78"/>
        <v>Error?</v>
      </c>
    </row>
    <row r="5097" spans="1:4" x14ac:dyDescent="0.2">
      <c r="A5097" s="5">
        <v>5036</v>
      </c>
      <c r="B5097" s="138">
        <f>'Revenues 9-14'!C77</f>
        <v>55540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100</v>
      </c>
      <c r="D5101" s="2" t="str">
        <f t="shared" si="78"/>
        <v>Error?</v>
      </c>
    </row>
    <row r="5102" spans="1:4" x14ac:dyDescent="0.2">
      <c r="A5102" s="5">
        <v>5041</v>
      </c>
      <c r="B5102" s="138">
        <f>'Revenues 9-14'!C82</f>
        <v>55640</v>
      </c>
      <c r="C5102" s="2" t="s">
        <v>594</v>
      </c>
      <c r="D5102" s="2" t="str">
        <f t="shared" si="78"/>
        <v>Error?</v>
      </c>
    </row>
    <row r="5103" spans="1:4" x14ac:dyDescent="0.2">
      <c r="A5103" s="5">
        <v>5042</v>
      </c>
      <c r="B5103" s="138">
        <f>'Revenues 9-14'!C84</f>
        <v>36285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36285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3000</v>
      </c>
      <c r="D5119" s="2" t="str">
        <f t="shared" ref="D5119:D5182" si="79">IF(ISBLANK(B5119),"OK",IF(A5119-B5119=0,"OK","Error?"))</f>
        <v>Error?</v>
      </c>
    </row>
    <row r="5120" spans="1:4" x14ac:dyDescent="0.2">
      <c r="A5120" s="5">
        <v>5059</v>
      </c>
      <c r="B5120" s="138">
        <f>'Revenues 9-14'!C108</f>
        <v>46719</v>
      </c>
      <c r="C5120" s="2" t="s">
        <v>594</v>
      </c>
      <c r="D5120" s="2" t="str">
        <f t="shared" si="79"/>
        <v>Error?</v>
      </c>
    </row>
    <row r="5121" spans="1:4" x14ac:dyDescent="0.2">
      <c r="A5121" s="5">
        <v>5060</v>
      </c>
      <c r="B5121" s="138">
        <f>'Revenues 9-14'!C109</f>
        <v>1572043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992213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992213</v>
      </c>
      <c r="C5132" s="2" t="s">
        <v>594</v>
      </c>
      <c r="D5132" s="2" t="str">
        <f t="shared" si="79"/>
        <v>Error?</v>
      </c>
    </row>
    <row r="5133" spans="1:4" x14ac:dyDescent="0.2">
      <c r="A5133" s="5">
        <v>5072</v>
      </c>
      <c r="B5133" s="138">
        <f>'Revenues 9-14'!C124</f>
        <v>20342</v>
      </c>
      <c r="D5133" s="2" t="str">
        <f t="shared" si="79"/>
        <v>Error?</v>
      </c>
    </row>
    <row r="5134" spans="1:4" x14ac:dyDescent="0.2">
      <c r="A5134" s="5">
        <v>5073</v>
      </c>
      <c r="B5134" s="138">
        <f>'Revenues 9-14'!C125</f>
        <v>22360</v>
      </c>
      <c r="D5134" s="2" t="str">
        <f t="shared" si="79"/>
        <v>Error?</v>
      </c>
    </row>
    <row r="5135" spans="1:4" x14ac:dyDescent="0.2">
      <c r="A5135" s="5">
        <v>5074</v>
      </c>
      <c r="B5135" s="138">
        <f>'Revenues 9-14'!C126</f>
        <v>30156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577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73435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4776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605</v>
      </c>
      <c r="D5167" s="2" t="str">
        <f t="shared" si="79"/>
        <v>Error?</v>
      </c>
    </row>
    <row r="5168" spans="1:4" x14ac:dyDescent="0.2">
      <c r="A5168" s="5">
        <v>5107</v>
      </c>
      <c r="B5168" s="138">
        <f>'Revenues 9-14'!C147</f>
        <v>4823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128674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215762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1207975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33400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56656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56656</v>
      </c>
      <c r="C5246" s="2" t="s">
        <v>594</v>
      </c>
      <c r="D5246" s="2" t="str">
        <f t="shared" si="80"/>
        <v>Error?</v>
      </c>
    </row>
    <row r="5247" spans="1:4" x14ac:dyDescent="0.2">
      <c r="A5247" s="5">
        <v>5186</v>
      </c>
      <c r="B5247" s="138">
        <f>'Revenues 9-14'!C203</f>
        <v>60633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60633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3660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3660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159790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193190</v>
      </c>
      <c r="C5326" s="2" t="s">
        <v>594</v>
      </c>
      <c r="D5326" s="2" t="str">
        <f t="shared" si="82"/>
        <v>Error?</v>
      </c>
    </row>
    <row r="5327" spans="1:4" x14ac:dyDescent="0.2">
      <c r="A5327" s="5">
        <v>5266</v>
      </c>
      <c r="B5327" s="138">
        <f>'Revenues 9-14'!C275</f>
        <v>2973208</v>
      </c>
      <c r="C5327" s="2" t="s">
        <v>594</v>
      </c>
      <c r="D5327" s="2" t="str">
        <f t="shared" si="82"/>
        <v>Error?</v>
      </c>
    </row>
    <row r="5328" spans="1:4" x14ac:dyDescent="0.2">
      <c r="A5328" s="5">
        <v>5267</v>
      </c>
      <c r="B5328" s="138">
        <f>'Revenues 9-14'!D5</f>
        <v>230262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230262</v>
      </c>
      <c r="C5334" s="2" t="s">
        <v>594</v>
      </c>
      <c r="D5334" s="2" t="str">
        <f t="shared" si="82"/>
        <v>Error?</v>
      </c>
    </row>
    <row r="5335" spans="1:4" x14ac:dyDescent="0.2">
      <c r="A5335" s="5">
        <v>5274</v>
      </c>
      <c r="B5335" s="138">
        <f>'Revenues 9-14'!D14</f>
        <v>118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v>
      </c>
      <c r="C5339" s="2" t="s">
        <v>594</v>
      </c>
      <c r="D5339" s="2" t="str">
        <f t="shared" si="82"/>
        <v>Error?</v>
      </c>
    </row>
    <row r="5340" spans="1:4" x14ac:dyDescent="0.2">
      <c r="A5340" s="5">
        <v>5279</v>
      </c>
      <c r="B5340" s="138">
        <f>'Revenues 9-14'!D65</f>
        <v>1028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1028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7167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7167</v>
      </c>
      <c r="C5355" s="2" t="s">
        <v>594</v>
      </c>
      <c r="D5355" s="2" t="str">
        <f t="shared" si="82"/>
        <v>Error?</v>
      </c>
    </row>
    <row r="5356" spans="1:4" x14ac:dyDescent="0.2">
      <c r="A5356" s="5">
        <v>5295</v>
      </c>
      <c r="B5356" s="138">
        <f>'Revenues 9-14'!D109</f>
        <v>238575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238575</v>
      </c>
      <c r="C5508" s="2" t="s">
        <v>594</v>
      </c>
      <c r="D5508" s="2" t="str">
        <f t="shared" si="85"/>
        <v>Error?</v>
      </c>
    </row>
    <row r="5509" spans="1:4" x14ac:dyDescent="0.2">
      <c r="A5509" s="5">
        <v>5448</v>
      </c>
      <c r="B5509" s="138">
        <f>'Revenues 9-14'!E5</f>
        <v>171653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171653</v>
      </c>
      <c r="C5513" s="2" t="s">
        <v>594</v>
      </c>
      <c r="D5513" s="2" t="str">
        <f t="shared" si="85"/>
        <v>Error?</v>
      </c>
    </row>
    <row r="5514" spans="1:4" x14ac:dyDescent="0.2">
      <c r="A5514" s="5">
        <v>5453</v>
      </c>
      <c r="B5514" s="138">
        <f>'Revenues 9-14'!E14</f>
        <v>87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87</v>
      </c>
      <c r="C5518" s="2" t="s">
        <v>594</v>
      </c>
      <c r="D5518" s="2" t="str">
        <f t="shared" si="85"/>
        <v>Error?</v>
      </c>
    </row>
    <row r="5519" spans="1:4" x14ac:dyDescent="0.2">
      <c r="A5519" s="5">
        <v>5458</v>
      </c>
      <c r="B5519" s="138">
        <f>'Revenues 9-14'!E65</f>
        <v>354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145109</v>
      </c>
      <c r="C5526" s="2" t="s">
        <v>594</v>
      </c>
      <c r="D5526" s="2" t="str">
        <f t="shared" si="85"/>
        <v>Error?</v>
      </c>
    </row>
    <row r="5527" spans="1:4" x14ac:dyDescent="0.2">
      <c r="A5527" s="5">
        <v>5466</v>
      </c>
      <c r="B5527" s="138">
        <f>'Revenues 9-14'!E109</f>
        <v>317203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317203</v>
      </c>
      <c r="C5552" s="2" t="s">
        <v>594</v>
      </c>
      <c r="D5552" s="2" t="str">
        <f t="shared" si="85"/>
        <v>Error?</v>
      </c>
    </row>
    <row r="5553" spans="1:4" x14ac:dyDescent="0.2">
      <c r="A5553" s="5">
        <v>5492</v>
      </c>
      <c r="B5553" s="138">
        <f>'Revenues 9-14'!F5</f>
        <v>92105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92105</v>
      </c>
      <c r="C5557" s="2" t="s">
        <v>594</v>
      </c>
      <c r="D5557" s="2" t="str">
        <f t="shared" si="85"/>
        <v>Error?</v>
      </c>
    </row>
    <row r="5558" spans="1:4" x14ac:dyDescent="0.2">
      <c r="A5558" s="5">
        <v>5497</v>
      </c>
      <c r="B5558" s="138">
        <f>'Revenues 9-14'!F14</f>
        <v>47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24944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24991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1634</v>
      </c>
      <c r="C5587" s="2" t="s">
        <v>594</v>
      </c>
      <c r="D5587" s="2" t="str">
        <f t="shared" si="86"/>
        <v>Error?</v>
      </c>
    </row>
    <row r="5588" spans="1:4" x14ac:dyDescent="0.2">
      <c r="A5588" s="5">
        <v>5527</v>
      </c>
      <c r="B5588" s="138">
        <f>'Revenues 9-14'!F109</f>
        <v>118970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70294</v>
      </c>
      <c r="D5615" s="2" t="str">
        <f t="shared" si="86"/>
        <v>Error?</v>
      </c>
    </row>
    <row r="5616" spans="1:4" x14ac:dyDescent="0.2">
      <c r="A5616" s="10">
        <v>5555</v>
      </c>
      <c r="D5616" s="2" t="str">
        <f t="shared" si="86"/>
        <v>OK</v>
      </c>
    </row>
    <row r="5617" spans="1:4" x14ac:dyDescent="0.2">
      <c r="A5617" s="5">
        <v>5556</v>
      </c>
      <c r="B5617" s="138">
        <f>'Revenues 9-14'!F152</f>
        <v>40352</v>
      </c>
      <c r="D5617" s="2" t="str">
        <f t="shared" si="86"/>
        <v>Error?</v>
      </c>
    </row>
    <row r="5618" spans="1:4" x14ac:dyDescent="0.2">
      <c r="A5618" s="5">
        <v>5557</v>
      </c>
      <c r="B5618" s="138">
        <f>'Revenues 9-14'!F154</f>
        <v>110646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110646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110646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229616</v>
      </c>
      <c r="C5720" s="2" t="s">
        <v>594</v>
      </c>
      <c r="D5720" s="2" t="str">
        <f t="shared" si="88"/>
        <v>Error?</v>
      </c>
    </row>
    <row r="5721" spans="1:4" x14ac:dyDescent="0.2">
      <c r="A5721" s="5">
        <v>5660</v>
      </c>
      <c r="B5721" s="138">
        <f>'Revenues 9-14'!G5</f>
        <v>87777</v>
      </c>
      <c r="D5721" s="2" t="str">
        <f t="shared" si="88"/>
        <v>Error?</v>
      </c>
    </row>
    <row r="5722" spans="1:4" x14ac:dyDescent="0.2">
      <c r="A5722" s="5">
        <v>5661</v>
      </c>
      <c r="B5722" s="138">
        <f>'Revenues 9-14'!G7</f>
        <v>0</v>
      </c>
      <c r="D5722" s="2" t="str">
        <f t="shared" si="88"/>
        <v>Error?</v>
      </c>
    </row>
    <row r="5723" spans="1:4" x14ac:dyDescent="0.2">
      <c r="A5723" s="5">
        <v>5662</v>
      </c>
      <c r="B5723" s="138">
        <f>'Revenues 9-14'!G8</f>
        <v>74378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162155</v>
      </c>
      <c r="C5725" s="2" t="s">
        <v>594</v>
      </c>
      <c r="D5725" s="2" t="str">
        <f t="shared" si="88"/>
        <v>Error?</v>
      </c>
    </row>
    <row r="5726" spans="1:4" x14ac:dyDescent="0.2">
      <c r="A5726" s="5">
        <v>5665</v>
      </c>
      <c r="B5726" s="138">
        <f>'Revenues 9-14'!G14</f>
        <v>82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4249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4331</v>
      </c>
      <c r="C5730" s="2" t="s">
        <v>594</v>
      </c>
      <c r="D5730" s="2" t="str">
        <f t="shared" si="88"/>
        <v>Error?</v>
      </c>
    </row>
    <row r="5731" spans="1:4" x14ac:dyDescent="0.2">
      <c r="A5731" s="5">
        <v>5670</v>
      </c>
      <c r="B5731" s="138">
        <f>'Revenues 9-14'!G65</f>
        <v>632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632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686</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686</v>
      </c>
      <c r="C5869" s="2" t="s">
        <v>594</v>
      </c>
      <c r="D5869" s="2" t="str">
        <f t="shared" si="90"/>
        <v>Error?</v>
      </c>
    </row>
    <row r="5870" spans="1:4" x14ac:dyDescent="0.2">
      <c r="A5870" s="5">
        <v>5809</v>
      </c>
      <c r="B5870" s="138">
        <f>'Revenues 9-14'!G275</f>
        <v>167804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44824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44875</v>
      </c>
      <c r="C5915" s="2" t="s">
        <v>594</v>
      </c>
      <c r="D5915" s="2" t="str">
        <f t="shared" si="91"/>
        <v>Error?</v>
      </c>
    </row>
    <row r="5916" spans="1:4" x14ac:dyDescent="0.2">
      <c r="A5916" s="5">
        <v>5855</v>
      </c>
      <c r="B5916" s="138">
        <f>'Revenues 9-14'!I5</f>
        <v>23026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23026</v>
      </c>
      <c r="C5918" s="2" t="s">
        <v>594</v>
      </c>
      <c r="D5918" s="2" t="str">
        <f t="shared" si="91"/>
        <v>Error?</v>
      </c>
    </row>
    <row r="5919" spans="1:4" x14ac:dyDescent="0.2">
      <c r="A5919" s="5">
        <v>5858</v>
      </c>
      <c r="B5919" s="138">
        <f>'Revenues 9-14'!I14</f>
        <v>12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v>
      </c>
      <c r="C5923" s="2" t="s">
        <v>594</v>
      </c>
      <c r="D5923" s="2" t="str">
        <f t="shared" si="91"/>
        <v>Error?</v>
      </c>
    </row>
    <row r="5924" spans="1:4" x14ac:dyDescent="0.2">
      <c r="A5924" s="5">
        <v>5863</v>
      </c>
      <c r="B5924" s="138">
        <f>'Revenues 9-14'!I65</f>
        <v>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23070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22700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22700</v>
      </c>
      <c r="C5987" s="2" t="s">
        <v>594</v>
      </c>
      <c r="D5987" s="2" t="str">
        <f t="shared" si="92"/>
        <v>Error?</v>
      </c>
    </row>
    <row r="5988" spans="1:4" x14ac:dyDescent="0.2">
      <c r="A5988" s="5">
        <v>5927</v>
      </c>
      <c r="B5988" s="138">
        <f>'Revenues 9-14'!K14</f>
        <v>12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v>
      </c>
      <c r="C5992" s="2" t="s">
        <v>594</v>
      </c>
      <c r="D5992" s="2" t="str">
        <f t="shared" si="92"/>
        <v>Error?</v>
      </c>
    </row>
    <row r="5993" spans="1:4" x14ac:dyDescent="0.2">
      <c r="A5993" s="5">
        <v>5932</v>
      </c>
      <c r="B5993" s="138">
        <f>'Revenues 9-14'!K65</f>
        <v>183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22895</v>
      </c>
      <c r="C6023" s="2" t="s">
        <v>594</v>
      </c>
      <c r="D6023" s="2" t="str">
        <f t="shared" si="93"/>
        <v>Error?</v>
      </c>
    </row>
    <row r="6024" spans="1:5" x14ac:dyDescent="0.2">
      <c r="A6024" s="5">
        <v>5963</v>
      </c>
      <c r="B6024" s="138">
        <f>'Revenues 9-14'!G109</f>
        <v>167118</v>
      </c>
      <c r="C6024" s="2" t="s">
        <v>594</v>
      </c>
      <c r="D6024" s="2" t="str">
        <f t="shared" si="93"/>
        <v>Error?</v>
      </c>
    </row>
    <row r="6025" spans="1:5" x14ac:dyDescent="0.2">
      <c r="A6025" s="5">
        <v>5964</v>
      </c>
      <c r="B6025" s="138">
        <f>'Revenues 9-14'!H109</f>
        <v>44875</v>
      </c>
      <c r="C6025" s="2" t="s">
        <v>594</v>
      </c>
      <c r="D6025" s="2" t="str">
        <f t="shared" si="93"/>
        <v>Error?</v>
      </c>
    </row>
    <row r="6026" spans="1:5" x14ac:dyDescent="0.2">
      <c r="A6026" s="5">
        <v>5965</v>
      </c>
      <c r="B6026" s="138">
        <f>'Revenues 9-14'!I109</f>
        <v>23070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22895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92792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12872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348.06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157934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157934</v>
      </c>
      <c r="D6215" s="2" t="str">
        <f t="shared" si="96"/>
        <v>Error?</v>
      </c>
      <c r="E6215" s="2" t="s">
        <v>199</v>
      </c>
    </row>
    <row r="6216" spans="1:5" x14ac:dyDescent="0.2">
      <c r="A6216">
        <v>6155</v>
      </c>
      <c r="B6216" s="138">
        <f>'Assets-Liab 5-6'!J41</f>
        <v>157934</v>
      </c>
      <c r="D6216" s="2" t="str">
        <f t="shared" si="96"/>
        <v>Error?</v>
      </c>
      <c r="E6216" s="2" t="s">
        <v>199</v>
      </c>
    </row>
    <row r="6217" spans="1:5" x14ac:dyDescent="0.2">
      <c r="A6217">
        <v>6156</v>
      </c>
      <c r="B6217" s="138">
        <f>'Assets-Liab 5-6'!J4</f>
        <v>157934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327547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327547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327547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324716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324716</v>
      </c>
      <c r="D6229" s="2" t="str">
        <f t="shared" si="96"/>
        <v>Error?</v>
      </c>
      <c r="E6229" s="2" t="s">
        <v>199</v>
      </c>
    </row>
    <row r="6230" spans="1:5" x14ac:dyDescent="0.2">
      <c r="A6230">
        <v>6169</v>
      </c>
      <c r="B6230" s="138">
        <f>'Acct Summary 7-8'!J20</f>
        <v>2831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4260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2831</v>
      </c>
      <c r="D6263" s="2" t="str">
        <f t="shared" si="96"/>
        <v>Error?</v>
      </c>
      <c r="E6263" s="2" t="s">
        <v>199</v>
      </c>
    </row>
    <row r="6264" spans="1:5" x14ac:dyDescent="0.2">
      <c r="A6264">
        <v>6203</v>
      </c>
      <c r="B6264" s="138">
        <f>'Acct Summary 7-8'!J79</f>
        <v>155103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157934</v>
      </c>
      <c r="D6266" s="2" t="str">
        <f t="shared" si="96"/>
        <v>Error?</v>
      </c>
      <c r="E6266" s="2" t="s">
        <v>199</v>
      </c>
    </row>
    <row r="6267" spans="1:5" x14ac:dyDescent="0.2">
      <c r="A6267">
        <v>6206</v>
      </c>
      <c r="B6267" s="138">
        <f>'Acct Summary 7-8'!C82</f>
        <v>90174</v>
      </c>
      <c r="D6267" s="2" t="str">
        <f t="shared" si="96"/>
        <v>Error?</v>
      </c>
      <c r="E6267" s="2" t="s">
        <v>199</v>
      </c>
    </row>
    <row r="6268" spans="1:5" x14ac:dyDescent="0.2">
      <c r="A6268">
        <v>6207</v>
      </c>
      <c r="B6268" s="138">
        <f>'Acct Summary 7-8'!D82</f>
        <v>31571</v>
      </c>
      <c r="D6268" s="2" t="str">
        <f t="shared" si="96"/>
        <v>Error?</v>
      </c>
      <c r="E6268" s="2" t="s">
        <v>199</v>
      </c>
    </row>
    <row r="6269" spans="1:5" x14ac:dyDescent="0.2">
      <c r="A6269">
        <v>6208</v>
      </c>
      <c r="B6269" s="138">
        <f>'Acct Summary 7-8'!E82</f>
        <v>-1597</v>
      </c>
      <c r="D6269" s="2" t="str">
        <f t="shared" si="96"/>
        <v>Error?</v>
      </c>
      <c r="E6269" s="2" t="s">
        <v>199</v>
      </c>
    </row>
    <row r="6270" spans="1:5" x14ac:dyDescent="0.2">
      <c r="A6270">
        <v>6209</v>
      </c>
      <c r="B6270" s="138">
        <f>'Acct Summary 7-8'!F82</f>
        <v>53251</v>
      </c>
      <c r="D6270" s="2" t="str">
        <f t="shared" si="96"/>
        <v>Error?</v>
      </c>
      <c r="E6270" s="2" t="s">
        <v>199</v>
      </c>
    </row>
    <row r="6271" spans="1:5" x14ac:dyDescent="0.2">
      <c r="A6271">
        <v>6210</v>
      </c>
      <c r="B6271" s="138">
        <f>'Acct Summary 7-8'!G82</f>
        <v>36839</v>
      </c>
      <c r="D6271" s="2" t="str">
        <f t="shared" ref="D6271:D6334" si="97">IF(ISBLANK(B6271),"OK",IF(A6271-B6271=0,"OK","Error?"))</f>
        <v>Error?</v>
      </c>
      <c r="E6271" s="2" t="s">
        <v>199</v>
      </c>
    </row>
    <row r="6272" spans="1:5" x14ac:dyDescent="0.2">
      <c r="A6272">
        <v>6211</v>
      </c>
      <c r="B6272" s="138">
        <f>'Acct Summary 7-8'!H82</f>
        <v>6701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2831</v>
      </c>
      <c r="D6274" s="2" t="str">
        <f t="shared" si="97"/>
        <v>Error?</v>
      </c>
      <c r="E6274" s="2" t="s">
        <v>199</v>
      </c>
    </row>
    <row r="6275" spans="1:5" x14ac:dyDescent="0.2">
      <c r="A6275">
        <v>6214</v>
      </c>
      <c r="B6275" s="138">
        <f>'Acct Summary 7-8'!K82</f>
        <v>-4951</v>
      </c>
      <c r="D6275" s="2" t="str">
        <f t="shared" si="97"/>
        <v>Error?</v>
      </c>
      <c r="E6275" s="2" t="s">
        <v>199</v>
      </c>
    </row>
    <row r="6276" spans="1:5" x14ac:dyDescent="0.2">
      <c r="A6276">
        <v>6215</v>
      </c>
      <c r="B6276" s="138">
        <f>'Acct Summary 7-8'!C83</f>
        <v>8.7264091601457788E-2</v>
      </c>
      <c r="D6276" s="2" t="str">
        <f t="shared" si="97"/>
        <v>Error?</v>
      </c>
      <c r="E6276" s="2" t="s">
        <v>199</v>
      </c>
    </row>
    <row r="6277" spans="1:5" x14ac:dyDescent="0.2">
      <c r="A6277">
        <v>6216</v>
      </c>
      <c r="B6277" s="138">
        <f>'Acct Summary 7-8'!D83</f>
        <v>7.5925957100908339E-2</v>
      </c>
      <c r="D6277" s="2" t="str">
        <f t="shared" si="97"/>
        <v>Error?</v>
      </c>
      <c r="E6277" s="2" t="s">
        <v>199</v>
      </c>
    </row>
    <row r="6278" spans="1:5" x14ac:dyDescent="0.2">
      <c r="A6278">
        <v>6217</v>
      </c>
      <c r="B6278" s="138">
        <f>'Acct Summary 7-8'!E83</f>
        <v>-1.4617313782561737E-2</v>
      </c>
      <c r="D6278" s="2" t="str">
        <f t="shared" si="97"/>
        <v>Error?</v>
      </c>
      <c r="E6278" s="2" t="s">
        <v>199</v>
      </c>
    </row>
    <row r="6279" spans="1:5" x14ac:dyDescent="0.2">
      <c r="A6279">
        <v>6218</v>
      </c>
      <c r="B6279" s="138">
        <f>'Acct Summary 7-8'!F83</f>
        <v>0.34816863468152159</v>
      </c>
      <c r="D6279" s="2" t="str">
        <f t="shared" si="97"/>
        <v>Error?</v>
      </c>
      <c r="E6279" s="2" t="s">
        <v>199</v>
      </c>
    </row>
    <row r="6280" spans="1:5" x14ac:dyDescent="0.2">
      <c r="A6280">
        <v>6219</v>
      </c>
      <c r="B6280" s="138">
        <f>'Acct Summary 7-8'!G83</f>
        <v>0.15332717344254654</v>
      </c>
      <c r="D6280" s="2" t="str">
        <f t="shared" si="97"/>
        <v>Error?</v>
      </c>
      <c r="E6280" s="2" t="s">
        <v>199</v>
      </c>
    </row>
    <row r="6281" spans="1:5" x14ac:dyDescent="0.2">
      <c r="A6281">
        <v>6220</v>
      </c>
      <c r="B6281" s="138">
        <f>'Acct Summary 7-8'!H83</f>
        <v>0.15659469059637315</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1.7925209264629528E-2</v>
      </c>
      <c r="D6283" s="2" t="str">
        <f t="shared" si="97"/>
        <v>Error?</v>
      </c>
      <c r="E6283" s="2" t="s">
        <v>199</v>
      </c>
    </row>
    <row r="6284" spans="1:5" x14ac:dyDescent="0.2">
      <c r="A6284">
        <v>6223</v>
      </c>
      <c r="B6284" s="138">
        <f>'Acct Summary 7-8'!K83</f>
        <v>-5.6245384833854016E-2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326575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326575</v>
      </c>
      <c r="D6301" s="2" t="str">
        <f t="shared" si="97"/>
        <v>Error?</v>
      </c>
      <c r="E6301" s="2" t="s">
        <v>199</v>
      </c>
    </row>
    <row r="6302" spans="1:5" x14ac:dyDescent="0.2">
      <c r="A6302">
        <v>6241</v>
      </c>
      <c r="B6302" s="138">
        <f>'Revenues 9-14'!J14</f>
        <v>165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165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807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807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4243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327547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4776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64707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95390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7592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42</v>
      </c>
      <c r="D7016" s="2" t="str">
        <f t="shared" si="108"/>
        <v>Error?</v>
      </c>
    </row>
    <row r="7017" spans="1:4" x14ac:dyDescent="0.2">
      <c r="A7017">
        <v>6956</v>
      </c>
      <c r="B7017" s="138">
        <f>'Expenditures 15-22'!K111</f>
        <v>42</v>
      </c>
      <c r="D7017" s="2" t="str">
        <f t="shared" si="108"/>
        <v>Error?</v>
      </c>
    </row>
    <row r="7018" spans="1:4" x14ac:dyDescent="0.2">
      <c r="A7018">
        <v>6957</v>
      </c>
      <c r="B7018" s="138">
        <f>'Expenditures 15-22'!H112</f>
        <v>42</v>
      </c>
      <c r="D7018" s="2" t="str">
        <f t="shared" si="108"/>
        <v>Error?</v>
      </c>
    </row>
    <row r="7019" spans="1:4" x14ac:dyDescent="0.2">
      <c r="A7019">
        <v>6958</v>
      </c>
      <c r="B7019" s="138">
        <f>'Expenditures 15-22'!K112</f>
        <v>42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324716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327547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1931</v>
      </c>
      <c r="D7067" s="2" t="str">
        <f t="shared" si="109"/>
        <v>Error?</v>
      </c>
    </row>
    <row r="7068" spans="1:4" x14ac:dyDescent="0.2">
      <c r="A7068">
        <v>7007</v>
      </c>
      <c r="B7068" s="138">
        <f>'Expenditures 15-22'!K205</f>
        <v>1931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v>
      </c>
      <c r="D7079" s="2" t="str">
        <f t="shared" si="109"/>
        <v>Error?</v>
      </c>
    </row>
    <row r="7080" spans="1:4" x14ac:dyDescent="0.2">
      <c r="A7080">
        <v>7019</v>
      </c>
      <c r="B7080" s="138">
        <f>'Expenditures 15-22'!K226</f>
        <v>71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47470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47470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32629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32629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236119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8498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244617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236119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88597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324716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236119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88597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324716</v>
      </c>
      <c r="D7224" s="2" t="str">
        <f t="shared" si="111"/>
        <v>Error?</v>
      </c>
    </row>
    <row r="7225" spans="1:4" x14ac:dyDescent="0.2">
      <c r="A7225">
        <v>7164</v>
      </c>
      <c r="B7225" s="138">
        <f>'Expenditures 15-22'!K343</f>
        <v>2831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12524</v>
      </c>
      <c r="D7246" s="2" t="str">
        <f t="shared" si="112"/>
        <v>Error?</v>
      </c>
    </row>
    <row r="7247" spans="1:4" x14ac:dyDescent="0.2">
      <c r="A7247">
        <f t="shared" si="113"/>
        <v>7186</v>
      </c>
      <c r="B7247" s="138">
        <f>'Expenditures 15-22'!E7</f>
        <v>8612</v>
      </c>
      <c r="D7247" s="2" t="str">
        <f t="shared" si="112"/>
        <v>Error?</v>
      </c>
    </row>
    <row r="7248" spans="1:4" x14ac:dyDescent="0.2">
      <c r="A7248">
        <f t="shared" si="113"/>
        <v>7187</v>
      </c>
      <c r="B7248" s="138">
        <f>'Expenditures 15-22'!F7</f>
        <v>9547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4220</v>
      </c>
      <c r="D7263" s="2" t="str">
        <f t="shared" si="112"/>
        <v>Error?</v>
      </c>
    </row>
    <row r="7264" spans="1:4" x14ac:dyDescent="0.2">
      <c r="A7264">
        <f t="shared" si="113"/>
        <v>7203</v>
      </c>
      <c r="B7264" s="138">
        <f>'Expenditures 15-22'!D17</f>
        <v>517</v>
      </c>
      <c r="D7264" s="2" t="str">
        <f t="shared" si="112"/>
        <v>Error?</v>
      </c>
    </row>
    <row r="7265" spans="1:5" x14ac:dyDescent="0.2">
      <c r="A7265">
        <f t="shared" si="113"/>
        <v>7204</v>
      </c>
      <c r="B7265" s="138">
        <f>'Expenditures 15-22'!E17</f>
        <v>2376</v>
      </c>
      <c r="D7265" s="2" t="str">
        <f t="shared" si="112"/>
        <v>Error?</v>
      </c>
    </row>
    <row r="7266" spans="1:5" x14ac:dyDescent="0.2">
      <c r="A7266">
        <f t="shared" si="113"/>
        <v>7205</v>
      </c>
      <c r="B7266" s="138">
        <f>'Expenditures 15-22'!F17</f>
        <v>479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60886</v>
      </c>
      <c r="D7615" s="2" t="str">
        <f t="shared" ref="D7615:D7678" si="124">IF(ISBLANK(B7615),"OK",IF(A7615-B7615=0,"OK","Error?"))</f>
        <v>Error?</v>
      </c>
      <c r="E7615" s="2" t="s">
        <v>19</v>
      </c>
    </row>
    <row r="7616" spans="1:5" x14ac:dyDescent="0.2">
      <c r="A7616">
        <f t="shared" si="123"/>
        <v>7555</v>
      </c>
      <c r="B7616" s="138">
        <f>'Cap Outlay Deprec 26'!D14</f>
        <v>3759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64645</v>
      </c>
      <c r="D7618" s="2" t="str">
        <f t="shared" si="124"/>
        <v>Error?</v>
      </c>
      <c r="E7618" s="2" t="s">
        <v>19</v>
      </c>
    </row>
    <row r="7619" spans="1:5" x14ac:dyDescent="0.2">
      <c r="A7619">
        <f t="shared" si="123"/>
        <v>7558</v>
      </c>
      <c r="B7619" s="138">
        <f>'Cap Outlay Deprec 26'!H14</f>
        <v>48282</v>
      </c>
      <c r="D7619" s="2" t="str">
        <f t="shared" si="124"/>
        <v>Error?</v>
      </c>
      <c r="E7619" s="2" t="s">
        <v>19</v>
      </c>
    </row>
    <row r="7620" spans="1:5" x14ac:dyDescent="0.2">
      <c r="A7620">
        <f t="shared" si="123"/>
        <v>7559</v>
      </c>
      <c r="B7620" s="138">
        <f>'Cap Outlay Deprec 26'!I14</f>
        <v>8392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56674</v>
      </c>
      <c r="D7622" s="2" t="str">
        <f t="shared" si="124"/>
        <v>Error?</v>
      </c>
      <c r="E7622" s="2" t="s">
        <v>19</v>
      </c>
    </row>
    <row r="7623" spans="1:5" x14ac:dyDescent="0.2">
      <c r="A7623">
        <f t="shared" si="123"/>
        <v>7562</v>
      </c>
      <c r="B7623" s="138">
        <f>'Cap Outlay Deprec 26'!L14</f>
        <v>7971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245864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146942</v>
      </c>
      <c r="D7708" s="2" t="str">
        <f t="shared" si="126"/>
        <v>Error?</v>
      </c>
      <c r="E7708" s="2" t="s">
        <v>881</v>
      </c>
    </row>
    <row r="7709" spans="1:5" x14ac:dyDescent="0.2">
      <c r="A7709">
        <v>7648</v>
      </c>
      <c r="B7709" s="138">
        <f>'Rest Tax Levies-Tort Im 25'!K3</f>
        <v>9807</v>
      </c>
      <c r="D7709" s="2" t="str">
        <f t="shared" si="126"/>
        <v>Error?</v>
      </c>
      <c r="E7709" s="2" t="s">
        <v>881</v>
      </c>
    </row>
    <row r="7710" spans="1:5" x14ac:dyDescent="0.2">
      <c r="A7710">
        <v>7649</v>
      </c>
      <c r="B7710" s="138">
        <f>'Rest Tax Levies-Tort Im 25'!J6</f>
        <v>405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4243</v>
      </c>
      <c r="D7712" s="2" t="str">
        <f t="shared" si="126"/>
        <v>Error?</v>
      </c>
      <c r="E7712" s="2" t="s">
        <v>881</v>
      </c>
    </row>
    <row r="7713" spans="1:6" x14ac:dyDescent="0.2">
      <c r="A7713">
        <v>7652</v>
      </c>
      <c r="B7713" s="138">
        <f>'Rest Tax Levies-Tort Im 25'!J8</f>
        <v>189933</v>
      </c>
      <c r="D7713" s="2" t="str">
        <f t="shared" si="126"/>
        <v>Error?</v>
      </c>
      <c r="E7713" s="2" t="s">
        <v>881</v>
      </c>
    </row>
    <row r="7714" spans="1:6" x14ac:dyDescent="0.2">
      <c r="A7714">
        <v>7653</v>
      </c>
      <c r="B7714" s="138">
        <f>'Rest Tax Levies-Tort Im 25'!K9</f>
        <v>4823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190338</v>
      </c>
      <c r="D7718" s="2" t="str">
        <f t="shared" si="126"/>
        <v>Error?</v>
      </c>
      <c r="E7718" s="2" t="s">
        <v>881</v>
      </c>
    </row>
    <row r="7719" spans="1:6" x14ac:dyDescent="0.2">
      <c r="A7719">
        <v>7658</v>
      </c>
      <c r="B7719" s="138">
        <f>'Rest Tax Levies-Tort Im 25'!K12</f>
        <v>9066</v>
      </c>
      <c r="D7719" s="2" t="str">
        <f t="shared" si="126"/>
        <v>Error?</v>
      </c>
      <c r="E7719" s="2" t="s">
        <v>881</v>
      </c>
    </row>
    <row r="7720" spans="1:6" x14ac:dyDescent="0.2">
      <c r="A7720">
        <v>7659</v>
      </c>
      <c r="B7720" s="138">
        <f>'Rest Tax Levies-Tort Im 25'!H14</f>
        <v>18562</v>
      </c>
      <c r="D7720" s="2" t="str">
        <f t="shared" si="126"/>
        <v>Error?</v>
      </c>
      <c r="E7720" s="2" t="s">
        <v>881</v>
      </c>
    </row>
    <row r="7721" spans="1:6" x14ac:dyDescent="0.2">
      <c r="A7721">
        <v>7660</v>
      </c>
      <c r="B7721" s="138">
        <f>'Rest Tax Levies-Tort Im 25'!K14</f>
        <v>7592</v>
      </c>
      <c r="D7721" s="2" t="str">
        <f t="shared" si="126"/>
        <v>Error?</v>
      </c>
      <c r="E7721" s="2" t="s">
        <v>881</v>
      </c>
    </row>
    <row r="7722" spans="1:6" x14ac:dyDescent="0.2">
      <c r="A7722">
        <v>7661</v>
      </c>
      <c r="B7722" s="138">
        <f>'Rest Tax Levies-Tort Im 25'!J15</f>
        <v>38174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147060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147060</v>
      </c>
      <c r="D7727" s="2" t="str">
        <f t="shared" si="126"/>
        <v>Error?</v>
      </c>
      <c r="E7727" s="2" t="s">
        <v>881</v>
      </c>
    </row>
    <row r="7728" spans="1:6" x14ac:dyDescent="0.2">
      <c r="A7728">
        <v>7667</v>
      </c>
      <c r="B7728" s="138">
        <f>'Revenues 9-14'!E103</f>
        <v>145109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185234</v>
      </c>
      <c r="D7730" s="2" t="str">
        <f t="shared" si="126"/>
        <v>Error?</v>
      </c>
      <c r="E7730" s="2" t="s">
        <v>881</v>
      </c>
    </row>
    <row r="7731" spans="1:6" x14ac:dyDescent="0.2">
      <c r="A7731">
        <v>7670</v>
      </c>
      <c r="B7731" s="138">
        <f>'Revenues 9-14'!H103</f>
        <v>44824</v>
      </c>
      <c r="D7731" s="2" t="str">
        <f t="shared" si="126"/>
        <v>Error?</v>
      </c>
      <c r="E7731" s="2" t="s">
        <v>881</v>
      </c>
    </row>
    <row r="7732" spans="1:6" x14ac:dyDescent="0.2">
      <c r="A7732">
        <v>7671</v>
      </c>
      <c r="B7732" s="138">
        <f>'Rest Tax Levies-Tort Im 25'!J24</f>
        <v>152046</v>
      </c>
      <c r="D7732" s="2" t="str">
        <f t="shared" si="126"/>
        <v>Error?</v>
      </c>
      <c r="E7732" s="2" t="s">
        <v>881</v>
      </c>
    </row>
    <row r="7733" spans="1:6" x14ac:dyDescent="0.2">
      <c r="A7733">
        <v>7672</v>
      </c>
      <c r="B7733" s="138">
        <f>'Rest Tax Levies-Tort Im 25'!K24</f>
        <v>11281</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152046</v>
      </c>
      <c r="D7737" s="2" t="str">
        <f t="shared" si="126"/>
        <v>Error?</v>
      </c>
      <c r="E7737" s="2" t="s">
        <v>881</v>
      </c>
    </row>
    <row r="7738" spans="1:6" x14ac:dyDescent="0.2">
      <c r="A7738">
        <v>7677</v>
      </c>
      <c r="B7738" s="138">
        <f>'Rest Tax Levies-Tort Im 25'!K25</f>
        <v>11281</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12753</v>
      </c>
      <c r="D7797" s="2" t="str">
        <f t="shared" si="127"/>
        <v>Error?</v>
      </c>
      <c r="E7797" s="4" t="s">
        <v>2019</v>
      </c>
    </row>
    <row r="7798" spans="1:5" x14ac:dyDescent="0.2">
      <c r="A7798">
        <v>7737</v>
      </c>
      <c r="B7798" s="138">
        <f>'Contracts Paid in CY 29'!F141</f>
        <v>12753</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22" sqref="I22:S2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Triopia CUSD 27</v>
      </c>
      <c r="B7" s="2403"/>
      <c r="C7" s="2403"/>
      <c r="D7" s="2440"/>
      <c r="E7" s="2441">
        <f>COVER!A13</f>
        <v>1069027026</v>
      </c>
      <c r="F7" s="2442"/>
      <c r="G7" s="2409" t="str">
        <f>COVER!T23</f>
        <v>066-004993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Zumbahlen, Eyth, Surrat, Foote, and Flynn, Ltd.</v>
      </c>
      <c r="H9" s="2416"/>
      <c r="I9" s="2416"/>
      <c r="J9" s="2416"/>
      <c r="K9" s="2416"/>
      <c r="L9" s="2417"/>
    </row>
    <row r="10" spans="1:29" ht="13.5" customHeight="1" x14ac:dyDescent="0.2">
      <c r="A10" s="2399" t="str">
        <f>COVER!A38</f>
        <v>Steve Eisenhauer</v>
      </c>
      <c r="B10" s="2400"/>
      <c r="C10" s="2400"/>
      <c r="D10" s="2400"/>
      <c r="E10" s="2400"/>
      <c r="F10" s="2401"/>
      <c r="G10" s="2415" t="str">
        <f>COVER!T17</f>
        <v>1395 Lincoln Avenue</v>
      </c>
      <c r="H10" s="2428"/>
      <c r="I10" s="2428"/>
      <c r="J10" s="2428"/>
      <c r="K10" s="2428"/>
      <c r="L10" s="2429"/>
    </row>
    <row r="11" spans="1:29" ht="13.5" customHeight="1" x14ac:dyDescent="0.2">
      <c r="A11" s="1185" t="s">
        <v>1599</v>
      </c>
      <c r="B11" s="1186"/>
      <c r="C11" s="1187"/>
      <c r="D11" s="1192"/>
      <c r="E11" s="1187"/>
      <c r="F11" s="1191"/>
      <c r="G11" s="2415" t="str">
        <f>COVER!T19</f>
        <v>Jacksonville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cfoote@zescpa.com</v>
      </c>
      <c r="J13" s="2437"/>
      <c r="K13" s="2437"/>
      <c r="L13" s="2438"/>
    </row>
    <row r="14" spans="1:29" ht="13.5" customHeight="1" x14ac:dyDescent="0.2">
      <c r="A14" s="2415" t="str">
        <f>COVER!A19</f>
        <v>2204 Concord Arenzville Road</v>
      </c>
      <c r="B14" s="2428"/>
      <c r="C14" s="2428"/>
      <c r="D14" s="2428"/>
      <c r="E14" s="2428"/>
      <c r="F14" s="2429"/>
      <c r="G14" s="1196" t="s">
        <v>1247</v>
      </c>
      <c r="H14" s="1194"/>
      <c r="I14" s="1194"/>
      <c r="J14" s="1194"/>
      <c r="K14" s="1194"/>
      <c r="L14" s="1195"/>
    </row>
    <row r="15" spans="1:29" ht="13.5" customHeight="1" x14ac:dyDescent="0.2">
      <c r="A15" s="2415" t="str">
        <f>COVER!A21</f>
        <v>Concord</v>
      </c>
      <c r="B15" s="2428"/>
      <c r="C15" s="2428"/>
      <c r="D15" s="2428"/>
      <c r="E15" s="2428"/>
      <c r="F15" s="2429"/>
      <c r="G15" s="2425" t="str">
        <f>COVER!T15</f>
        <v>Cynthia S. Foote</v>
      </c>
      <c r="H15" s="2426"/>
      <c r="I15" s="2426"/>
      <c r="J15" s="2426"/>
      <c r="K15" s="2426"/>
      <c r="L15" s="2427"/>
    </row>
    <row r="16" spans="1:29" ht="12.2" customHeight="1" x14ac:dyDescent="0.2">
      <c r="A16" s="2405">
        <f>COVER!A25</f>
        <v>62631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217-245-5121</v>
      </c>
      <c r="H18" s="2403"/>
      <c r="I18" s="2403"/>
      <c r="J18" s="2403"/>
      <c r="K18" s="2402" t="str">
        <f>COVER!X21</f>
        <v>217-243-3356</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I22" sqref="I22:S2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Triopia CUSD 27</v>
      </c>
      <c r="B1" s="2439"/>
      <c r="C1" s="2439"/>
      <c r="D1" s="2439"/>
    </row>
    <row r="2" spans="1:11" s="1215" customFormat="1" ht="12.75" x14ac:dyDescent="0.2">
      <c r="A2" s="2444">
        <f>'Single Audit Cover'!E7</f>
        <v>1069027026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Triopia CUSD 27</v>
      </c>
      <c r="B1" s="2447"/>
      <c r="C1" s="2447"/>
      <c r="D1" s="2447"/>
      <c r="E1" s="2447"/>
    </row>
    <row r="2" spans="1:5" x14ac:dyDescent="0.2">
      <c r="A2" s="2448">
        <f>'Single Audit Cover'!E7</f>
        <v>1069027026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193876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12872</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-13957</v>
      </c>
    </row>
    <row r="19" spans="1:4" ht="13.5" thickBot="1" x14ac:dyDescent="0.25">
      <c r="A19" s="1265" t="s">
        <v>1297</v>
      </c>
      <c r="D19" s="1266">
        <f>SUM(D10:D17)</f>
        <v>192791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192791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192791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22" sqref="I22:S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Triopia CUSD 27</v>
      </c>
      <c r="B1" s="2452"/>
      <c r="C1" s="2452"/>
      <c r="D1" s="2452"/>
      <c r="E1" s="2452"/>
      <c r="F1" s="2452"/>
    </row>
    <row r="2" spans="1:7" ht="13.5" customHeight="1" x14ac:dyDescent="0.2">
      <c r="A2" s="2453">
        <f>'Single Audit Cover'!E7</f>
        <v>1069027026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Triopia CUSD 27</v>
      </c>
      <c r="C1" s="2464"/>
      <c r="D1" s="2464"/>
      <c r="E1" s="2464"/>
      <c r="F1" s="2464"/>
      <c r="G1" s="2464"/>
      <c r="H1" s="2464"/>
      <c r="I1" s="2464"/>
      <c r="J1" s="2464"/>
      <c r="K1" s="2464"/>
      <c r="L1" s="2464"/>
      <c r="M1" s="2464"/>
    </row>
    <row r="2" spans="2:14" ht="15" x14ac:dyDescent="0.2">
      <c r="B2" s="2453">
        <f>'Single Audit Cover'!E7</f>
        <v>1069027026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2105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I22" sqref="I22:S2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Triopia CUSD 27</v>
      </c>
      <c r="C1" s="2472"/>
      <c r="D1" s="2472"/>
      <c r="E1" s="2472"/>
      <c r="F1" s="2472"/>
      <c r="G1" s="2472"/>
      <c r="H1" s="2472"/>
      <c r="I1" s="2472"/>
      <c r="J1" s="1422"/>
    </row>
    <row r="2" spans="2:10" s="317" customFormat="1" ht="12.75" customHeight="1" x14ac:dyDescent="0.2">
      <c r="B2" s="2473">
        <f>'Single Audit Cover'!E7</f>
        <v>1069027026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Triopia CUSD 27</v>
      </c>
      <c r="C1" s="2471"/>
      <c r="D1" s="2471"/>
      <c r="E1" s="2471"/>
      <c r="F1" s="2471"/>
      <c r="G1" s="2471"/>
      <c r="H1" s="2471"/>
      <c r="I1" s="2471"/>
      <c r="J1" s="2471"/>
      <c r="K1" s="2471"/>
      <c r="L1" s="1374"/>
      <c r="M1" s="1374"/>
    </row>
    <row r="2" spans="1:13" ht="12" customHeight="1" x14ac:dyDescent="0.2">
      <c r="B2" s="2473">
        <f>'Single Audit Cover'!E7</f>
        <v>1069027026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Triopia CUSD 27</v>
      </c>
      <c r="C1" s="2498"/>
      <c r="D1" s="2498"/>
      <c r="E1" s="2498"/>
      <c r="F1" s="2498"/>
      <c r="G1" s="2498"/>
      <c r="H1" s="2498"/>
      <c r="I1" s="2498"/>
      <c r="J1" s="2498"/>
      <c r="K1" s="2498"/>
      <c r="L1" s="1465"/>
    </row>
    <row r="2" spans="1:12" ht="12.75" customHeight="1" x14ac:dyDescent="0.2">
      <c r="B2" s="2499">
        <f>'Single Audit Cover'!E7</f>
        <v>1069027026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Triopia CUSD 27</v>
      </c>
      <c r="C1" s="2471"/>
      <c r="D1" s="2471"/>
      <c r="E1" s="1491"/>
    </row>
    <row r="2" spans="2:5" s="1282" customFormat="1" ht="12.75" customHeight="1" x14ac:dyDescent="0.2">
      <c r="B2" s="2473">
        <f>'Single Audit Cover'!E7</f>
        <v>1069027026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48949689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2.6499999999999999E-2</v>
      </c>
      <c r="E10" s="356" t="s">
        <v>1062</v>
      </c>
      <c r="F10" s="355">
        <v>5.0000000000000001E-3</v>
      </c>
      <c r="G10" s="356" t="s">
        <v>1062</v>
      </c>
      <c r="H10" s="355">
        <v>2E-3</v>
      </c>
      <c r="I10" s="356" t="s">
        <v>1063</v>
      </c>
      <c r="J10" s="1754">
        <f>ROUND(D10+F10+H10,5)</f>
        <v>3.3500000000000002E-2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3464469</v>
      </c>
      <c r="E16" s="356"/>
      <c r="F16" s="1755">
        <f>SUM('Acct Summary 7-8'!C17,'Acct Summary 7-8'!D17,'Acct Summary 7-8'!F17)</f>
        <v>3459135</v>
      </c>
      <c r="G16" s="356"/>
      <c r="H16" s="1755">
        <f>SUM(D16-F16)</f>
        <v>5334</v>
      </c>
      <c r="I16" s="222"/>
      <c r="J16" s="1755">
        <f>SUM('Acct Summary 7-8'!C81,'Acct Summary 7-8'!D81,'Acct Summary 7-8'!F81,'Acct Summary 7-8'!I81)</f>
        <v>1602105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6755057.0820000004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4318922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I22" sqref="I22:S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Triopia CUSD 27</v>
      </c>
      <c r="E7" s="391"/>
      <c r="G7" s="252"/>
      <c r="H7" s="387"/>
      <c r="I7" s="387"/>
      <c r="J7" s="387"/>
      <c r="K7" s="387"/>
      <c r="L7" s="329"/>
      <c r="M7" s="329"/>
      <c r="N7" s="329"/>
      <c r="O7" s="329"/>
      <c r="P7" s="329"/>
    </row>
    <row r="8" spans="1:18" ht="12.75" x14ac:dyDescent="0.2">
      <c r="A8" s="329"/>
      <c r="B8" s="329"/>
      <c r="C8" s="389" t="s">
        <v>1187</v>
      </c>
      <c r="D8" s="392">
        <f>COVER!A13</f>
        <v>1069027026</v>
      </c>
      <c r="E8" s="393"/>
      <c r="G8" s="329"/>
      <c r="H8" s="329"/>
      <c r="I8" s="329"/>
      <c r="J8" s="329"/>
      <c r="K8" s="329"/>
      <c r="L8" s="329"/>
      <c r="M8" s="329"/>
      <c r="N8" s="329"/>
      <c r="O8" s="329"/>
      <c r="P8" s="329"/>
    </row>
    <row r="9" spans="1:18" ht="12.75" x14ac:dyDescent="0.2">
      <c r="A9" s="329"/>
      <c r="B9" s="329"/>
      <c r="C9" s="389" t="s">
        <v>737</v>
      </c>
      <c r="D9" s="394" t="str">
        <f>COVER!A15</f>
        <v>Morgan, Cass, Scott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1602105</v>
      </c>
      <c r="I12" s="404"/>
      <c r="J12" s="404"/>
      <c r="K12" s="405">
        <f>TRUNC((H12/H13*100000),5)/100000</f>
        <v>0.46300815929999994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3460209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-4260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3459135</v>
      </c>
      <c r="I17" s="404"/>
      <c r="J17" s="416"/>
      <c r="K17" s="405">
        <f>TRUNC((H17/H18*100000),5)/100000</f>
        <v>0.99968961410000001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3460209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-4260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1602105</v>
      </c>
      <c r="I24" s="422"/>
      <c r="J24" s="422"/>
      <c r="K24" s="423">
        <f>TRUNC(((H24/H25*100000)/100000),2)</f>
        <v>166.73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9608.7083299999995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1393842.3942799999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4318922</v>
      </c>
      <c r="I32" s="420"/>
      <c r="J32" s="420"/>
      <c r="K32" s="423">
        <f>TRUNC(100-((((H32/H33*100))*100)/100),2)</f>
        <v>36.06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6755057.0820000004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I22" sqref="I22:S22"/>
      <selection pane="bottomLeft" activeCell="I22" sqref="I22:S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1033346</v>
      </c>
      <c r="D4" s="466">
        <v>415813</v>
      </c>
      <c r="E4" s="466">
        <v>109254</v>
      </c>
      <c r="F4" s="466">
        <v>152946</v>
      </c>
      <c r="G4" s="466">
        <v>240264</v>
      </c>
      <c r="H4" s="466">
        <v>42792</v>
      </c>
      <c r="I4" s="466"/>
      <c r="J4" s="467">
        <v>157934</v>
      </c>
      <c r="K4" s="466">
        <v>88025</v>
      </c>
      <c r="L4" s="466">
        <v>124087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1033346</v>
      </c>
      <c r="D13" s="1759">
        <f t="shared" ref="D13:L13" si="0">SUM(D4:D12)</f>
        <v>415813</v>
      </c>
      <c r="E13" s="1759">
        <f t="shared" si="0"/>
        <v>109254</v>
      </c>
      <c r="F13" s="1759">
        <f t="shared" si="0"/>
        <v>152946</v>
      </c>
      <c r="G13" s="1759">
        <f t="shared" si="0"/>
        <v>240264</v>
      </c>
      <c r="H13" s="1759">
        <f t="shared" si="0"/>
        <v>42792</v>
      </c>
      <c r="I13" s="1759">
        <f t="shared" si="0"/>
        <v>0</v>
      </c>
      <c r="J13" s="1759">
        <f t="shared" si="0"/>
        <v>157934</v>
      </c>
      <c r="K13" s="1759">
        <f t="shared" si="0"/>
        <v>88025</v>
      </c>
      <c r="L13" s="1759">
        <f t="shared" si="0"/>
        <v>124087</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59192</v>
      </c>
      <c r="N16" s="484"/>
    </row>
    <row r="17" spans="1:14" s="485" customFormat="1" ht="12.75" customHeight="1" x14ac:dyDescent="0.2">
      <c r="A17" s="482" t="s">
        <v>1470</v>
      </c>
      <c r="B17" s="483">
        <v>230</v>
      </c>
      <c r="C17" s="477"/>
      <c r="D17" s="477"/>
      <c r="E17" s="477"/>
      <c r="F17" s="477"/>
      <c r="G17" s="477"/>
      <c r="H17" s="477"/>
      <c r="I17" s="477"/>
      <c r="J17" s="477"/>
      <c r="K17" s="477"/>
      <c r="L17" s="477"/>
      <c r="M17" s="467">
        <v>8116865</v>
      </c>
      <c r="N17" s="484"/>
    </row>
    <row r="18" spans="1:14" s="485" customFormat="1" ht="12.75" customHeight="1" x14ac:dyDescent="0.2">
      <c r="A18" s="482" t="s">
        <v>1471</v>
      </c>
      <c r="B18" s="483">
        <v>240</v>
      </c>
      <c r="C18" s="477"/>
      <c r="D18" s="477"/>
      <c r="E18" s="477"/>
      <c r="F18" s="477"/>
      <c r="G18" s="477"/>
      <c r="H18" s="477"/>
      <c r="I18" s="477"/>
      <c r="J18" s="477"/>
      <c r="K18" s="477"/>
      <c r="L18" s="477"/>
      <c r="M18" s="467">
        <v>370354</v>
      </c>
      <c r="N18" s="484"/>
    </row>
    <row r="19" spans="1:14" s="485" customFormat="1" ht="12.75" customHeight="1" x14ac:dyDescent="0.2">
      <c r="A19" s="482" t="s">
        <v>1472</v>
      </c>
      <c r="B19" s="483">
        <v>250</v>
      </c>
      <c r="C19" s="477"/>
      <c r="D19" s="477"/>
      <c r="E19" s="477"/>
      <c r="F19" s="477"/>
      <c r="G19" s="477"/>
      <c r="H19" s="477"/>
      <c r="I19" s="477"/>
      <c r="J19" s="477"/>
      <c r="K19" s="477"/>
      <c r="L19" s="477"/>
      <c r="M19" s="467">
        <v>1598561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109254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4209668</v>
      </c>
    </row>
    <row r="23" spans="1:14" ht="13.5" customHeight="1" thickBot="1" x14ac:dyDescent="0.25">
      <c r="A23" s="1758" t="s">
        <v>664</v>
      </c>
      <c r="B23" s="1763"/>
      <c r="C23" s="468"/>
      <c r="D23" s="468"/>
      <c r="E23" s="468"/>
      <c r="F23" s="468"/>
      <c r="G23" s="468"/>
      <c r="H23" s="468"/>
      <c r="I23" s="468"/>
      <c r="J23" s="468"/>
      <c r="K23" s="468"/>
      <c r="L23" s="468"/>
      <c r="M23" s="1710">
        <f>SUM(M15:M22)</f>
        <v>10144972</v>
      </c>
      <c r="N23" s="1710">
        <f>SUM(N21:N22)</f>
        <v>4318922</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124087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124087</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4318922</v>
      </c>
    </row>
    <row r="37" spans="1:14" ht="13.5" thickBot="1" x14ac:dyDescent="0.25">
      <c r="A37" s="1758" t="s">
        <v>674</v>
      </c>
      <c r="B37" s="1763"/>
      <c r="C37" s="477"/>
      <c r="D37" s="477"/>
      <c r="E37" s="477"/>
      <c r="F37" s="477"/>
      <c r="G37" s="477"/>
      <c r="H37" s="477"/>
      <c r="I37" s="477"/>
      <c r="J37" s="477"/>
      <c r="K37" s="477"/>
      <c r="L37" s="480"/>
      <c r="M37" s="468"/>
      <c r="N37" s="1710">
        <f>SUM(N36:N36)</f>
        <v>4318922</v>
      </c>
    </row>
    <row r="38" spans="1:14" s="329" customFormat="1" ht="13.5" customHeight="1" thickTop="1" x14ac:dyDescent="0.2">
      <c r="A38" s="496" t="s">
        <v>440</v>
      </c>
      <c r="B38" s="483">
        <v>714</v>
      </c>
      <c r="C38" s="466">
        <v>108024</v>
      </c>
      <c r="D38" s="466"/>
      <c r="E38" s="466">
        <v>109254</v>
      </c>
      <c r="F38" s="466"/>
      <c r="G38" s="466">
        <v>32640</v>
      </c>
      <c r="H38" s="466">
        <v>42792</v>
      </c>
      <c r="I38" s="466"/>
      <c r="J38" s="467"/>
      <c r="K38" s="466"/>
      <c r="L38" s="481"/>
      <c r="M38" s="497"/>
      <c r="N38" s="497"/>
    </row>
    <row r="39" spans="1:14" s="329" customFormat="1" ht="13.5" customHeight="1" x14ac:dyDescent="0.2">
      <c r="A39" s="496" t="s">
        <v>360</v>
      </c>
      <c r="B39" s="483">
        <v>730</v>
      </c>
      <c r="C39" s="466">
        <v>925322</v>
      </c>
      <c r="D39" s="466">
        <v>415813</v>
      </c>
      <c r="E39" s="466"/>
      <c r="F39" s="466">
        <v>152946</v>
      </c>
      <c r="G39" s="466">
        <v>207624</v>
      </c>
      <c r="H39" s="466"/>
      <c r="I39" s="466"/>
      <c r="J39" s="467">
        <v>157934</v>
      </c>
      <c r="K39" s="466">
        <v>88025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10144972</v>
      </c>
      <c r="N40" s="497"/>
    </row>
    <row r="41" spans="1:14" ht="13.5" customHeight="1" thickBot="1" x14ac:dyDescent="0.25">
      <c r="A41" s="1758" t="s">
        <v>676</v>
      </c>
      <c r="B41" s="1728"/>
      <c r="C41" s="1710">
        <f>(SUM(C34,C37,C38,C39))</f>
        <v>1033346</v>
      </c>
      <c r="D41" s="1710">
        <f t="shared" ref="D41:L41" si="2">SUM(D34,D37,D38:D39)</f>
        <v>415813</v>
      </c>
      <c r="E41" s="1710">
        <f t="shared" si="2"/>
        <v>109254</v>
      </c>
      <c r="F41" s="1710">
        <f t="shared" si="2"/>
        <v>152946</v>
      </c>
      <c r="G41" s="1710">
        <f t="shared" si="2"/>
        <v>240264</v>
      </c>
      <c r="H41" s="1710">
        <f t="shared" si="2"/>
        <v>42792</v>
      </c>
      <c r="I41" s="1710">
        <f t="shared" si="2"/>
        <v>0</v>
      </c>
      <c r="J41" s="1710">
        <f t="shared" si="2"/>
        <v>157934</v>
      </c>
      <c r="K41" s="1710">
        <f t="shared" si="2"/>
        <v>88025</v>
      </c>
      <c r="L41" s="1710">
        <f t="shared" si="2"/>
        <v>124087</v>
      </c>
      <c r="M41" s="1710">
        <f>SUM(M40)</f>
        <v>10144972</v>
      </c>
      <c r="N41" s="1710">
        <f>SUM(N37)</f>
        <v>4318922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I22" sqref="I22:S22"/>
      <selection pane="bottomLeft" activeCell="I22" sqref="I22:S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1572043</v>
      </c>
      <c r="D4" s="1764">
        <f>'Revenues 9-14'!D109</f>
        <v>238575</v>
      </c>
      <c r="E4" s="1764">
        <f>'Revenues 9-14'!E109</f>
        <v>317203</v>
      </c>
      <c r="F4" s="1764">
        <f>'Revenues 9-14'!F109</f>
        <v>118970</v>
      </c>
      <c r="G4" s="1764">
        <f>'Revenues 9-14'!G109</f>
        <v>167118</v>
      </c>
      <c r="H4" s="1764">
        <f>'Revenues 9-14'!H109</f>
        <v>44875</v>
      </c>
      <c r="I4" s="1764">
        <f>'Revenues 9-14'!I109</f>
        <v>23070</v>
      </c>
      <c r="J4" s="1764">
        <f>'Revenues 9-14'!J109</f>
        <v>327547</v>
      </c>
      <c r="K4" s="1764">
        <f>'Revenues 9-14'!K109</f>
        <v>22895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1207975</v>
      </c>
      <c r="D6" s="1765">
        <f>'Revenues 9-14'!D173</f>
        <v>0</v>
      </c>
      <c r="E6" s="1765">
        <f>'Revenues 9-14'!E173</f>
        <v>0</v>
      </c>
      <c r="F6" s="1765">
        <f>'Revenues 9-14'!F173</f>
        <v>110646</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193190</v>
      </c>
      <c r="D7" s="1765">
        <f>'Revenues 9-14'!D274</f>
        <v>0</v>
      </c>
      <c r="E7" s="1765">
        <f>'Revenues 9-14'!E274</f>
        <v>0</v>
      </c>
      <c r="F7" s="1765">
        <f>'Revenues 9-14'!F274</f>
        <v>0</v>
      </c>
      <c r="G7" s="1765">
        <f>'Revenues 9-14'!G274</f>
        <v>686</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2973208</v>
      </c>
      <c r="D8" s="1710">
        <f t="shared" ref="D8:K8" si="0">SUM(D4:D7)</f>
        <v>238575</v>
      </c>
      <c r="E8" s="1710">
        <f t="shared" si="0"/>
        <v>317203</v>
      </c>
      <c r="F8" s="1710">
        <f t="shared" si="0"/>
        <v>229616</v>
      </c>
      <c r="G8" s="1710">
        <f t="shared" si="0"/>
        <v>167804</v>
      </c>
      <c r="H8" s="1710">
        <f t="shared" si="0"/>
        <v>44875</v>
      </c>
      <c r="I8" s="1710">
        <f t="shared" si="0"/>
        <v>23070</v>
      </c>
      <c r="J8" s="1710">
        <f t="shared" si="0"/>
        <v>327547</v>
      </c>
      <c r="K8" s="1710">
        <f t="shared" si="0"/>
        <v>22895</v>
      </c>
      <c r="L8" s="347"/>
    </row>
    <row r="9" spans="1:13" ht="15.75" thickTop="1" x14ac:dyDescent="0.2">
      <c r="A9" s="514" t="s">
        <v>1752</v>
      </c>
      <c r="B9" s="515">
        <v>3998</v>
      </c>
      <c r="C9" s="481">
        <f>1298245+21630</f>
        <v>1319875</v>
      </c>
      <c r="D9" s="516"/>
      <c r="E9" s="481"/>
      <c r="F9" s="481"/>
      <c r="G9" s="517"/>
      <c r="H9" s="481"/>
      <c r="I9" s="509" t="s">
        <v>1231</v>
      </c>
      <c r="J9" s="478"/>
      <c r="K9" s="481"/>
      <c r="L9" s="347"/>
    </row>
    <row r="10" spans="1:13" s="519" customFormat="1" ht="13.5" thickBot="1" x14ac:dyDescent="0.25">
      <c r="A10" s="1758" t="s">
        <v>1235</v>
      </c>
      <c r="B10" s="1731"/>
      <c r="C10" s="1710">
        <f>SUM(C8:C9)</f>
        <v>4293083</v>
      </c>
      <c r="D10" s="1710">
        <f t="shared" ref="D10:K10" si="1">SUM(D8:D9)</f>
        <v>238575</v>
      </c>
      <c r="E10" s="1710">
        <f t="shared" si="1"/>
        <v>317203</v>
      </c>
      <c r="F10" s="1710">
        <f t="shared" si="1"/>
        <v>229616</v>
      </c>
      <c r="G10" s="1710">
        <f t="shared" si="1"/>
        <v>167804</v>
      </c>
      <c r="H10" s="1710">
        <f t="shared" si="1"/>
        <v>44875</v>
      </c>
      <c r="I10" s="1710">
        <f t="shared" si="1"/>
        <v>23070</v>
      </c>
      <c r="J10" s="1710">
        <f t="shared" si="1"/>
        <v>327547</v>
      </c>
      <c r="K10" s="1710">
        <f t="shared" si="1"/>
        <v>22895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2001757</v>
      </c>
      <c r="D12" s="520" t="s">
        <v>1231</v>
      </c>
      <c r="E12" s="468" t="s">
        <v>1231</v>
      </c>
      <c r="F12" s="468" t="s">
        <v>1231</v>
      </c>
      <c r="G12" s="1764">
        <f>'Expenditures 15-22'!K229</f>
        <v>54429</v>
      </c>
      <c r="H12" s="521"/>
      <c r="I12" s="468" t="s">
        <v>1231</v>
      </c>
      <c r="J12" s="468" t="s">
        <v>1231</v>
      </c>
      <c r="K12" s="521" t="s">
        <v>1231</v>
      </c>
      <c r="L12" s="347"/>
    </row>
    <row r="13" spans="1:13" ht="15.75" customHeight="1" x14ac:dyDescent="0.2">
      <c r="A13" s="1598" t="s">
        <v>477</v>
      </c>
      <c r="B13" s="1600">
        <v>2000</v>
      </c>
      <c r="C13" s="1765">
        <f>'Expenditures 15-22'!K74</f>
        <v>759245</v>
      </c>
      <c r="D13" s="1765">
        <f>'Expenditures 15-22'!K129</f>
        <v>207004</v>
      </c>
      <c r="E13" s="469" t="s">
        <v>1231</v>
      </c>
      <c r="F13" s="1765">
        <f>'Expenditures 15-22'!K184</f>
        <v>249179</v>
      </c>
      <c r="G13" s="1765">
        <f>'Expenditures 15-22'!K279</f>
        <v>76536</v>
      </c>
      <c r="H13" s="1765">
        <f>'Expenditures 15-22'!K303</f>
        <v>38174</v>
      </c>
      <c r="I13" s="468" t="s">
        <v>1231</v>
      </c>
      <c r="J13" s="1765">
        <f>'Expenditures 15-22'!K330</f>
        <v>324716</v>
      </c>
      <c r="K13" s="1769">
        <f>'Expenditures 15-22'!K352</f>
        <v>27846</v>
      </c>
      <c r="L13" s="347"/>
    </row>
    <row r="14" spans="1:13" ht="15.75" customHeight="1" x14ac:dyDescent="0.2">
      <c r="A14" s="1598" t="s">
        <v>469</v>
      </c>
      <c r="B14" s="1600">
        <v>3000</v>
      </c>
      <c r="C14" s="1765">
        <f>'Expenditures 15-22'!K75</f>
        <v>3660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137140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42</v>
      </c>
      <c r="D16" s="1765">
        <f>'Expenditures 15-22'!K149</f>
        <v>0</v>
      </c>
      <c r="E16" s="1765">
        <f>'Expenditures 15-22'!K172</f>
        <v>323060</v>
      </c>
      <c r="F16" s="1765">
        <f>'Expenditures 15-22'!K208</f>
        <v>101108</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2901844</v>
      </c>
      <c r="D17" s="1710">
        <f t="shared" si="2"/>
        <v>207004</v>
      </c>
      <c r="E17" s="1710">
        <f t="shared" si="2"/>
        <v>323060</v>
      </c>
      <c r="F17" s="1710">
        <f t="shared" si="2"/>
        <v>350287</v>
      </c>
      <c r="G17" s="1710">
        <f t="shared" si="2"/>
        <v>130965</v>
      </c>
      <c r="H17" s="1710">
        <f t="shared" si="2"/>
        <v>38174</v>
      </c>
      <c r="I17" s="468"/>
      <c r="J17" s="1710">
        <f>SUM(J12:J16)</f>
        <v>324716</v>
      </c>
      <c r="K17" s="1710">
        <f>SUM(K12:K16)</f>
        <v>27846</v>
      </c>
      <c r="L17" s="347"/>
    </row>
    <row r="18" spans="1:12" ht="15" customHeight="1" thickTop="1" x14ac:dyDescent="0.2">
      <c r="A18" s="1766" t="s">
        <v>1753</v>
      </c>
      <c r="B18" s="1767">
        <v>4180</v>
      </c>
      <c r="C18" s="1764">
        <f t="shared" ref="C18:H18" si="3">C9</f>
        <v>1319875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4221719</v>
      </c>
      <c r="D19" s="1710">
        <f t="shared" si="4"/>
        <v>207004</v>
      </c>
      <c r="E19" s="1710">
        <f t="shared" si="4"/>
        <v>323060</v>
      </c>
      <c r="F19" s="1710">
        <f t="shared" si="4"/>
        <v>350287</v>
      </c>
      <c r="G19" s="1710">
        <f t="shared" si="4"/>
        <v>130965</v>
      </c>
      <c r="H19" s="1710">
        <f t="shared" si="4"/>
        <v>38174</v>
      </c>
      <c r="I19" s="468"/>
      <c r="J19" s="1710">
        <f>SUM(J17:J18)</f>
        <v>324716</v>
      </c>
      <c r="K19" s="1710">
        <f>SUM(K17:K18)</f>
        <v>27846</v>
      </c>
      <c r="L19" s="347"/>
    </row>
    <row r="20" spans="1:12" ht="16.5" thickTop="1" thickBot="1" x14ac:dyDescent="0.25">
      <c r="A20" s="2144" t="s">
        <v>1754</v>
      </c>
      <c r="B20" s="2145"/>
      <c r="C20" s="1768">
        <f>C8-C17</f>
        <v>71364</v>
      </c>
      <c r="D20" s="1768">
        <f t="shared" ref="D20:K20" si="5">D8-D17</f>
        <v>31571</v>
      </c>
      <c r="E20" s="1768">
        <f t="shared" si="5"/>
        <v>-5857</v>
      </c>
      <c r="F20" s="1768">
        <f t="shared" si="5"/>
        <v>-120671</v>
      </c>
      <c r="G20" s="1768">
        <f t="shared" si="5"/>
        <v>36839</v>
      </c>
      <c r="H20" s="1768">
        <f t="shared" si="5"/>
        <v>6701</v>
      </c>
      <c r="I20" s="1768">
        <f t="shared" si="5"/>
        <v>23070</v>
      </c>
      <c r="J20" s="1768">
        <f t="shared" si="5"/>
        <v>2831</v>
      </c>
      <c r="K20" s="1768">
        <f t="shared" si="5"/>
        <v>-4951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23070</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4260</v>
      </c>
      <c r="F43" s="467">
        <v>173922</v>
      </c>
      <c r="G43" s="467"/>
      <c r="H43" s="467"/>
      <c r="I43" s="467"/>
      <c r="J43" s="467"/>
      <c r="K43" s="467"/>
      <c r="L43" s="524"/>
    </row>
    <row r="44" spans="1:12" s="485" customFormat="1" ht="13.5" customHeight="1" thickBot="1" x14ac:dyDescent="0.25">
      <c r="A44" s="2158" t="s">
        <v>392</v>
      </c>
      <c r="B44" s="2159"/>
      <c r="C44" s="1725">
        <f>SUM(C24:C43)</f>
        <v>23070</v>
      </c>
      <c r="D44" s="1725">
        <f t="shared" ref="D44:K44" si="6">SUM(D24:D43)</f>
        <v>0</v>
      </c>
      <c r="E44" s="1725">
        <f t="shared" si="6"/>
        <v>4260</v>
      </c>
      <c r="F44" s="1725">
        <f t="shared" si="6"/>
        <v>173922</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23070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v>4260</v>
      </c>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4260</v>
      </c>
      <c r="D76" s="1725">
        <f t="shared" si="7"/>
        <v>0</v>
      </c>
      <c r="E76" s="1725">
        <f t="shared" si="7"/>
        <v>0</v>
      </c>
      <c r="F76" s="1725">
        <f t="shared" si="7"/>
        <v>0</v>
      </c>
      <c r="G76" s="1725">
        <f t="shared" si="7"/>
        <v>0</v>
      </c>
      <c r="H76" s="1725">
        <f t="shared" si="7"/>
        <v>0</v>
      </c>
      <c r="I76" s="1725">
        <f t="shared" si="7"/>
        <v>23070</v>
      </c>
      <c r="J76" s="1725">
        <f t="shared" si="7"/>
        <v>0</v>
      </c>
      <c r="K76" s="1725">
        <f t="shared" si="7"/>
        <v>0</v>
      </c>
      <c r="L76" s="524"/>
    </row>
    <row r="77" spans="1:12" ht="14.25" thickTop="1" thickBot="1" x14ac:dyDescent="0.25">
      <c r="A77" s="2136" t="s">
        <v>1239</v>
      </c>
      <c r="B77" s="2137"/>
      <c r="C77" s="1725">
        <f t="shared" ref="C77:K77" si="8">C44-C76</f>
        <v>18810</v>
      </c>
      <c r="D77" s="1725">
        <f t="shared" si="8"/>
        <v>0</v>
      </c>
      <c r="E77" s="1725">
        <f t="shared" si="8"/>
        <v>4260</v>
      </c>
      <c r="F77" s="1725">
        <f t="shared" si="8"/>
        <v>173922</v>
      </c>
      <c r="G77" s="1725">
        <f t="shared" si="8"/>
        <v>0</v>
      </c>
      <c r="H77" s="1725">
        <f t="shared" si="8"/>
        <v>0</v>
      </c>
      <c r="I77" s="1725">
        <f t="shared" si="8"/>
        <v>-23070</v>
      </c>
      <c r="J77" s="1725">
        <f t="shared" si="8"/>
        <v>0</v>
      </c>
      <c r="K77" s="1725">
        <f t="shared" si="8"/>
        <v>0</v>
      </c>
      <c r="L77" s="347"/>
    </row>
    <row r="78" spans="1:12" ht="21.75" customHeight="1" thickTop="1" thickBot="1" x14ac:dyDescent="0.25">
      <c r="A78" s="2140" t="s">
        <v>618</v>
      </c>
      <c r="B78" s="2141"/>
      <c r="C78" s="1724">
        <f t="shared" ref="C78:K78" si="9">C20+C77</f>
        <v>90174</v>
      </c>
      <c r="D78" s="1724">
        <f t="shared" si="9"/>
        <v>31571</v>
      </c>
      <c r="E78" s="1724">
        <f t="shared" si="9"/>
        <v>-1597</v>
      </c>
      <c r="F78" s="1724">
        <f t="shared" si="9"/>
        <v>53251</v>
      </c>
      <c r="G78" s="1724">
        <f t="shared" si="9"/>
        <v>36839</v>
      </c>
      <c r="H78" s="1724">
        <f t="shared" si="9"/>
        <v>6701</v>
      </c>
      <c r="I78" s="1724">
        <f t="shared" si="9"/>
        <v>0</v>
      </c>
      <c r="J78" s="1724">
        <f t="shared" si="9"/>
        <v>2831</v>
      </c>
      <c r="K78" s="1724">
        <f t="shared" si="9"/>
        <v>-4951</v>
      </c>
      <c r="L78" s="533"/>
    </row>
    <row r="79" spans="1:12" ht="13.5" thickTop="1" x14ac:dyDescent="0.2">
      <c r="A79" s="1516" t="s">
        <v>2071</v>
      </c>
      <c r="B79" s="534"/>
      <c r="C79" s="478">
        <v>943172</v>
      </c>
      <c r="D79" s="535">
        <v>384242</v>
      </c>
      <c r="E79" s="535">
        <v>110851</v>
      </c>
      <c r="F79" s="535">
        <v>99695</v>
      </c>
      <c r="G79" s="535">
        <v>203425</v>
      </c>
      <c r="H79" s="535">
        <v>36091</v>
      </c>
      <c r="I79" s="535">
        <v>0</v>
      </c>
      <c r="J79" s="535">
        <v>155103</v>
      </c>
      <c r="K79" s="535">
        <v>92976</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1033346</v>
      </c>
      <c r="D81" s="1710">
        <f>SUM(D78:D80)</f>
        <v>415813</v>
      </c>
      <c r="E81" s="1710">
        <f t="shared" ref="E81:K81" si="10">SUM(E78:E80)</f>
        <v>109254</v>
      </c>
      <c r="F81" s="1710">
        <f t="shared" si="10"/>
        <v>152946</v>
      </c>
      <c r="G81" s="1710">
        <f t="shared" si="10"/>
        <v>240264</v>
      </c>
      <c r="H81" s="1710">
        <f t="shared" si="10"/>
        <v>42792</v>
      </c>
      <c r="I81" s="1710">
        <f t="shared" si="10"/>
        <v>0</v>
      </c>
      <c r="J81" s="1710">
        <f t="shared" si="10"/>
        <v>157934</v>
      </c>
      <c r="K81" s="1710">
        <f t="shared" si="10"/>
        <v>88025</v>
      </c>
      <c r="L81" s="347"/>
    </row>
    <row r="82" spans="1:12" ht="0.75" customHeight="1" thickTop="1" thickBot="1" x14ac:dyDescent="0.25">
      <c r="A82" s="536" t="s">
        <v>361</v>
      </c>
      <c r="B82" s="537"/>
      <c r="C82" s="538">
        <f>(C81-C79)</f>
        <v>90174</v>
      </c>
      <c r="D82" s="538">
        <f t="shared" ref="D82:K82" si="11">(D81-D79)</f>
        <v>31571</v>
      </c>
      <c r="E82" s="538">
        <f t="shared" si="11"/>
        <v>-1597</v>
      </c>
      <c r="F82" s="538">
        <f t="shared" si="11"/>
        <v>53251</v>
      </c>
      <c r="G82" s="538">
        <f t="shared" si="11"/>
        <v>36839</v>
      </c>
      <c r="H82" s="538">
        <f t="shared" si="11"/>
        <v>6701</v>
      </c>
      <c r="I82" s="538">
        <f t="shared" si="11"/>
        <v>0</v>
      </c>
      <c r="J82" s="538">
        <f t="shared" si="11"/>
        <v>2831</v>
      </c>
      <c r="K82" s="538">
        <f t="shared" si="11"/>
        <v>-4951</v>
      </c>
    </row>
    <row r="83" spans="1:12" ht="14.25" hidden="1" thickTop="1" thickBot="1" x14ac:dyDescent="0.25">
      <c r="A83" s="539" t="s">
        <v>362</v>
      </c>
      <c r="B83" s="464"/>
      <c r="C83" s="540">
        <f>C82/C81</f>
        <v>8.7264091601457788E-2</v>
      </c>
      <c r="D83" s="540">
        <f t="shared" ref="D83:K83" si="12">D82/D81</f>
        <v>7.5925957100908339E-2</v>
      </c>
      <c r="E83" s="540">
        <f t="shared" si="12"/>
        <v>-1.4617313782561737E-2</v>
      </c>
      <c r="F83" s="540">
        <f t="shared" si="12"/>
        <v>0.34816863468152159</v>
      </c>
      <c r="G83" s="540">
        <f t="shared" si="12"/>
        <v>0.15332717344254654</v>
      </c>
      <c r="H83" s="540">
        <f t="shared" si="12"/>
        <v>0.15659469059637315</v>
      </c>
      <c r="I83" s="540" t="e">
        <f t="shared" si="12"/>
        <v>#DIV/0!</v>
      </c>
      <c r="J83" s="540">
        <f t="shared" si="12"/>
        <v>1.7925209264629528E-2</v>
      </c>
      <c r="K83" s="540">
        <f t="shared" si="12"/>
        <v>-5.6245384833854016E-2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22" sqref="I22:S2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1220386</v>
      </c>
      <c r="D5" s="481">
        <v>230262</v>
      </c>
      <c r="E5" s="466">
        <v>171653</v>
      </c>
      <c r="F5" s="548">
        <v>92105</v>
      </c>
      <c r="G5" s="466">
        <v>87777</v>
      </c>
      <c r="H5" s="466"/>
      <c r="I5" s="466">
        <v>23026</v>
      </c>
      <c r="J5" s="467">
        <v>326575</v>
      </c>
      <c r="K5" s="466">
        <v>22700</v>
      </c>
    </row>
    <row r="6" spans="1:12" ht="15" x14ac:dyDescent="0.2">
      <c r="A6" s="463" t="s">
        <v>1761</v>
      </c>
      <c r="B6" s="470">
        <v>1130</v>
      </c>
      <c r="C6" s="466">
        <v>22885</v>
      </c>
      <c r="D6" s="466"/>
      <c r="E6" s="475"/>
      <c r="F6" s="475"/>
      <c r="G6" s="468"/>
      <c r="H6" s="468"/>
      <c r="I6" s="468"/>
      <c r="J6" s="468"/>
      <c r="K6" s="468"/>
    </row>
    <row r="7" spans="1:12" x14ac:dyDescent="0.2">
      <c r="A7" s="463" t="s">
        <v>112</v>
      </c>
      <c r="B7" s="549">
        <v>1140</v>
      </c>
      <c r="C7" s="466">
        <v>18562</v>
      </c>
      <c r="D7" s="466"/>
      <c r="E7" s="468"/>
      <c r="F7" s="467"/>
      <c r="G7" s="467"/>
      <c r="H7" s="467"/>
      <c r="I7" s="468"/>
      <c r="J7" s="468"/>
      <c r="K7" s="468"/>
    </row>
    <row r="8" spans="1:12" x14ac:dyDescent="0.2">
      <c r="A8" s="463" t="s">
        <v>433</v>
      </c>
      <c r="B8" s="470">
        <v>1150</v>
      </c>
      <c r="C8" s="475"/>
      <c r="D8" s="475"/>
      <c r="E8" s="477"/>
      <c r="F8" s="477"/>
      <c r="G8" s="481">
        <v>74378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1261833</v>
      </c>
      <c r="D12" s="1729">
        <f t="shared" si="0"/>
        <v>230262</v>
      </c>
      <c r="E12" s="1729">
        <f t="shared" si="0"/>
        <v>171653</v>
      </c>
      <c r="F12" s="1729">
        <f t="shared" si="0"/>
        <v>92105</v>
      </c>
      <c r="G12" s="1729">
        <f t="shared" si="0"/>
        <v>162155</v>
      </c>
      <c r="H12" s="1729">
        <f t="shared" si="0"/>
        <v>0</v>
      </c>
      <c r="I12" s="1729">
        <f t="shared" si="0"/>
        <v>23026</v>
      </c>
      <c r="J12" s="1729">
        <f t="shared" si="0"/>
        <v>326575</v>
      </c>
      <c r="K12" s="1710">
        <f t="shared" si="0"/>
        <v>22700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649</v>
      </c>
      <c r="D14" s="466">
        <v>118</v>
      </c>
      <c r="E14" s="466">
        <v>87</v>
      </c>
      <c r="F14" s="466">
        <v>47</v>
      </c>
      <c r="G14" s="466">
        <v>82</v>
      </c>
      <c r="H14" s="466"/>
      <c r="I14" s="466">
        <v>12</v>
      </c>
      <c r="J14" s="467">
        <v>165</v>
      </c>
      <c r="K14" s="466">
        <v>12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62903</v>
      </c>
      <c r="D16" s="466"/>
      <c r="E16" s="466"/>
      <c r="F16" s="466">
        <v>24944</v>
      </c>
      <c r="G16" s="466">
        <v>4249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63552</v>
      </c>
      <c r="D18" s="1732">
        <f t="shared" ref="D18:K18" si="1">SUM(D14:D17)</f>
        <v>118</v>
      </c>
      <c r="E18" s="1732">
        <f t="shared" si="1"/>
        <v>87</v>
      </c>
      <c r="F18" s="1732">
        <f t="shared" si="1"/>
        <v>24991</v>
      </c>
      <c r="G18" s="1732">
        <f t="shared" si="1"/>
        <v>4331</v>
      </c>
      <c r="H18" s="1732">
        <f t="shared" si="1"/>
        <v>0</v>
      </c>
      <c r="I18" s="1732">
        <f t="shared" si="1"/>
        <v>12</v>
      </c>
      <c r="J18" s="1732">
        <f t="shared" si="1"/>
        <v>165</v>
      </c>
      <c r="K18" s="1733">
        <f t="shared" si="1"/>
        <v>12</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8307</v>
      </c>
      <c r="D65" s="466">
        <v>1028</v>
      </c>
      <c r="E65" s="466">
        <v>354</v>
      </c>
      <c r="F65" s="467">
        <v>240</v>
      </c>
      <c r="G65" s="466">
        <v>632</v>
      </c>
      <c r="H65" s="466">
        <v>51</v>
      </c>
      <c r="I65" s="466">
        <v>32</v>
      </c>
      <c r="J65" s="467">
        <v>807</v>
      </c>
      <c r="K65" s="466">
        <v>183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8307</v>
      </c>
      <c r="D67" s="1710">
        <f t="shared" ref="D67:K67" si="2">SUM(D65:D66)</f>
        <v>1028</v>
      </c>
      <c r="E67" s="1710">
        <f t="shared" si="2"/>
        <v>354</v>
      </c>
      <c r="F67" s="1710">
        <f t="shared" si="2"/>
        <v>240</v>
      </c>
      <c r="G67" s="1710">
        <f t="shared" si="2"/>
        <v>632</v>
      </c>
      <c r="H67" s="1710">
        <f t="shared" si="2"/>
        <v>51</v>
      </c>
      <c r="I67" s="1710">
        <f t="shared" si="2"/>
        <v>32</v>
      </c>
      <c r="J67" s="1710">
        <f t="shared" si="2"/>
        <v>807</v>
      </c>
      <c r="K67" s="1710">
        <f t="shared" si="2"/>
        <v>183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92792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6117</v>
      </c>
      <c r="D73" s="468"/>
      <c r="E73" s="468"/>
      <c r="F73" s="468"/>
      <c r="G73" s="468"/>
      <c r="H73" s="468"/>
      <c r="I73" s="468"/>
      <c r="J73" s="468"/>
      <c r="K73" s="468"/>
    </row>
    <row r="74" spans="1:11" ht="12.75" customHeight="1" x14ac:dyDescent="0.2">
      <c r="A74" s="463" t="s">
        <v>25</v>
      </c>
      <c r="B74" s="470">
        <v>1690</v>
      </c>
      <c r="C74" s="551">
        <v>798</v>
      </c>
      <c r="D74" s="468"/>
      <c r="E74" s="468"/>
      <c r="F74" s="468"/>
      <c r="G74" s="468"/>
      <c r="H74" s="468"/>
      <c r="I74" s="468"/>
      <c r="J74" s="468"/>
      <c r="K74" s="468"/>
    </row>
    <row r="75" spans="1:11" ht="12.75" customHeight="1" thickBot="1" x14ac:dyDescent="0.25">
      <c r="A75" s="1730" t="s">
        <v>569</v>
      </c>
      <c r="B75" s="1731"/>
      <c r="C75" s="1710">
        <f>SUM(C69:C74)</f>
        <v>99707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55540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100</v>
      </c>
      <c r="D81" s="466"/>
      <c r="E81" s="468"/>
      <c r="F81" s="468"/>
      <c r="G81" s="468"/>
      <c r="H81" s="468"/>
      <c r="I81" s="468"/>
      <c r="J81" s="468"/>
      <c r="K81" s="468"/>
    </row>
    <row r="82" spans="1:11" ht="12.75" customHeight="1" thickBot="1" x14ac:dyDescent="0.25">
      <c r="A82" s="1730" t="s">
        <v>259</v>
      </c>
      <c r="B82" s="1731"/>
      <c r="C82" s="1729">
        <f>SUM(C77:C81)</f>
        <v>55640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36285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36285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7435</v>
      </c>
      <c r="D96" s="551">
        <v>7167</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3350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4243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145109</v>
      </c>
      <c r="F103" s="468"/>
      <c r="G103" s="468"/>
      <c r="H103" s="489">
        <v>44824</v>
      </c>
      <c r="I103" s="468"/>
      <c r="J103" s="510"/>
      <c r="K103" s="510"/>
    </row>
    <row r="104" spans="1:12" ht="12.75" customHeight="1" x14ac:dyDescent="0.2">
      <c r="A104" s="463" t="s">
        <v>885</v>
      </c>
      <c r="B104" s="470">
        <v>1991</v>
      </c>
      <c r="C104" s="489">
        <v>28691</v>
      </c>
      <c r="D104" s="466"/>
      <c r="E104" s="481"/>
      <c r="F104" s="467">
        <v>1634</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3000</v>
      </c>
      <c r="D107" s="466"/>
      <c r="E107" s="466"/>
      <c r="F107" s="466"/>
      <c r="G107" s="466"/>
      <c r="H107" s="466"/>
      <c r="I107" s="466"/>
      <c r="J107" s="467"/>
      <c r="K107" s="466"/>
    </row>
    <row r="108" spans="1:12" ht="12.75" customHeight="1" thickBot="1" x14ac:dyDescent="0.25">
      <c r="A108" s="1730" t="s">
        <v>508</v>
      </c>
      <c r="B108" s="1734"/>
      <c r="C108" s="1729">
        <f>SUM(C95:C107)</f>
        <v>46719</v>
      </c>
      <c r="D108" s="1729">
        <f t="shared" ref="D108:K108" si="3">SUM(D95:D107)</f>
        <v>7167</v>
      </c>
      <c r="E108" s="1729">
        <f t="shared" si="3"/>
        <v>145109</v>
      </c>
      <c r="F108" s="1729">
        <f t="shared" si="3"/>
        <v>1634</v>
      </c>
      <c r="G108" s="1729">
        <f t="shared" si="3"/>
        <v>0</v>
      </c>
      <c r="H108" s="1729">
        <f t="shared" si="3"/>
        <v>44824</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1572043</v>
      </c>
      <c r="D109" s="1737">
        <f t="shared" si="4"/>
        <v>238575</v>
      </c>
      <c r="E109" s="1737">
        <f t="shared" si="4"/>
        <v>317203</v>
      </c>
      <c r="F109" s="1737">
        <f t="shared" si="4"/>
        <v>118970</v>
      </c>
      <c r="G109" s="1737">
        <f t="shared" si="4"/>
        <v>167118</v>
      </c>
      <c r="H109" s="1737">
        <f t="shared" si="4"/>
        <v>44875</v>
      </c>
      <c r="I109" s="1737">
        <f t="shared" si="4"/>
        <v>23070</v>
      </c>
      <c r="J109" s="1737">
        <f t="shared" si="4"/>
        <v>327547</v>
      </c>
      <c r="K109" s="1724">
        <f t="shared" si="4"/>
        <v>22895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992213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992213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20342</v>
      </c>
      <c r="D124" s="561"/>
      <c r="E124" s="468"/>
      <c r="F124" s="548"/>
      <c r="G124" s="468"/>
      <c r="H124" s="468"/>
      <c r="I124" s="468"/>
      <c r="J124" s="468"/>
      <c r="K124" s="468"/>
    </row>
    <row r="125" spans="1:11" ht="12.75" customHeight="1" x14ac:dyDescent="0.2">
      <c r="A125" s="463" t="s">
        <v>1521</v>
      </c>
      <c r="B125" s="562">
        <v>3105</v>
      </c>
      <c r="C125" s="466">
        <v>22360</v>
      </c>
      <c r="D125" s="561"/>
      <c r="E125" s="468"/>
      <c r="F125" s="466"/>
      <c r="G125" s="468"/>
      <c r="H125" s="468"/>
      <c r="I125" s="468"/>
      <c r="J125" s="468"/>
      <c r="K125" s="468"/>
    </row>
    <row r="126" spans="1:11" ht="12.75" customHeight="1" x14ac:dyDescent="0.2">
      <c r="A126" s="463" t="s">
        <v>922</v>
      </c>
      <c r="B126" s="562">
        <v>3110</v>
      </c>
      <c r="C126" s="551">
        <v>30156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577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73435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4776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4776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605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4823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70294</v>
      </c>
      <c r="G151" s="467"/>
      <c r="H151" s="468"/>
      <c r="I151" s="468"/>
      <c r="J151" s="468"/>
      <c r="K151" s="468"/>
    </row>
    <row r="152" spans="1:11" ht="12.75" customHeight="1" x14ac:dyDescent="0.2">
      <c r="A152" s="463" t="s">
        <v>1117</v>
      </c>
      <c r="B152" s="562">
        <v>3510</v>
      </c>
      <c r="C152" s="551"/>
      <c r="D152" s="466"/>
      <c r="E152" s="561"/>
      <c r="F152" s="466">
        <v>40352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110646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128674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3449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215762</v>
      </c>
      <c r="D172" s="1744">
        <f t="shared" si="6"/>
        <v>0</v>
      </c>
      <c r="E172" s="1744">
        <f t="shared" si="6"/>
        <v>0</v>
      </c>
      <c r="F172" s="1744">
        <f t="shared" si="6"/>
        <v>110646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1207975</v>
      </c>
      <c r="D173" s="1737">
        <f>SUM(D121,D172)</f>
        <v>0</v>
      </c>
      <c r="E173" s="1737">
        <f>SUM(E121,E172)</f>
        <v>0</v>
      </c>
      <c r="F173" s="1737">
        <f t="shared" ref="F173:K173" si="7">SUM(F121,F172)</f>
        <v>110646</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33400</v>
      </c>
      <c r="D183" s="466"/>
      <c r="E183" s="468"/>
      <c r="F183" s="466"/>
      <c r="G183" s="466"/>
      <c r="H183" s="466"/>
      <c r="I183" s="468"/>
      <c r="J183" s="468"/>
      <c r="K183" s="466"/>
    </row>
    <row r="184" spans="1:11" ht="13.5" thickBot="1" x14ac:dyDescent="0.25">
      <c r="A184" s="2170" t="s">
        <v>818</v>
      </c>
      <c r="B184" s="2171"/>
      <c r="C184" s="1729">
        <f>SUM(C180:C183)</f>
        <v>33400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56656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56656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60633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60633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3660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3660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11067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5423</v>
      </c>
      <c r="D270" s="576"/>
      <c r="E270" s="468"/>
      <c r="F270" s="576"/>
      <c r="G270" s="576"/>
      <c r="H270" s="468"/>
      <c r="I270" s="468"/>
      <c r="J270" s="468"/>
      <c r="K270" s="468"/>
    </row>
    <row r="271" spans="1:11" ht="12.75" customHeight="1" thickTop="1" thickBot="1" x14ac:dyDescent="0.25">
      <c r="A271" s="463" t="s">
        <v>395</v>
      </c>
      <c r="B271" s="470">
        <v>4992</v>
      </c>
      <c r="C271" s="575">
        <v>13957</v>
      </c>
      <c r="D271" s="576"/>
      <c r="E271" s="468"/>
      <c r="F271" s="576"/>
      <c r="G271" s="576"/>
      <c r="H271" s="468"/>
      <c r="I271" s="468"/>
      <c r="J271" s="468"/>
      <c r="K271" s="468"/>
    </row>
    <row r="272" spans="1:11" s="594" customFormat="1" ht="12.75" customHeight="1" thickTop="1" thickBot="1" x14ac:dyDescent="0.25">
      <c r="A272" s="563" t="s">
        <v>77</v>
      </c>
      <c r="B272" s="557">
        <v>4999</v>
      </c>
      <c r="C272" s="575">
        <v>8394</v>
      </c>
      <c r="D272" s="576"/>
      <c r="E272" s="468"/>
      <c r="F272" s="576"/>
      <c r="G272" s="576">
        <v>686</v>
      </c>
      <c r="H272" s="530"/>
      <c r="I272" s="468"/>
      <c r="J272" s="468"/>
      <c r="K272" s="530"/>
    </row>
    <row r="273" spans="1:11" ht="14.25" thickTop="1" thickBot="1" x14ac:dyDescent="0.25">
      <c r="A273" s="1730" t="s">
        <v>1765</v>
      </c>
      <c r="B273" s="1749"/>
      <c r="C273" s="1737">
        <f t="shared" ref="C273:H273" si="10">SUM(C191,C201,C211,C216,C224,C228,C229,C259:C272)</f>
        <v>159790</v>
      </c>
      <c r="D273" s="1737">
        <f t="shared" si="10"/>
        <v>0</v>
      </c>
      <c r="E273" s="1737">
        <f t="shared" si="10"/>
        <v>0</v>
      </c>
      <c r="F273" s="1737">
        <f t="shared" si="10"/>
        <v>0</v>
      </c>
      <c r="G273" s="1737">
        <f t="shared" si="10"/>
        <v>686</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193190</v>
      </c>
      <c r="D274" s="1737">
        <f>SUM(D178,D184,D273)</f>
        <v>0</v>
      </c>
      <c r="E274" s="1737">
        <f>SUM(E178,E273)</f>
        <v>0</v>
      </c>
      <c r="F274" s="1737">
        <f t="shared" ref="F274:K274" si="11">SUM(F178,F184,F273)</f>
        <v>0</v>
      </c>
      <c r="G274" s="1737">
        <f t="shared" si="11"/>
        <v>686</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2973208</v>
      </c>
      <c r="D275" s="1737">
        <f t="shared" si="12"/>
        <v>238575</v>
      </c>
      <c r="E275" s="1737">
        <f t="shared" si="12"/>
        <v>317203</v>
      </c>
      <c r="F275" s="1737">
        <f t="shared" si="12"/>
        <v>229616</v>
      </c>
      <c r="G275" s="1737">
        <f t="shared" si="12"/>
        <v>167804</v>
      </c>
      <c r="H275" s="1737">
        <f t="shared" si="12"/>
        <v>44875</v>
      </c>
      <c r="I275" s="1737">
        <f t="shared" si="12"/>
        <v>23070</v>
      </c>
      <c r="J275" s="1737">
        <f t="shared" si="12"/>
        <v>327547</v>
      </c>
      <c r="K275" s="1724">
        <f t="shared" si="12"/>
        <v>22895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I22" sqref="I22:S22"/>
      <selection pane="bottomLeft" activeCell="I22" sqref="I22:S2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1077642</v>
      </c>
      <c r="D5" s="466">
        <v>296453</v>
      </c>
      <c r="E5" s="466">
        <v>32033</v>
      </c>
      <c r="F5" s="466">
        <v>45646</v>
      </c>
      <c r="G5" s="466"/>
      <c r="H5" s="466">
        <v>28040</v>
      </c>
      <c r="I5" s="467"/>
      <c r="J5" s="467"/>
      <c r="K5" s="1693">
        <f>SUM(C5:J5)</f>
        <v>1479814</v>
      </c>
      <c r="L5" s="466">
        <v>1473817</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64707</v>
      </c>
      <c r="D7" s="467">
        <v>12524</v>
      </c>
      <c r="E7" s="467">
        <v>8612</v>
      </c>
      <c r="F7" s="467">
        <v>9547</v>
      </c>
      <c r="G7" s="467"/>
      <c r="H7" s="467"/>
      <c r="I7" s="467"/>
      <c r="J7" s="467"/>
      <c r="K7" s="1693">
        <f t="shared" ref="K7:K32" si="0">SUM(C7:J7)</f>
        <v>95390</v>
      </c>
      <c r="L7" s="466">
        <v>95275</v>
      </c>
    </row>
    <row r="8" spans="1:14" x14ac:dyDescent="0.2">
      <c r="A8" s="1526" t="s">
        <v>166</v>
      </c>
      <c r="B8" s="615">
        <v>1200</v>
      </c>
      <c r="C8" s="466">
        <v>216590</v>
      </c>
      <c r="D8" s="466">
        <v>44216</v>
      </c>
      <c r="E8" s="466"/>
      <c r="F8" s="466">
        <v>528</v>
      </c>
      <c r="G8" s="466"/>
      <c r="H8" s="466"/>
      <c r="I8" s="467"/>
      <c r="J8" s="467"/>
      <c r="K8" s="1693">
        <f t="shared" si="0"/>
        <v>261334</v>
      </c>
      <c r="L8" s="466">
        <v>250700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33778</v>
      </c>
      <c r="D10" s="466">
        <v>3975</v>
      </c>
      <c r="E10" s="466">
        <v>860</v>
      </c>
      <c r="F10" s="466">
        <v>12419</v>
      </c>
      <c r="G10" s="466">
        <v>4600</v>
      </c>
      <c r="H10" s="466"/>
      <c r="I10" s="467"/>
      <c r="J10" s="467"/>
      <c r="K10" s="1693">
        <f t="shared" si="0"/>
        <v>55632</v>
      </c>
      <c r="L10" s="466">
        <v>54036</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v>8586</v>
      </c>
      <c r="G13" s="466"/>
      <c r="H13" s="466">
        <v>2581</v>
      </c>
      <c r="I13" s="467"/>
      <c r="J13" s="467"/>
      <c r="K13" s="1693">
        <f t="shared" si="0"/>
        <v>11167</v>
      </c>
      <c r="L13" s="466">
        <v>11259</v>
      </c>
    </row>
    <row r="14" spans="1:14" x14ac:dyDescent="0.2">
      <c r="A14" s="1526" t="s">
        <v>1020</v>
      </c>
      <c r="B14" s="615">
        <v>1500</v>
      </c>
      <c r="C14" s="466">
        <v>31980</v>
      </c>
      <c r="D14" s="466">
        <v>34</v>
      </c>
      <c r="E14" s="466">
        <v>36019</v>
      </c>
      <c r="F14" s="466">
        <v>22795</v>
      </c>
      <c r="G14" s="466"/>
      <c r="H14" s="466"/>
      <c r="I14" s="467"/>
      <c r="J14" s="467"/>
      <c r="K14" s="1693">
        <f t="shared" si="0"/>
        <v>90828</v>
      </c>
      <c r="L14" s="466">
        <v>88605</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4220</v>
      </c>
      <c r="D17" s="467">
        <v>517</v>
      </c>
      <c r="E17" s="467">
        <v>2376</v>
      </c>
      <c r="F17" s="467">
        <v>479</v>
      </c>
      <c r="G17" s="467"/>
      <c r="H17" s="467"/>
      <c r="I17" s="467"/>
      <c r="J17" s="467"/>
      <c r="K17" s="1693">
        <f t="shared" si="0"/>
        <v>7592</v>
      </c>
      <c r="L17" s="466">
        <v>8800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1428917</v>
      </c>
      <c r="D33" s="1692">
        <f t="shared" ref="D33:L33" si="1">SUM(D5:D32)</f>
        <v>357719</v>
      </c>
      <c r="E33" s="1692">
        <f t="shared" si="1"/>
        <v>79900</v>
      </c>
      <c r="F33" s="1692">
        <f t="shared" si="1"/>
        <v>100000</v>
      </c>
      <c r="G33" s="1692">
        <f t="shared" si="1"/>
        <v>4600</v>
      </c>
      <c r="H33" s="1692">
        <f t="shared" si="1"/>
        <v>30621</v>
      </c>
      <c r="I33" s="1692">
        <f t="shared" si="1"/>
        <v>0</v>
      </c>
      <c r="J33" s="1692">
        <f t="shared" si="1"/>
        <v>0</v>
      </c>
      <c r="K33" s="1692">
        <f t="shared" si="1"/>
        <v>2001757</v>
      </c>
      <c r="L33" s="1692">
        <f t="shared" si="1"/>
        <v>1982492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39599</v>
      </c>
      <c r="D36" s="481">
        <v>12247</v>
      </c>
      <c r="E36" s="481"/>
      <c r="F36" s="481">
        <v>200</v>
      </c>
      <c r="G36" s="481"/>
      <c r="H36" s="481"/>
      <c r="I36" s="467"/>
      <c r="J36" s="467"/>
      <c r="K36" s="1693">
        <f t="shared" ref="K36:K41" si="2">SUM(C36:J36)</f>
        <v>52046</v>
      </c>
      <c r="L36" s="466">
        <v>50975</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30386</v>
      </c>
      <c r="D40" s="466"/>
      <c r="E40" s="466"/>
      <c r="F40" s="466"/>
      <c r="G40" s="466"/>
      <c r="H40" s="466"/>
      <c r="I40" s="467"/>
      <c r="J40" s="467"/>
      <c r="K40" s="1693">
        <f t="shared" si="2"/>
        <v>30386</v>
      </c>
      <c r="L40" s="466">
        <v>33500</v>
      </c>
    </row>
    <row r="41" spans="1:14" x14ac:dyDescent="0.2">
      <c r="A41" s="1526" t="s">
        <v>1768</v>
      </c>
      <c r="B41" s="615">
        <v>2190</v>
      </c>
      <c r="C41" s="466">
        <v>913</v>
      </c>
      <c r="D41" s="466"/>
      <c r="E41" s="466"/>
      <c r="F41" s="466"/>
      <c r="G41" s="466"/>
      <c r="H41" s="466"/>
      <c r="I41" s="467"/>
      <c r="J41" s="467"/>
      <c r="K41" s="1693">
        <f t="shared" si="2"/>
        <v>913</v>
      </c>
      <c r="L41" s="466">
        <v>500</v>
      </c>
    </row>
    <row r="42" spans="1:14" ht="12.75" customHeight="1" thickBot="1" x14ac:dyDescent="0.25">
      <c r="A42" s="1690" t="s">
        <v>581</v>
      </c>
      <c r="B42" s="1691" t="s">
        <v>740</v>
      </c>
      <c r="C42" s="1692">
        <f>SUM(C36:C41)</f>
        <v>70898</v>
      </c>
      <c r="D42" s="1692">
        <f t="shared" ref="D42:L42" si="3">SUM(D36:D41)</f>
        <v>12247</v>
      </c>
      <c r="E42" s="1692">
        <f t="shared" si="3"/>
        <v>0</v>
      </c>
      <c r="F42" s="1692">
        <f t="shared" si="3"/>
        <v>200</v>
      </c>
      <c r="G42" s="1692">
        <f t="shared" si="3"/>
        <v>0</v>
      </c>
      <c r="H42" s="1692">
        <f t="shared" si="3"/>
        <v>0</v>
      </c>
      <c r="I42" s="1692">
        <f t="shared" si="3"/>
        <v>0</v>
      </c>
      <c r="J42" s="1692">
        <f t="shared" si="3"/>
        <v>0</v>
      </c>
      <c r="K42" s="1692">
        <f t="shared" si="3"/>
        <v>83345</v>
      </c>
      <c r="L42" s="1692">
        <f t="shared" si="3"/>
        <v>84975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3482</v>
      </c>
      <c r="F44" s="481">
        <v>111</v>
      </c>
      <c r="G44" s="481"/>
      <c r="H44" s="481"/>
      <c r="I44" s="467"/>
      <c r="J44" s="467"/>
      <c r="K44" s="1694">
        <f>SUM(C44:J44)</f>
        <v>3593</v>
      </c>
      <c r="L44" s="481">
        <v>10540</v>
      </c>
    </row>
    <row r="45" spans="1:14" x14ac:dyDescent="0.2">
      <c r="A45" s="1526" t="s">
        <v>869</v>
      </c>
      <c r="B45" s="615">
        <v>2220</v>
      </c>
      <c r="C45" s="466"/>
      <c r="D45" s="466"/>
      <c r="E45" s="466"/>
      <c r="F45" s="466">
        <v>2027</v>
      </c>
      <c r="G45" s="466"/>
      <c r="H45" s="466"/>
      <c r="I45" s="467"/>
      <c r="J45" s="467"/>
      <c r="K45" s="1694">
        <f>SUM(C45:J45)</f>
        <v>2027</v>
      </c>
      <c r="L45" s="466">
        <v>0</v>
      </c>
    </row>
    <row r="46" spans="1:14" x14ac:dyDescent="0.2">
      <c r="A46" s="1526" t="s">
        <v>870</v>
      </c>
      <c r="B46" s="615">
        <v>2230</v>
      </c>
      <c r="C46" s="466"/>
      <c r="D46" s="466"/>
      <c r="E46" s="466">
        <v>850</v>
      </c>
      <c r="F46" s="466"/>
      <c r="G46" s="466"/>
      <c r="H46" s="466"/>
      <c r="I46" s="467"/>
      <c r="J46" s="467"/>
      <c r="K46" s="1694">
        <f>SUM(C46:J46)</f>
        <v>850</v>
      </c>
      <c r="L46" s="466">
        <v>850</v>
      </c>
    </row>
    <row r="47" spans="1:14" ht="12.75" customHeight="1" thickBot="1" x14ac:dyDescent="0.25">
      <c r="A47" s="1690" t="s">
        <v>582</v>
      </c>
      <c r="B47" s="1691" t="s">
        <v>32</v>
      </c>
      <c r="C47" s="1692">
        <f>SUM(C44:C46)</f>
        <v>0</v>
      </c>
      <c r="D47" s="1692">
        <f t="shared" ref="D47:K47" si="4">SUM(D44:D46)</f>
        <v>0</v>
      </c>
      <c r="E47" s="1692">
        <f t="shared" si="4"/>
        <v>4332</v>
      </c>
      <c r="F47" s="1692">
        <f t="shared" si="4"/>
        <v>2138</v>
      </c>
      <c r="G47" s="1692">
        <f t="shared" si="4"/>
        <v>0</v>
      </c>
      <c r="H47" s="1692">
        <f t="shared" si="4"/>
        <v>0</v>
      </c>
      <c r="I47" s="1692">
        <f t="shared" si="4"/>
        <v>0</v>
      </c>
      <c r="J47" s="1692">
        <f t="shared" si="4"/>
        <v>0</v>
      </c>
      <c r="K47" s="1692">
        <f t="shared" si="4"/>
        <v>6470</v>
      </c>
      <c r="L47" s="1692">
        <f>SUM(L44:L46)</f>
        <v>11390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28099</v>
      </c>
      <c r="F49" s="481">
        <v>1593</v>
      </c>
      <c r="G49" s="481"/>
      <c r="H49" s="481">
        <v>90</v>
      </c>
      <c r="I49" s="467"/>
      <c r="J49" s="467"/>
      <c r="K49" s="1694">
        <f>SUM(C49:J49)</f>
        <v>29782</v>
      </c>
      <c r="L49" s="481">
        <v>33000</v>
      </c>
    </row>
    <row r="50" spans="1:14" x14ac:dyDescent="0.2">
      <c r="A50" s="1526" t="s">
        <v>872</v>
      </c>
      <c r="B50" s="615">
        <v>2320</v>
      </c>
      <c r="C50" s="466">
        <v>91614</v>
      </c>
      <c r="D50" s="466">
        <v>21853</v>
      </c>
      <c r="E50" s="466">
        <v>1072</v>
      </c>
      <c r="F50" s="466">
        <v>1011</v>
      </c>
      <c r="G50" s="466"/>
      <c r="H50" s="466"/>
      <c r="I50" s="467"/>
      <c r="J50" s="467"/>
      <c r="K50" s="1694">
        <f>SUM(C50:J50)</f>
        <v>115550</v>
      </c>
      <c r="L50" s="466">
        <v>109490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91614</v>
      </c>
      <c r="D53" s="1692">
        <f t="shared" ref="D53:L53" si="5">SUM(D49:D52)</f>
        <v>21853</v>
      </c>
      <c r="E53" s="1692">
        <f t="shared" si="5"/>
        <v>29171</v>
      </c>
      <c r="F53" s="1692">
        <f t="shared" si="5"/>
        <v>2604</v>
      </c>
      <c r="G53" s="1692">
        <f t="shared" si="5"/>
        <v>0</v>
      </c>
      <c r="H53" s="1692">
        <f t="shared" si="5"/>
        <v>90</v>
      </c>
      <c r="I53" s="1692">
        <f t="shared" si="5"/>
        <v>0</v>
      </c>
      <c r="J53" s="1692">
        <f t="shared" si="5"/>
        <v>0</v>
      </c>
      <c r="K53" s="1692">
        <f t="shared" si="5"/>
        <v>145332</v>
      </c>
      <c r="L53" s="1692">
        <f t="shared" si="5"/>
        <v>142490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201321</v>
      </c>
      <c r="D55" s="481">
        <v>23759</v>
      </c>
      <c r="E55" s="481">
        <v>1726</v>
      </c>
      <c r="F55" s="481">
        <v>5273</v>
      </c>
      <c r="G55" s="481"/>
      <c r="H55" s="481"/>
      <c r="I55" s="467"/>
      <c r="J55" s="467"/>
      <c r="K55" s="1694">
        <f>SUM(C55:J55)</f>
        <v>232079</v>
      </c>
      <c r="L55" s="481">
        <v>222385</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201321</v>
      </c>
      <c r="D57" s="1696">
        <f t="shared" ref="D57:K57" si="6">SUM(D55:D56)</f>
        <v>23759</v>
      </c>
      <c r="E57" s="1696">
        <f t="shared" si="6"/>
        <v>1726</v>
      </c>
      <c r="F57" s="1696">
        <f t="shared" si="6"/>
        <v>5273</v>
      </c>
      <c r="G57" s="1696">
        <f t="shared" si="6"/>
        <v>0</v>
      </c>
      <c r="H57" s="1696">
        <f t="shared" si="6"/>
        <v>0</v>
      </c>
      <c r="I57" s="1696">
        <f t="shared" si="6"/>
        <v>0</v>
      </c>
      <c r="J57" s="1696">
        <f t="shared" si="6"/>
        <v>0</v>
      </c>
      <c r="K57" s="1696">
        <f t="shared" si="6"/>
        <v>232079</v>
      </c>
      <c r="L57" s="1692">
        <f>SUM(L55:L56)</f>
        <v>222385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v>39188</v>
      </c>
      <c r="D60" s="466">
        <v>7000</v>
      </c>
      <c r="E60" s="466">
        <v>4457</v>
      </c>
      <c r="F60" s="466">
        <v>455</v>
      </c>
      <c r="G60" s="466"/>
      <c r="H60" s="466"/>
      <c r="I60" s="467"/>
      <c r="J60" s="467"/>
      <c r="K60" s="1694">
        <f t="shared" si="7"/>
        <v>51100</v>
      </c>
      <c r="L60" s="466">
        <v>51380</v>
      </c>
      <c r="M60" s="610"/>
      <c r="N60" s="610"/>
    </row>
    <row r="61" spans="1:14" s="343" customFormat="1" x14ac:dyDescent="0.2">
      <c r="A61" s="1526" t="s">
        <v>206</v>
      </c>
      <c r="B61" s="615">
        <v>2540</v>
      </c>
      <c r="C61" s="466">
        <v>92995</v>
      </c>
      <c r="D61" s="466">
        <v>7000</v>
      </c>
      <c r="E61" s="466"/>
      <c r="F61" s="466"/>
      <c r="G61" s="466"/>
      <c r="H61" s="466"/>
      <c r="I61" s="467"/>
      <c r="J61" s="467"/>
      <c r="K61" s="1694">
        <f t="shared" si="7"/>
        <v>99995</v>
      </c>
      <c r="L61" s="466">
        <v>97080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25376</v>
      </c>
      <c r="D63" s="466"/>
      <c r="E63" s="466">
        <v>1296</v>
      </c>
      <c r="F63" s="466">
        <v>110433</v>
      </c>
      <c r="G63" s="466">
        <v>3759</v>
      </c>
      <c r="H63" s="466">
        <v>60</v>
      </c>
      <c r="I63" s="467"/>
      <c r="J63" s="467"/>
      <c r="K63" s="1694">
        <f t="shared" si="7"/>
        <v>140924</v>
      </c>
      <c r="L63" s="466">
        <v>145000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157559</v>
      </c>
      <c r="D65" s="1692">
        <f t="shared" ref="D65:L65" si="8">SUM(D59:D64)</f>
        <v>14000</v>
      </c>
      <c r="E65" s="1692">
        <f t="shared" si="8"/>
        <v>5753</v>
      </c>
      <c r="F65" s="1692">
        <f t="shared" si="8"/>
        <v>110888</v>
      </c>
      <c r="G65" s="1692">
        <f t="shared" si="8"/>
        <v>3759</v>
      </c>
      <c r="H65" s="1692">
        <f t="shared" si="8"/>
        <v>60</v>
      </c>
      <c r="I65" s="1692">
        <f t="shared" si="8"/>
        <v>0</v>
      </c>
      <c r="J65" s="1692">
        <f t="shared" si="8"/>
        <v>0</v>
      </c>
      <c r="K65" s="1692">
        <f t="shared" si="8"/>
        <v>292019</v>
      </c>
      <c r="L65" s="1692">
        <f t="shared" si="8"/>
        <v>293460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521392</v>
      </c>
      <c r="D74" s="1699">
        <f t="shared" ref="D74:K74" si="10">SUM(D42,D47,D53,D57,D65,D72,D73)</f>
        <v>71859</v>
      </c>
      <c r="E74" s="1699">
        <f t="shared" si="10"/>
        <v>40982</v>
      </c>
      <c r="F74" s="1699">
        <f t="shared" si="10"/>
        <v>121103</v>
      </c>
      <c r="G74" s="1699">
        <f t="shared" si="10"/>
        <v>3759</v>
      </c>
      <c r="H74" s="1699">
        <f t="shared" si="10"/>
        <v>150</v>
      </c>
      <c r="I74" s="1699">
        <f t="shared" si="10"/>
        <v>0</v>
      </c>
      <c r="J74" s="1699">
        <f t="shared" si="10"/>
        <v>0</v>
      </c>
      <c r="K74" s="1699">
        <f t="shared" si="10"/>
        <v>759245</v>
      </c>
      <c r="L74" s="1699">
        <f>SUM(L42,L47,L53,L57,L65,L72,L73)</f>
        <v>754700</v>
      </c>
    </row>
    <row r="75" spans="1:14" s="259" customFormat="1" ht="15.75" customHeight="1" thickTop="1" thickBot="1" x14ac:dyDescent="0.25">
      <c r="A75" s="1632" t="s">
        <v>49</v>
      </c>
      <c r="B75" s="1633" t="s">
        <v>596</v>
      </c>
      <c r="C75" s="573">
        <v>3660</v>
      </c>
      <c r="D75" s="573"/>
      <c r="E75" s="573"/>
      <c r="F75" s="573"/>
      <c r="G75" s="573"/>
      <c r="H75" s="573"/>
      <c r="I75" s="531"/>
      <c r="J75" s="531"/>
      <c r="K75" s="1692">
        <f>SUM(C75:J75)</f>
        <v>3660</v>
      </c>
      <c r="L75" s="576">
        <v>3660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137140</v>
      </c>
      <c r="F79" s="617"/>
      <c r="G79" s="617"/>
      <c r="H79" s="466"/>
      <c r="I79" s="477"/>
      <c r="J79" s="477"/>
      <c r="K79" s="1693">
        <f t="shared" si="11"/>
        <v>137140</v>
      </c>
      <c r="L79" s="466">
        <v>150000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137140</v>
      </c>
      <c r="F84" s="617"/>
      <c r="G84" s="617"/>
      <c r="H84" s="1692">
        <f>SUM(H78:H83)</f>
        <v>0</v>
      </c>
      <c r="I84" s="477"/>
      <c r="J84" s="477"/>
      <c r="K84" s="1692">
        <f>SUM(K78:K83)</f>
        <v>137140</v>
      </c>
      <c r="L84" s="1692">
        <f>SUM(L78:L83)</f>
        <v>150000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137140</v>
      </c>
      <c r="F102" s="617"/>
      <c r="G102" s="617"/>
      <c r="H102" s="1699">
        <f>SUM(H84,H92,H100,H101)</f>
        <v>0</v>
      </c>
      <c r="I102" s="477"/>
      <c r="J102" s="477"/>
      <c r="K102" s="1699">
        <f>SUM(K84,K92,K100,K101)</f>
        <v>137140</v>
      </c>
      <c r="L102" s="1699">
        <f>SUM(L84,L92,L100,L101)</f>
        <v>150000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42</v>
      </c>
      <c r="I111" s="468"/>
      <c r="J111" s="468"/>
      <c r="K111" s="1705">
        <f>H111</f>
        <v>42</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42</v>
      </c>
      <c r="I112" s="468"/>
      <c r="J112" s="468"/>
      <c r="K112" s="1692">
        <f>SUM(K110:K111)</f>
        <v>42</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1953969</v>
      </c>
      <c r="D114" s="1692">
        <f t="shared" ref="D114:K114" si="13">SUM(D33,D74,D75,D102,D112,D113)</f>
        <v>429578</v>
      </c>
      <c r="E114" s="1692">
        <f t="shared" si="13"/>
        <v>258022</v>
      </c>
      <c r="F114" s="1692">
        <f t="shared" si="13"/>
        <v>221103</v>
      </c>
      <c r="G114" s="1692">
        <f t="shared" si="13"/>
        <v>8359</v>
      </c>
      <c r="H114" s="1692">
        <f>SUM(H33,H74,H75,H102,H112,H113)</f>
        <v>30813</v>
      </c>
      <c r="I114" s="1692">
        <f t="shared" si="13"/>
        <v>0</v>
      </c>
      <c r="J114" s="1692">
        <f t="shared" si="13"/>
        <v>0</v>
      </c>
      <c r="K114" s="1692">
        <f t="shared" si="13"/>
        <v>2901844</v>
      </c>
      <c r="L114" s="1692">
        <f>SUM(L33,L74,L75,L102,L112,L113)</f>
        <v>2890852</v>
      </c>
    </row>
    <row r="115" spans="1:14" ht="13.5" thickTop="1" x14ac:dyDescent="0.2">
      <c r="A115" s="2174" t="s">
        <v>1053</v>
      </c>
      <c r="B115" s="2175"/>
      <c r="C115" s="619"/>
      <c r="D115" s="619"/>
      <c r="E115" s="619"/>
      <c r="F115" s="619"/>
      <c r="G115" s="619"/>
      <c r="H115" s="619"/>
      <c r="I115" s="619"/>
      <c r="J115" s="619"/>
      <c r="K115" s="1706">
        <f>'Revenues 9-14'!C275-'Expenditures 15-22'!K114</f>
        <v>71364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c r="D124" s="466"/>
      <c r="E124" s="466">
        <v>181888</v>
      </c>
      <c r="F124" s="466">
        <v>14246</v>
      </c>
      <c r="G124" s="466">
        <v>10870</v>
      </c>
      <c r="H124" s="466"/>
      <c r="I124" s="467"/>
      <c r="J124" s="467"/>
      <c r="K124" s="1692">
        <f>SUM(C124:J124)</f>
        <v>207004</v>
      </c>
      <c r="L124" s="466">
        <v>226300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0</v>
      </c>
      <c r="D127" s="1692">
        <f t="shared" ref="D127:L127" si="14">SUM(D122:D126)</f>
        <v>0</v>
      </c>
      <c r="E127" s="1692">
        <f t="shared" si="14"/>
        <v>181888</v>
      </c>
      <c r="F127" s="1692">
        <f t="shared" si="14"/>
        <v>14246</v>
      </c>
      <c r="G127" s="1692">
        <f t="shared" si="14"/>
        <v>10870</v>
      </c>
      <c r="H127" s="1692">
        <f t="shared" si="14"/>
        <v>0</v>
      </c>
      <c r="I127" s="1692">
        <f t="shared" si="14"/>
        <v>0</v>
      </c>
      <c r="J127" s="1692">
        <f t="shared" si="14"/>
        <v>0</v>
      </c>
      <c r="K127" s="1692">
        <f t="shared" si="14"/>
        <v>207004</v>
      </c>
      <c r="L127" s="1692">
        <f t="shared" si="14"/>
        <v>226300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0</v>
      </c>
      <c r="D129" s="1699">
        <f t="shared" ref="D129:L129" si="15">SUM(D120,D127,D128)</f>
        <v>0</v>
      </c>
      <c r="E129" s="1699">
        <f t="shared" si="15"/>
        <v>181888</v>
      </c>
      <c r="F129" s="1699">
        <f t="shared" si="15"/>
        <v>14246</v>
      </c>
      <c r="G129" s="1699">
        <f t="shared" si="15"/>
        <v>10870</v>
      </c>
      <c r="H129" s="1699">
        <f t="shared" si="15"/>
        <v>0</v>
      </c>
      <c r="I129" s="1699">
        <f t="shared" si="15"/>
        <v>0</v>
      </c>
      <c r="J129" s="1699">
        <f t="shared" si="15"/>
        <v>0</v>
      </c>
      <c r="K129" s="1699">
        <f t="shared" si="15"/>
        <v>207004</v>
      </c>
      <c r="L129" s="1699">
        <f t="shared" si="15"/>
        <v>226300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0</v>
      </c>
      <c r="D151" s="1692">
        <f t="shared" ref="D151:K151" si="16">SUM(D129,D130,D139,D149,D150)</f>
        <v>0</v>
      </c>
      <c r="E151" s="1692">
        <f t="shared" si="16"/>
        <v>181888</v>
      </c>
      <c r="F151" s="1692">
        <f t="shared" si="16"/>
        <v>14246</v>
      </c>
      <c r="G151" s="1692">
        <f t="shared" si="16"/>
        <v>10870</v>
      </c>
      <c r="H151" s="1692">
        <f t="shared" si="16"/>
        <v>0</v>
      </c>
      <c r="I151" s="1692">
        <f t="shared" si="16"/>
        <v>0</v>
      </c>
      <c r="J151" s="1692">
        <f t="shared" si="16"/>
        <v>0</v>
      </c>
      <c r="K151" s="1692">
        <f t="shared" si="16"/>
        <v>207004</v>
      </c>
      <c r="L151" s="1692">
        <f>SUM(L129,L130,L139,L149,L150)</f>
        <v>226300</v>
      </c>
    </row>
    <row r="152" spans="1:14" ht="12.75" customHeight="1" thickTop="1" x14ac:dyDescent="0.2">
      <c r="A152" s="2194" t="s">
        <v>1240</v>
      </c>
      <c r="B152" s="2195"/>
      <c r="C152" s="619"/>
      <c r="D152" s="619"/>
      <c r="E152" s="619"/>
      <c r="F152" s="619"/>
      <c r="G152" s="619"/>
      <c r="H152" s="619"/>
      <c r="I152" s="619"/>
      <c r="J152" s="617"/>
      <c r="K152" s="1706">
        <f>'Revenues 9-14'!D275-'Expenditures 15-22'!K151</f>
        <v>31571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v>0</v>
      </c>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178800</v>
      </c>
      <c r="I169" s="617"/>
      <c r="J169" s="617"/>
      <c r="K169" s="1693">
        <f>SUM(C169:H169)</f>
        <v>178800</v>
      </c>
      <c r="L169" s="657">
        <v>178800</v>
      </c>
    </row>
    <row r="170" spans="1:14" ht="33.75" customHeight="1" x14ac:dyDescent="0.2">
      <c r="A170" s="670" t="s">
        <v>1769</v>
      </c>
      <c r="B170" s="672" t="s">
        <v>31</v>
      </c>
      <c r="C170" s="617"/>
      <c r="D170" s="617"/>
      <c r="E170" s="617"/>
      <c r="F170" s="617"/>
      <c r="G170" s="617"/>
      <c r="H170" s="569">
        <v>144260</v>
      </c>
      <c r="I170" s="617"/>
      <c r="J170" s="617"/>
      <c r="K170" s="1693">
        <f>SUM(C170:J170)</f>
        <v>144260</v>
      </c>
      <c r="L170" s="569">
        <v>140000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323060</v>
      </c>
      <c r="I172" s="639"/>
      <c r="J172" s="617"/>
      <c r="K172" s="1699">
        <f>SUM(K168,K169,K170,K171)</f>
        <v>323060</v>
      </c>
      <c r="L172" s="1699">
        <f>SUM(L168,L169,L170,L171)</f>
        <v>318800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323060</v>
      </c>
      <c r="I174" s="639"/>
      <c r="J174" s="617"/>
      <c r="K174" s="1699">
        <f>SUM(K160,K172,K173)</f>
        <v>323060</v>
      </c>
      <c r="L174" s="1699">
        <f>SUM(L160,L172,L173)</f>
        <v>318800</v>
      </c>
    </row>
    <row r="175" spans="1:14" ht="13.5" thickTop="1" x14ac:dyDescent="0.2">
      <c r="A175" s="2174" t="s">
        <v>1053</v>
      </c>
      <c r="B175" s="2175"/>
      <c r="C175" s="617"/>
      <c r="D175" s="617"/>
      <c r="E175" s="617"/>
      <c r="F175" s="617"/>
      <c r="G175" s="617"/>
      <c r="H175" s="619"/>
      <c r="I175" s="617"/>
      <c r="J175" s="617"/>
      <c r="K175" s="1706">
        <f>'Revenues 9-14'!E275-'Expenditures 15-22'!K174</f>
        <v>-5857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77364</v>
      </c>
      <c r="D182" s="466"/>
      <c r="E182" s="466">
        <v>22672</v>
      </c>
      <c r="F182" s="466">
        <v>29483</v>
      </c>
      <c r="G182" s="466">
        <v>119660</v>
      </c>
      <c r="H182" s="466"/>
      <c r="I182" s="467"/>
      <c r="J182" s="467"/>
      <c r="K182" s="1693">
        <f>SUM(C182:J182)</f>
        <v>249179</v>
      </c>
      <c r="L182" s="466">
        <v>248660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77364</v>
      </c>
      <c r="D184" s="1699">
        <f t="shared" ref="D184:J184" si="17">SUM(D180,D182,D183)</f>
        <v>0</v>
      </c>
      <c r="E184" s="1699">
        <f t="shared" si="17"/>
        <v>22672</v>
      </c>
      <c r="F184" s="1699">
        <f t="shared" si="17"/>
        <v>29483</v>
      </c>
      <c r="G184" s="1699">
        <f t="shared" si="17"/>
        <v>119660</v>
      </c>
      <c r="H184" s="1699">
        <f t="shared" si="17"/>
        <v>0</v>
      </c>
      <c r="I184" s="1699">
        <f t="shared" si="17"/>
        <v>0</v>
      </c>
      <c r="J184" s="1699">
        <f t="shared" si="17"/>
        <v>0</v>
      </c>
      <c r="K184" s="1699">
        <f>SUM(K180,K182,K183)</f>
        <v>249179</v>
      </c>
      <c r="L184" s="1699">
        <f>SUM(L180, L182:L183)</f>
        <v>248660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1931</v>
      </c>
      <c r="I205" s="617"/>
      <c r="J205" s="617"/>
      <c r="K205" s="1707">
        <f>SUM(H205)</f>
        <v>1931</v>
      </c>
      <c r="L205" s="535">
        <v>1931</v>
      </c>
    </row>
    <row r="206" spans="1:14" ht="30" customHeight="1" x14ac:dyDescent="0.2">
      <c r="A206" s="682" t="s">
        <v>1770</v>
      </c>
      <c r="B206" s="673" t="s">
        <v>31</v>
      </c>
      <c r="C206" s="617"/>
      <c r="D206" s="617"/>
      <c r="E206" s="617"/>
      <c r="F206" s="617"/>
      <c r="G206" s="617"/>
      <c r="H206" s="466">
        <v>99177</v>
      </c>
      <c r="I206" s="617"/>
      <c r="J206" s="617"/>
      <c r="K206" s="1693">
        <f>SUM(H206)</f>
        <v>99177</v>
      </c>
      <c r="L206" s="466">
        <v>99177</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101108</v>
      </c>
      <c r="I208" s="617"/>
      <c r="J208" s="617"/>
      <c r="K208" s="1699">
        <f>SUM(K204,K205,K206,K207)</f>
        <v>101108</v>
      </c>
      <c r="L208" s="1699">
        <f>SUM(L204,L205,L206,L207)</f>
        <v>101108</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77364</v>
      </c>
      <c r="D210" s="1692">
        <f>SUM(D184,D185)</f>
        <v>0</v>
      </c>
      <c r="E210" s="1692">
        <f>SUM(E184,E185,E196)</f>
        <v>22672</v>
      </c>
      <c r="F210" s="1692">
        <f>SUM(F184,F185)</f>
        <v>29483</v>
      </c>
      <c r="G210" s="1692">
        <f>SUM(G184,G185)</f>
        <v>119660</v>
      </c>
      <c r="H210" s="1692">
        <f>SUM(H184,H185,H196,H208,H209)</f>
        <v>101108</v>
      </c>
      <c r="I210" s="1692">
        <f>SUM(I184,I185)</f>
        <v>0</v>
      </c>
      <c r="J210" s="1692">
        <f>SUM(J184,J185)</f>
        <v>0</v>
      </c>
      <c r="K210" s="1693">
        <f>SUM(K184,K185,K196,K208,K209)</f>
        <v>350287</v>
      </c>
      <c r="L210" s="1692">
        <f>SUM(L184,L185,L196,L208,L209)</f>
        <v>349768</v>
      </c>
    </row>
    <row r="211" spans="1:14" ht="13.5" thickTop="1" x14ac:dyDescent="0.2">
      <c r="A211" s="2174" t="s">
        <v>1053</v>
      </c>
      <c r="B211" s="2175"/>
      <c r="C211" s="619"/>
      <c r="D211" s="619"/>
      <c r="E211" s="619"/>
      <c r="F211" s="619"/>
      <c r="G211" s="619"/>
      <c r="H211" s="619"/>
      <c r="I211" s="617"/>
      <c r="J211" s="617"/>
      <c r="K211" s="1706">
        <f>'Revenues 9-14'!F275-'Expenditures 15-22'!K210</f>
        <v>-120671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28362</v>
      </c>
      <c r="E215" s="617"/>
      <c r="F215" s="617"/>
      <c r="G215" s="617"/>
      <c r="H215" s="617"/>
      <c r="I215" s="617"/>
      <c r="J215" s="617"/>
      <c r="K215" s="1693">
        <f>D215</f>
        <v>28362</v>
      </c>
      <c r="L215" s="466">
        <v>29620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23693</v>
      </c>
      <c r="E217" s="617"/>
      <c r="F217" s="617"/>
      <c r="G217" s="617"/>
      <c r="H217" s="617"/>
      <c r="I217" s="617"/>
      <c r="J217" s="617"/>
      <c r="K217" s="1693">
        <f t="shared" si="19"/>
        <v>23693</v>
      </c>
      <c r="L217" s="466">
        <v>22250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300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2303</v>
      </c>
      <c r="E223" s="617"/>
      <c r="F223" s="617"/>
      <c r="G223" s="617"/>
      <c r="H223" s="617"/>
      <c r="I223" s="617"/>
      <c r="J223" s="617"/>
      <c r="K223" s="1693">
        <f t="shared" si="19"/>
        <v>2303</v>
      </c>
      <c r="L223" s="466">
        <v>2600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71</v>
      </c>
      <c r="E226" s="617"/>
      <c r="F226" s="617"/>
      <c r="G226" s="617"/>
      <c r="H226" s="617"/>
      <c r="I226" s="617"/>
      <c r="J226" s="617"/>
      <c r="K226" s="1693">
        <f t="shared" si="19"/>
        <v>71</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54429</v>
      </c>
      <c r="E229" s="617"/>
      <c r="F229" s="617"/>
      <c r="G229" s="617"/>
      <c r="H229" s="617"/>
      <c r="I229" s="617"/>
      <c r="J229" s="617"/>
      <c r="K229" s="1692">
        <f>SUM(K215:K228)</f>
        <v>54429</v>
      </c>
      <c r="L229" s="1692">
        <f>SUM(L215:L228)</f>
        <v>54770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614</v>
      </c>
      <c r="E232" s="617"/>
      <c r="F232" s="617"/>
      <c r="G232" s="617"/>
      <c r="H232" s="617"/>
      <c r="I232" s="617"/>
      <c r="J232" s="617"/>
      <c r="K232" s="1693">
        <f t="shared" ref="K232:K237" si="20">D232</f>
        <v>614</v>
      </c>
      <c r="L232" s="466">
        <v>650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572</v>
      </c>
      <c r="E236" s="617"/>
      <c r="F236" s="617"/>
      <c r="G236" s="617"/>
      <c r="H236" s="617"/>
      <c r="I236" s="617"/>
      <c r="J236" s="617"/>
      <c r="K236" s="1693">
        <f t="shared" si="20"/>
        <v>572</v>
      </c>
      <c r="L236" s="466">
        <v>650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1186</v>
      </c>
      <c r="E238" s="617"/>
      <c r="F238" s="617"/>
      <c r="G238" s="617"/>
      <c r="H238" s="617"/>
      <c r="I238" s="617"/>
      <c r="J238" s="617"/>
      <c r="K238" s="1692">
        <f>SUM(K232:K237)</f>
        <v>1186</v>
      </c>
      <c r="L238" s="1692">
        <f>SUM(L232:L237)</f>
        <v>1300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1473</v>
      </c>
      <c r="E246" s="617"/>
      <c r="F246" s="617"/>
      <c r="G246" s="617"/>
      <c r="H246" s="617"/>
      <c r="I246" s="617"/>
      <c r="J246" s="617"/>
      <c r="K246" s="1694">
        <f t="shared" ref="K246:K256" si="21">D246</f>
        <v>1473</v>
      </c>
      <c r="L246" s="466">
        <v>1500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1473</v>
      </c>
      <c r="E257" s="617"/>
      <c r="F257" s="617"/>
      <c r="G257" s="617"/>
      <c r="H257" s="617"/>
      <c r="I257" s="617"/>
      <c r="J257" s="617"/>
      <c r="K257" s="1692">
        <f>SUM(K245:K256)</f>
        <v>1473</v>
      </c>
      <c r="L257" s="1692">
        <f>SUM(L245:L256)</f>
        <v>1500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16923</v>
      </c>
      <c r="E259" s="617"/>
      <c r="F259" s="617"/>
      <c r="G259" s="617"/>
      <c r="H259" s="617"/>
      <c r="I259" s="617"/>
      <c r="J259" s="617"/>
      <c r="K259" s="1694">
        <f>D259</f>
        <v>16923</v>
      </c>
      <c r="L259" s="481">
        <v>17700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16923</v>
      </c>
      <c r="E261" s="617"/>
      <c r="F261" s="617"/>
      <c r="G261" s="617"/>
      <c r="H261" s="617"/>
      <c r="I261" s="617"/>
      <c r="J261" s="617"/>
      <c r="K261" s="1692">
        <f>SUM(K259:K260)</f>
        <v>16923</v>
      </c>
      <c r="L261" s="1692">
        <f>SUM(L259:L260)</f>
        <v>17700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7816</v>
      </c>
      <c r="E264" s="617"/>
      <c r="F264" s="617"/>
      <c r="G264" s="617"/>
      <c r="H264" s="617"/>
      <c r="I264" s="617"/>
      <c r="J264" s="617"/>
      <c r="K264" s="1694">
        <f t="shared" ref="K264:K269" si="22">D264</f>
        <v>7816</v>
      </c>
      <c r="L264" s="466">
        <v>7800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21243</v>
      </c>
      <c r="E266" s="617"/>
      <c r="F266" s="617"/>
      <c r="G266" s="617"/>
      <c r="H266" s="617"/>
      <c r="I266" s="617"/>
      <c r="J266" s="617"/>
      <c r="K266" s="1694">
        <f t="shared" si="22"/>
        <v>21243</v>
      </c>
      <c r="L266" s="466">
        <v>20600</v>
      </c>
    </row>
    <row r="267" spans="1:14" x14ac:dyDescent="0.2">
      <c r="A267" s="1526" t="s">
        <v>1010</v>
      </c>
      <c r="B267" s="615">
        <v>2550</v>
      </c>
      <c r="C267" s="617"/>
      <c r="D267" s="466">
        <v>20189</v>
      </c>
      <c r="E267" s="617"/>
      <c r="F267" s="617"/>
      <c r="G267" s="617"/>
      <c r="H267" s="617"/>
      <c r="I267" s="617"/>
      <c r="J267" s="617"/>
      <c r="K267" s="1694">
        <f t="shared" si="22"/>
        <v>20189</v>
      </c>
      <c r="L267" s="466">
        <v>19800</v>
      </c>
    </row>
    <row r="268" spans="1:14" x14ac:dyDescent="0.2">
      <c r="A268" s="1526" t="s">
        <v>102</v>
      </c>
      <c r="B268" s="615">
        <v>2560</v>
      </c>
      <c r="C268" s="617"/>
      <c r="D268" s="466">
        <v>7706</v>
      </c>
      <c r="E268" s="617"/>
      <c r="F268" s="617"/>
      <c r="G268" s="617"/>
      <c r="H268" s="617"/>
      <c r="I268" s="617"/>
      <c r="J268" s="617"/>
      <c r="K268" s="1694">
        <f t="shared" si="22"/>
        <v>7706</v>
      </c>
      <c r="L268" s="466">
        <v>7500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56954</v>
      </c>
      <c r="E270" s="617"/>
      <c r="F270" s="617"/>
      <c r="G270" s="617"/>
      <c r="H270" s="617"/>
      <c r="I270" s="617"/>
      <c r="J270" s="617"/>
      <c r="K270" s="1692">
        <f>SUM(K263:K269)</f>
        <v>56954</v>
      </c>
      <c r="L270" s="1692">
        <f>SUM(L263:L269)</f>
        <v>55700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76536</v>
      </c>
      <c r="E279" s="617"/>
      <c r="F279" s="617"/>
      <c r="G279" s="617"/>
      <c r="H279" s="617"/>
      <c r="I279" s="617"/>
      <c r="J279" s="617"/>
      <c r="K279" s="1699">
        <f>SUM(K238,K243,K257,K261,K270,K277,K278)</f>
        <v>76536</v>
      </c>
      <c r="L279" s="1699">
        <f>SUM(L238,L243,L257,L261,L270,L277,L278)</f>
        <v>76200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130965</v>
      </c>
      <c r="E295" s="617"/>
      <c r="F295" s="617"/>
      <c r="G295" s="617"/>
      <c r="H295" s="1692">
        <f>H293</f>
        <v>0</v>
      </c>
      <c r="I295" s="617"/>
      <c r="J295" s="617"/>
      <c r="K295" s="1692">
        <f>SUM(K229,K279,K280,K285,K293,K294)</f>
        <v>130965</v>
      </c>
      <c r="L295" s="1692">
        <f>SUM(L229,L279,L280,L285,L293,L294)</f>
        <v>130970</v>
      </c>
    </row>
    <row r="296" spans="1:14" ht="13.5" thickTop="1" x14ac:dyDescent="0.2">
      <c r="A296" s="2174" t="s">
        <v>1053</v>
      </c>
      <c r="B296" s="2175"/>
      <c r="C296" s="617"/>
      <c r="D296" s="619"/>
      <c r="E296" s="617"/>
      <c r="F296" s="617"/>
      <c r="G296" s="617"/>
      <c r="H296" s="688"/>
      <c r="I296" s="617"/>
      <c r="J296" s="617"/>
      <c r="K296" s="1706">
        <f>'Revenues 9-14'!G275-'Expenditures 15-22'!K295</f>
        <v>36839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38174</v>
      </c>
      <c r="H301" s="466"/>
      <c r="I301" s="467"/>
      <c r="J301" s="467"/>
      <c r="K301" s="1693">
        <f>SUM(C301:J301)</f>
        <v>38174</v>
      </c>
      <c r="L301" s="467">
        <v>43000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38174</v>
      </c>
      <c r="H303" s="1699">
        <f t="shared" si="23"/>
        <v>0</v>
      </c>
      <c r="I303" s="1699">
        <f t="shared" si="23"/>
        <v>0</v>
      </c>
      <c r="J303" s="1699">
        <f t="shared" si="23"/>
        <v>0</v>
      </c>
      <c r="K303" s="1699">
        <f t="shared" si="23"/>
        <v>38174</v>
      </c>
      <c r="L303" s="1699">
        <f t="shared" si="23"/>
        <v>43000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38174</v>
      </c>
      <c r="H312" s="1692">
        <f>SUM(H303,H310)</f>
        <v>0</v>
      </c>
      <c r="I312" s="1692">
        <f>SUM(I303)</f>
        <v>0</v>
      </c>
      <c r="J312" s="1692">
        <f>SUM(J303)</f>
        <v>0</v>
      </c>
      <c r="K312" s="1692">
        <f>SUM(K303,K310,K311)</f>
        <v>38174</v>
      </c>
      <c r="L312" s="1692">
        <f>SUM(L303,L310,L311)</f>
        <v>43000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6701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47470</v>
      </c>
      <c r="F320" s="467"/>
      <c r="G320" s="467"/>
      <c r="H320" s="467"/>
      <c r="I320" s="467"/>
      <c r="J320" s="467"/>
      <c r="K320" s="1693">
        <f t="shared" ref="K320:K327" si="24">SUM(C320:J320)</f>
        <v>47470</v>
      </c>
      <c r="L320" s="467">
        <v>47470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v>32629</v>
      </c>
      <c r="F322" s="467"/>
      <c r="G322" s="467"/>
      <c r="H322" s="467"/>
      <c r="I322" s="467"/>
      <c r="J322" s="467"/>
      <c r="K322" s="1693">
        <f t="shared" si="24"/>
        <v>32629</v>
      </c>
      <c r="L322" s="467">
        <v>32630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236119</v>
      </c>
      <c r="D325" s="467"/>
      <c r="E325" s="467">
        <v>8498</v>
      </c>
      <c r="F325" s="467"/>
      <c r="G325" s="467"/>
      <c r="H325" s="467"/>
      <c r="I325" s="467"/>
      <c r="J325" s="467"/>
      <c r="K325" s="1693">
        <f t="shared" si="24"/>
        <v>244617</v>
      </c>
      <c r="L325" s="467">
        <v>243125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2500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236119</v>
      </c>
      <c r="D330" s="1692">
        <f t="shared" ref="D330:J330" si="25">SUM(D319:D329)</f>
        <v>0</v>
      </c>
      <c r="E330" s="1692">
        <f t="shared" si="25"/>
        <v>88597</v>
      </c>
      <c r="F330" s="1692">
        <f t="shared" si="25"/>
        <v>0</v>
      </c>
      <c r="G330" s="1692">
        <f t="shared" si="25"/>
        <v>0</v>
      </c>
      <c r="H330" s="1692">
        <f t="shared" si="25"/>
        <v>0</v>
      </c>
      <c r="I330" s="1692">
        <f t="shared" si="25"/>
        <v>0</v>
      </c>
      <c r="J330" s="1692">
        <f t="shared" si="25"/>
        <v>0</v>
      </c>
      <c r="K330" s="1692">
        <f>SUM(K319:K329)</f>
        <v>324716</v>
      </c>
      <c r="L330" s="1692">
        <f>SUM(L319:L329)</f>
        <v>325725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236119</v>
      </c>
      <c r="D342" s="1692">
        <f>SUM(D330)</f>
        <v>0</v>
      </c>
      <c r="E342" s="1692">
        <f>SUM(E330)</f>
        <v>88597</v>
      </c>
      <c r="F342" s="1692">
        <f>SUM(F330)</f>
        <v>0</v>
      </c>
      <c r="G342" s="1692">
        <f>SUM(G330)</f>
        <v>0</v>
      </c>
      <c r="H342" s="1692">
        <f>SUM(H330,H334,H340)</f>
        <v>0</v>
      </c>
      <c r="I342" s="1692">
        <f>SUM(I330)</f>
        <v>0</v>
      </c>
      <c r="J342" s="1692">
        <f>SUM(J330)</f>
        <v>0</v>
      </c>
      <c r="K342" s="1692">
        <f>SUM(K330,K334,K340)</f>
        <v>324716</v>
      </c>
      <c r="L342" s="1699">
        <f>SUM(L330,L340,L341)</f>
        <v>325725</v>
      </c>
    </row>
    <row r="343" spans="1:14" ht="12.75" customHeight="1" thickTop="1" x14ac:dyDescent="0.2">
      <c r="A343" s="2187" t="s">
        <v>1053</v>
      </c>
      <c r="B343" s="2188"/>
      <c r="C343" s="617"/>
      <c r="D343" s="617"/>
      <c r="E343" s="617"/>
      <c r="F343" s="617"/>
      <c r="G343" s="617"/>
      <c r="H343" s="617"/>
      <c r="I343" s="617"/>
      <c r="J343" s="617"/>
      <c r="K343" s="1706">
        <f>'Revenues 9-14'!J275-'Expenditures 15-22'!K342</f>
        <v>2831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27846</v>
      </c>
      <c r="F348" s="466"/>
      <c r="G348" s="466"/>
      <c r="H348" s="466"/>
      <c r="I348" s="467"/>
      <c r="J348" s="467"/>
      <c r="K348" s="1693">
        <f>SUM(C348:J348)</f>
        <v>27846</v>
      </c>
      <c r="L348" s="466">
        <v>25000</v>
      </c>
    </row>
    <row r="349" spans="1:14" x14ac:dyDescent="0.2">
      <c r="A349" s="1526" t="s">
        <v>206</v>
      </c>
      <c r="B349" s="615">
        <v>2540</v>
      </c>
      <c r="C349" s="466"/>
      <c r="D349" s="466"/>
      <c r="E349" s="466"/>
      <c r="F349" s="466"/>
      <c r="G349" s="466"/>
      <c r="H349" s="466"/>
      <c r="I349" s="467"/>
      <c r="J349" s="467"/>
      <c r="K349" s="1693">
        <f>SUM(C349:J349)</f>
        <v>0</v>
      </c>
      <c r="L349" s="466">
        <v>5500</v>
      </c>
    </row>
    <row r="350" spans="1:14" ht="12.75" customHeight="1" thickBot="1" x14ac:dyDescent="0.25">
      <c r="A350" s="1690" t="s">
        <v>743</v>
      </c>
      <c r="B350" s="1691" t="s">
        <v>35</v>
      </c>
      <c r="C350" s="1692">
        <f>SUM(C348:C349)</f>
        <v>0</v>
      </c>
      <c r="D350" s="1692">
        <f t="shared" ref="D350:L350" si="26">SUM(D348:D349)</f>
        <v>0</v>
      </c>
      <c r="E350" s="1692">
        <f t="shared" si="26"/>
        <v>27846</v>
      </c>
      <c r="F350" s="1692">
        <f t="shared" si="26"/>
        <v>0</v>
      </c>
      <c r="G350" s="1692">
        <f t="shared" si="26"/>
        <v>0</v>
      </c>
      <c r="H350" s="1692">
        <f t="shared" si="26"/>
        <v>0</v>
      </c>
      <c r="I350" s="1692">
        <f t="shared" si="26"/>
        <v>0</v>
      </c>
      <c r="J350" s="1692">
        <f t="shared" si="26"/>
        <v>0</v>
      </c>
      <c r="K350" s="1692">
        <f t="shared" si="26"/>
        <v>27846</v>
      </c>
      <c r="L350" s="1692">
        <f t="shared" si="26"/>
        <v>30500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27846</v>
      </c>
      <c r="F352" s="1692">
        <f t="shared" si="27"/>
        <v>0</v>
      </c>
      <c r="G352" s="1692">
        <f t="shared" si="27"/>
        <v>0</v>
      </c>
      <c r="H352" s="1692">
        <f t="shared" si="27"/>
        <v>0</v>
      </c>
      <c r="I352" s="1692">
        <f t="shared" si="27"/>
        <v>0</v>
      </c>
      <c r="J352" s="1692">
        <f t="shared" si="27"/>
        <v>0</v>
      </c>
      <c r="K352" s="1692">
        <f t="shared" si="27"/>
        <v>27846</v>
      </c>
      <c r="L352" s="1692">
        <f t="shared" si="27"/>
        <v>30500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v>0</v>
      </c>
    </row>
    <row r="355" spans="1:14" ht="12.75" customHeight="1" x14ac:dyDescent="0.2">
      <c r="A355" s="1535" t="s">
        <v>1965</v>
      </c>
      <c r="B355" s="691" t="s">
        <v>1958</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27846</v>
      </c>
      <c r="F367" s="1692">
        <f t="shared" si="28"/>
        <v>0</v>
      </c>
      <c r="G367" s="1692">
        <f t="shared" si="28"/>
        <v>0</v>
      </c>
      <c r="H367" s="1692">
        <f t="shared" si="28"/>
        <v>0</v>
      </c>
      <c r="I367" s="1692">
        <f t="shared" si="28"/>
        <v>0</v>
      </c>
      <c r="J367" s="1692">
        <f t="shared" si="28"/>
        <v>0</v>
      </c>
      <c r="K367" s="1692">
        <f t="shared" si="28"/>
        <v>27846</v>
      </c>
      <c r="L367" s="1692">
        <f t="shared" si="28"/>
        <v>30500</v>
      </c>
    </row>
    <row r="368" spans="1:14" ht="13.5" thickTop="1" x14ac:dyDescent="0.2">
      <c r="A368" s="2174" t="s">
        <v>1053</v>
      </c>
      <c r="B368" s="2175"/>
      <c r="C368" s="655"/>
      <c r="D368" s="655"/>
      <c r="E368" s="627"/>
      <c r="F368" s="627"/>
      <c r="G368" s="627"/>
      <c r="H368" s="627"/>
      <c r="I368" s="627"/>
      <c r="J368" s="624"/>
      <c r="K368" s="1693">
        <f>'Revenues 9-14'!K275-'Expenditures 15-22'!K367</f>
        <v>-4951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elements/1.1/"/>
    <ds:schemaRef ds:uri="http://purl.org/dc/dcmitype/"/>
    <ds:schemaRef ds:uri="d21dc803-237d-4c68-8692-8d731fd29118"/>
    <ds:schemaRef ds:uri="4d435f69-8686-490b-bd6d-b153bf22ab50"/>
    <ds:schemaRef ds:uri="http://schemas.openxmlformats.org/package/2006/metadata/core-properties"/>
    <ds:schemaRef ds:uri="http://schemas.microsoft.com/sharepoint/v3"/>
    <ds:schemaRef ds:uri="http://schemas.microsoft.com/office/infopath/2007/PartnerControls"/>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2018-10-14T20:24:51Z</cp:lastPrinted>
  <dcterms:created xsi:type="dcterms:W3CDTF">2003-10-29T19:06:34Z</dcterms:created>
  <dcterms:modified xsi:type="dcterms:W3CDTF">2018-10-29T15:44:53Z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