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67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39" i="3" l="1"/>
  <c r="C38" i="3"/>
  <c r="J15" i="12" l="1"/>
  <c r="J8" i="12"/>
  <c r="I10" i="11" l="1"/>
  <c r="I8" i="11"/>
  <c r="I12" i="11"/>
  <c r="D12" i="11"/>
  <c r="G39" i="3" l="1"/>
  <c r="D182" i="34"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K355" i="29"/>
  <c r="B7794" i="106" s="1"/>
  <c r="D7794" i="106" s="1"/>
  <c r="K354" i="29"/>
  <c r="B7792" i="106" s="1"/>
  <c r="D7792" i="106" s="1"/>
  <c r="H357" i="29"/>
  <c r="L334" i="29"/>
  <c r="K333" i="29"/>
  <c r="B7788" i="106" s="1"/>
  <c r="K332" i="29"/>
  <c r="B7786" i="106" s="1"/>
  <c r="D7786" i="106" s="1"/>
  <c r="H334" i="29"/>
  <c r="B7789" i="106" s="1"/>
  <c r="D7789" i="106" s="1"/>
  <c r="K282" i="29"/>
  <c r="B7784" i="106" s="1"/>
  <c r="H160" i="29"/>
  <c r="K159" i="29"/>
  <c r="B7782" i="106" s="1"/>
  <c r="D7782" i="106" s="1"/>
  <c r="K158" i="29"/>
  <c r="B7780" i="106" s="1"/>
  <c r="D7780" i="106" s="1"/>
  <c r="K157" i="29"/>
  <c r="B7778" i="106" s="1"/>
  <c r="D7778" i="106" s="1"/>
  <c r="B7795" i="106"/>
  <c r="K133" i="29"/>
  <c r="B7776" i="106" s="1"/>
  <c r="B7793" i="106"/>
  <c r="D7793" i="106" s="1"/>
  <c r="B7791" i="106"/>
  <c r="B7787" i="106"/>
  <c r="B7785" i="106"/>
  <c r="D7785" i="106" s="1"/>
  <c r="B7783" i="106"/>
  <c r="D7783" i="106" s="1"/>
  <c r="B7781" i="106"/>
  <c r="B7779" i="106"/>
  <c r="D7779" i="106" s="1"/>
  <c r="B7777" i="106"/>
  <c r="D7777" i="106" s="1"/>
  <c r="B7775" i="106"/>
  <c r="D7775" i="106" s="1"/>
  <c r="B7774" i="106"/>
  <c r="D7774" i="106" s="1"/>
  <c r="L357" i="29"/>
  <c r="L285" i="29"/>
  <c r="D285" i="29"/>
  <c r="B3722" i="106" s="1"/>
  <c r="D3722" i="106" s="1"/>
  <c r="L160" i="29"/>
  <c r="L137" i="29"/>
  <c r="L139" i="29" s="1"/>
  <c r="H137" i="29"/>
  <c r="H139" i="29" s="1"/>
  <c r="B1267" i="106" s="1"/>
  <c r="D1267" i="106" s="1"/>
  <c r="E137" i="29"/>
  <c r="E139" i="29" s="1"/>
  <c r="B4203" i="106" s="1"/>
  <c r="D4203" i="106" s="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c r="G132" i="181" s="1"/>
  <c r="F131" i="181"/>
  <c r="G131" i="181" s="1"/>
  <c r="E131" i="181"/>
  <c r="F130" i="181"/>
  <c r="G130" i="181" s="1"/>
  <c r="E130" i="181"/>
  <c r="F129" i="181"/>
  <c r="G129" i="181" s="1"/>
  <c r="E129" i="181"/>
  <c r="F128" i="181"/>
  <c r="G128" i="181" s="1"/>
  <c r="E128" i="181"/>
  <c r="E127" i="181"/>
  <c r="F127" i="181"/>
  <c r="G127" i="181" s="1"/>
  <c r="F126" i="181"/>
  <c r="G126" i="181" s="1"/>
  <c r="E126" i="181"/>
  <c r="F125" i="181"/>
  <c r="G125" i="181" s="1"/>
  <c r="E125" i="181"/>
  <c r="F124" i="181"/>
  <c r="G124" i="181" s="1"/>
  <c r="E124" i="181"/>
  <c r="E123" i="181"/>
  <c r="F123" i="18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c r="G114" i="181" s="1"/>
  <c r="F113" i="181"/>
  <c r="G113" i="181" s="1"/>
  <c r="E113" i="181"/>
  <c r="F112" i="181"/>
  <c r="G112" i="181" s="1"/>
  <c r="E112" i="181"/>
  <c r="F111" i="181"/>
  <c r="G111" i="181" s="1"/>
  <c r="E111" i="181"/>
  <c r="E110" i="181"/>
  <c r="F110" i="18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c r="G102" i="181" s="1"/>
  <c r="F101" i="181"/>
  <c r="G101" i="181" s="1"/>
  <c r="E101" i="181"/>
  <c r="E100" i="181"/>
  <c r="F100" i="181"/>
  <c r="G100" i="181" s="1"/>
  <c r="F98" i="181"/>
  <c r="G98" i="181" s="1"/>
  <c r="E98" i="181"/>
  <c r="E97" i="181"/>
  <c r="F97" i="181"/>
  <c r="G97" i="181" s="1"/>
  <c r="F96" i="181"/>
  <c r="G96" i="181" s="1"/>
  <c r="E96" i="181"/>
  <c r="E95" i="181"/>
  <c r="F95" i="181"/>
  <c r="G95" i="181" s="1"/>
  <c r="F93" i="181"/>
  <c r="G93" i="181" s="1"/>
  <c r="E93" i="181"/>
  <c r="F92" i="181"/>
  <c r="G92" i="181" s="1"/>
  <c r="E92" i="181"/>
  <c r="E91" i="181"/>
  <c r="F91" i="181"/>
  <c r="G91" i="181" s="1"/>
  <c r="F90" i="181"/>
  <c r="G90" i="181" s="1"/>
  <c r="E90" i="181"/>
  <c r="F89" i="181"/>
  <c r="G89" i="181" s="1"/>
  <c r="E89" i="181"/>
  <c r="E88" i="181"/>
  <c r="F88" i="181"/>
  <c r="G88" i="181" s="1"/>
  <c r="F87" i="181"/>
  <c r="G87" i="181" s="1"/>
  <c r="E87" i="181"/>
  <c r="E86" i="181"/>
  <c r="F86" i="18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c r="G75" i="181" s="1"/>
  <c r="F74" i="181"/>
  <c r="G74" i="181" s="1"/>
  <c r="E74" i="181"/>
  <c r="F73" i="181"/>
  <c r="G73" i="181" s="1"/>
  <c r="E73" i="181"/>
  <c r="F140" i="181"/>
  <c r="G140" i="181" s="1"/>
  <c r="E140" i="181"/>
  <c r="F94" i="181"/>
  <c r="G94" i="181" s="1"/>
  <c r="E94" i="181"/>
  <c r="F85" i="181"/>
  <c r="G85" i="181" s="1"/>
  <c r="E85" i="181"/>
  <c r="E72" i="181"/>
  <c r="F72" i="181"/>
  <c r="G72" i="181" s="1"/>
  <c r="F71" i="181"/>
  <c r="G71" i="181" s="1"/>
  <c r="E71" i="181"/>
  <c r="F70" i="181"/>
  <c r="G70" i="181" s="1"/>
  <c r="E70" i="181"/>
  <c r="F69" i="181"/>
  <c r="G69" i="181" s="1"/>
  <c r="E69" i="181"/>
  <c r="F68" i="181"/>
  <c r="G68" i="181" s="1"/>
  <c r="E68" i="181"/>
  <c r="F67" i="181"/>
  <c r="G67" i="181" s="1"/>
  <c r="E67" i="181"/>
  <c r="F66" i="181"/>
  <c r="G66" i="181" s="1"/>
  <c r="E66" i="181"/>
  <c r="E65" i="181"/>
  <c r="F65" i="181"/>
  <c r="G65" i="181" s="1"/>
  <c r="E64" i="181"/>
  <c r="F64" i="181"/>
  <c r="G64" i="181" s="1"/>
  <c r="F63" i="181"/>
  <c r="G63" i="181" s="1"/>
  <c r="E63" i="181"/>
  <c r="F62" i="181"/>
  <c r="G62" i="181" s="1"/>
  <c r="E62" i="181"/>
  <c r="F61" i="181"/>
  <c r="G61" i="181" s="1"/>
  <c r="E61" i="181"/>
  <c r="E60" i="181"/>
  <c r="F60" i="181"/>
  <c r="G60" i="181" s="1"/>
  <c r="F59" i="181"/>
  <c r="G59" i="181" s="1"/>
  <c r="E59" i="181"/>
  <c r="E58" i="181"/>
  <c r="F58" i="181"/>
  <c r="G58" i="181" s="1"/>
  <c r="F57" i="181"/>
  <c r="G57" i="181" s="1"/>
  <c r="E57" i="181"/>
  <c r="E56" i="181"/>
  <c r="F56" i="181"/>
  <c r="G56" i="181" s="1"/>
  <c r="F55" i="181"/>
  <c r="G55" i="181" s="1"/>
  <c r="E55" i="181"/>
  <c r="E54" i="181"/>
  <c r="F54" i="181"/>
  <c r="G54" i="181" s="1"/>
  <c r="F53" i="181"/>
  <c r="G53" i="181" s="1"/>
  <c r="E53" i="181"/>
  <c r="F52" i="181"/>
  <c r="G52" i="181" s="1"/>
  <c r="E52" i="181"/>
  <c r="F51" i="181"/>
  <c r="G51" i="181" s="1"/>
  <c r="E51" i="181"/>
  <c r="F50" i="181"/>
  <c r="G50" i="181" s="1"/>
  <c r="E50" i="181"/>
  <c r="F49" i="181"/>
  <c r="G49" i="181" s="1"/>
  <c r="E49" i="181"/>
  <c r="E48" i="181"/>
  <c r="F48" i="181"/>
  <c r="G48" i="181" s="1"/>
  <c r="F47" i="181"/>
  <c r="G47" i="181" s="1"/>
  <c r="E47" i="181"/>
  <c r="F46" i="181"/>
  <c r="G46" i="181" s="1"/>
  <c r="E46" i="181"/>
  <c r="F45" i="181"/>
  <c r="G45" i="181" s="1"/>
  <c r="E45" i="181"/>
  <c r="F44" i="181"/>
  <c r="G44" i="181" s="1"/>
  <c r="E44" i="181"/>
  <c r="E43" i="181"/>
  <c r="F43" i="181"/>
  <c r="G43" i="181" s="1"/>
  <c r="E42" i="181"/>
  <c r="F42" i="18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c r="G33" i="181" s="1"/>
  <c r="F32" i="181"/>
  <c r="G32" i="181" s="1"/>
  <c r="E32" i="181"/>
  <c r="F31" i="181"/>
  <c r="G31" i="181" s="1"/>
  <c r="E31" i="181"/>
  <c r="F30" i="181"/>
  <c r="G30" i="181" s="1"/>
  <c r="E30" i="181"/>
  <c r="E29" i="181"/>
  <c r="F29" i="181"/>
  <c r="G29" i="181" s="1"/>
  <c r="F28" i="181"/>
  <c r="G28" i="181" s="1"/>
  <c r="E28" i="181"/>
  <c r="E27" i="181"/>
  <c r="F27" i="181"/>
  <c r="G27" i="181" s="1"/>
  <c r="F26" i="181"/>
  <c r="G26" i="181" s="1"/>
  <c r="E26" i="181"/>
  <c r="E25" i="181"/>
  <c r="F25" i="181"/>
  <c r="G25" i="181" s="1"/>
  <c r="F24" i="181"/>
  <c r="G24" i="181" s="1"/>
  <c r="E24" i="181"/>
  <c r="F23" i="181"/>
  <c r="G23" i="181" s="1"/>
  <c r="E23" i="181"/>
  <c r="F22" i="181"/>
  <c r="G22" i="181" s="1"/>
  <c r="E22" i="181"/>
  <c r="F21" i="181"/>
  <c r="G21" i="181" s="1"/>
  <c r="E21" i="181"/>
  <c r="F20" i="181"/>
  <c r="G20" i="181" s="1"/>
  <c r="E20" i="181"/>
  <c r="E19" i="181"/>
  <c r="F19" i="181"/>
  <c r="G19" i="181" s="1"/>
  <c r="F18" i="181"/>
  <c r="G18" i="181" s="1"/>
  <c r="E18" i="181"/>
  <c r="D141" i="181"/>
  <c r="D80" i="36" s="1"/>
  <c r="E17" i="181"/>
  <c r="E16" i="181"/>
  <c r="F16" i="181" s="1"/>
  <c r="G16" i="181" s="1"/>
  <c r="F17" i="181"/>
  <c r="G17"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1"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D7773" i="106" s="1"/>
  <c r="B61" i="106"/>
  <c r="B52" i="106"/>
  <c r="B51" i="106"/>
  <c r="B49" i="106"/>
  <c r="B48" i="106"/>
  <c r="B47" i="106"/>
  <c r="B46" i="106"/>
  <c r="B45" i="106"/>
  <c r="B44" i="106"/>
  <c r="B43" i="106"/>
  <c r="B42" i="106"/>
  <c r="B41" i="106"/>
  <c r="B50" i="106"/>
  <c r="F163" i="34"/>
  <c r="B7769" i="106"/>
  <c r="D7769" i="106" s="1"/>
  <c r="B7768" i="106"/>
  <c r="D7768" i="106" s="1"/>
  <c r="B7766" i="106"/>
  <c r="D7766" i="106" s="1"/>
  <c r="B7765" i="106"/>
  <c r="B7764" i="106"/>
  <c r="J85" i="28"/>
  <c r="B7758" i="106" s="1"/>
  <c r="D7758" i="106" s="1"/>
  <c r="J88" i="28"/>
  <c r="B7759" i="106" s="1"/>
  <c r="D7759" i="106" s="1"/>
  <c r="K6" i="29"/>
  <c r="B7763" i="106" s="1"/>
  <c r="B7762" i="106"/>
  <c r="K12" i="12"/>
  <c r="B7719" i="106" s="1"/>
  <c r="D7719" i="106" s="1"/>
  <c r="K23" i="12"/>
  <c r="J12" i="12"/>
  <c r="J21" i="12"/>
  <c r="J23" i="12"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D7761" i="106" s="1"/>
  <c r="L127" i="29"/>
  <c r="L129" i="29" s="1"/>
  <c r="L149" i="29"/>
  <c r="I7" i="145"/>
  <c r="I6" i="145"/>
  <c r="D78" i="36"/>
  <c r="K75" i="29"/>
  <c r="F52" i="34" s="1"/>
  <c r="K130" i="29"/>
  <c r="B2805" i="106" s="1"/>
  <c r="D2805" i="106" s="1"/>
  <c r="K185" i="29"/>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2" i="106" s="1"/>
  <c r="D122" i="106" s="1"/>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39" i="106" s="1"/>
  <c r="D139" i="106" s="1"/>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69" i="106" s="1"/>
  <c r="D169" i="106" s="1"/>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8" i="106" s="1"/>
  <c r="D188" i="106" s="1"/>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H41" i="3" s="1"/>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1" i="106" s="1"/>
  <c r="D1021" i="106" s="1"/>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B1109" i="106" s="1"/>
  <c r="D1109" i="106" s="1"/>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B1146" i="106" s="1"/>
  <c r="D1146" i="106" s="1"/>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C151" i="29" s="1"/>
  <c r="B1226" i="106" s="1"/>
  <c r="D1226" i="106" s="1"/>
  <c r="B1224" i="106"/>
  <c r="D1224" i="106" s="1"/>
  <c r="B1227" i="106"/>
  <c r="D1227" i="106" s="1"/>
  <c r="B1228" i="106"/>
  <c r="D1228" i="106" s="1"/>
  <c r="B1229" i="106"/>
  <c r="D1229" i="106" s="1"/>
  <c r="D1230" i="106"/>
  <c r="D127" i="29"/>
  <c r="D129" i="29" s="1"/>
  <c r="D151" i="29" s="1"/>
  <c r="B1232" i="106"/>
  <c r="D1232" i="106" s="1"/>
  <c r="B1235" i="106"/>
  <c r="D1235" i="106" s="1"/>
  <c r="B1236" i="106"/>
  <c r="D1236" i="106" s="1"/>
  <c r="B1237" i="106"/>
  <c r="D1237" i="106" s="1"/>
  <c r="D1238" i="106"/>
  <c r="E127" i="29"/>
  <c r="E129" i="29" s="1"/>
  <c r="B1241" i="106" s="1"/>
  <c r="D1241" i="106" s="1"/>
  <c r="B1240" i="106"/>
  <c r="D1240" i="106" s="1"/>
  <c r="B1243" i="106"/>
  <c r="D1243" i="106" s="1"/>
  <c r="B1244" i="106"/>
  <c r="D1244" i="106" s="1"/>
  <c r="B1245" i="106"/>
  <c r="D1245" i="106" s="1"/>
  <c r="D1246" i="106"/>
  <c r="F127" i="29"/>
  <c r="F129" i="29" s="1"/>
  <c r="F151" i="29" s="1"/>
  <c r="B1250" i="106" s="1"/>
  <c r="D1250" i="106" s="1"/>
  <c r="B1248" i="106"/>
  <c r="D1248" i="106" s="1"/>
  <c r="B1251" i="106"/>
  <c r="D1251" i="106" s="1"/>
  <c r="B1252" i="106"/>
  <c r="D1252" i="106" s="1"/>
  <c r="B1253" i="106"/>
  <c r="D1253" i="106" s="1"/>
  <c r="B1254" i="106"/>
  <c r="D1254" i="106" s="1"/>
  <c r="D1255" i="106"/>
  <c r="G127" i="29"/>
  <c r="G129" i="29" s="1"/>
  <c r="G151" i="29" s="1"/>
  <c r="F58" i="34" s="1"/>
  <c r="B1257" i="106"/>
  <c r="D1257" i="106" s="1"/>
  <c r="B1260" i="106"/>
  <c r="D1260" i="106" s="1"/>
  <c r="B1261" i="106"/>
  <c r="D1261" i="106" s="1"/>
  <c r="B1262" i="106"/>
  <c r="D1262" i="106" s="1"/>
  <c r="D1263" i="106"/>
  <c r="H127" i="29"/>
  <c r="H129" i="29" s="1"/>
  <c r="B1265" i="106"/>
  <c r="D1265"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H172" i="29" s="1"/>
  <c r="B1317" i="106" s="1"/>
  <c r="D1317" i="106" s="1"/>
  <c r="B1315" i="106"/>
  <c r="D1315" i="106" s="1"/>
  <c r="B1316" i="106"/>
  <c r="D1316" i="106" s="1"/>
  <c r="D1319" i="106"/>
  <c r="D1320" i="106"/>
  <c r="D1321" i="106"/>
  <c r="D1322" i="106"/>
  <c r="B1323" i="106"/>
  <c r="D1323" i="106" s="1"/>
  <c r="K163" i="29"/>
  <c r="K164" i="29"/>
  <c r="B1325" i="106" s="1"/>
  <c r="D1325" i="106" s="1"/>
  <c r="K169" i="29"/>
  <c r="B1326" i="106" s="1"/>
  <c r="D1326" i="106" s="1"/>
  <c r="K167" i="29"/>
  <c r="B1327" i="106" s="1"/>
  <c r="D1327" i="106" s="1"/>
  <c r="K165" i="29"/>
  <c r="B2818" i="106" s="1"/>
  <c r="D2818" i="106" s="1"/>
  <c r="K166" i="29"/>
  <c r="B2819" i="106" s="1"/>
  <c r="D2819" i="106" s="1"/>
  <c r="K170" i="29"/>
  <c r="F61" i="34" s="1"/>
  <c r="K171" i="29"/>
  <c r="B1330" i="106" s="1"/>
  <c r="D1330" i="106" s="1"/>
  <c r="D1334" i="106"/>
  <c r="B1335" i="106"/>
  <c r="D1335" i="106" s="1"/>
  <c r="D1336" i="106"/>
  <c r="D1337" i="106"/>
  <c r="B1338" i="106"/>
  <c r="D1338" i="106" s="1"/>
  <c r="C184" i="29"/>
  <c r="C210" i="29" s="1"/>
  <c r="B1340" i="106" s="1"/>
  <c r="D1340" i="106" s="1"/>
  <c r="B1341" i="106"/>
  <c r="D1341" i="106" s="1"/>
  <c r="D1342" i="106"/>
  <c r="D1343" i="106"/>
  <c r="B1344" i="106"/>
  <c r="D1344" i="106" s="1"/>
  <c r="D184" i="29"/>
  <c r="D210" i="29" s="1"/>
  <c r="B1346" i="106" s="1"/>
  <c r="D1346" i="106" s="1"/>
  <c r="B1347" i="106"/>
  <c r="D1347" i="106" s="1"/>
  <c r="D1348" i="106"/>
  <c r="D1349" i="106"/>
  <c r="B1350" i="106"/>
  <c r="D1350" i="106" s="1"/>
  <c r="E184" i="29"/>
  <c r="E194" i="29"/>
  <c r="E196" i="29" s="1"/>
  <c r="B1352" i="106" s="1"/>
  <c r="D1352" i="106" s="1"/>
  <c r="B1354" i="106"/>
  <c r="D1354" i="106" s="1"/>
  <c r="D1355" i="106"/>
  <c r="D1356" i="106"/>
  <c r="B1357" i="106"/>
  <c r="D1357" i="106" s="1"/>
  <c r="F184" i="29"/>
  <c r="F210" i="29" s="1"/>
  <c r="B1359" i="106" s="1"/>
  <c r="D1359" i="106" s="1"/>
  <c r="B1360" i="106"/>
  <c r="D1360" i="106" s="1"/>
  <c r="D1361" i="106"/>
  <c r="D1362" i="106"/>
  <c r="B1363" i="106"/>
  <c r="D1363" i="106" s="1"/>
  <c r="G184" i="29"/>
  <c r="G210" i="29" s="1"/>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H196" i="29" s="1"/>
  <c r="B2830" i="106" s="1"/>
  <c r="D2830" i="106" s="1"/>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B2842" i="106" s="1"/>
  <c r="D2842" i="106" s="1"/>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7" i="106" s="1"/>
  <c r="D1417" i="106" s="1"/>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H295" i="29" s="1"/>
  <c r="B1454" i="106" s="1"/>
  <c r="D1454"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K228" i="29"/>
  <c r="B3392" i="106" s="1"/>
  <c r="D3392" i="106" s="1"/>
  <c r="K232" i="29"/>
  <c r="B1475" i="106" s="1"/>
  <c r="D1475" i="106" s="1"/>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B1492" i="106" s="1"/>
  <c r="D1492" i="106" s="1"/>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F72" i="34" s="1"/>
  <c r="K288" i="29"/>
  <c r="B1512" i="106" s="1"/>
  <c r="D1512" i="106" s="1"/>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3" i="106" s="1"/>
  <c r="D1523" i="106" s="1"/>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F312" i="29" s="1"/>
  <c r="B1542" i="106" s="1"/>
  <c r="D1542"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B1555" i="106" s="1"/>
  <c r="D1555" i="106" s="1"/>
  <c r="D1556" i="106"/>
  <c r="D1557" i="106"/>
  <c r="K302" i="29"/>
  <c r="B1558" i="106" s="1"/>
  <c r="D1558" i="106" s="1"/>
  <c r="K306" i="29"/>
  <c r="B7107" i="106" s="1"/>
  <c r="D7107" i="106" s="1"/>
  <c r="K307" i="29"/>
  <c r="B4099" i="106" s="1"/>
  <c r="D4099" i="106" s="1"/>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B1867" i="106" s="1"/>
  <c r="D1867" i="106"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B1977" i="106" s="1"/>
  <c r="D1977" i="106" s="1"/>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29" i="106" s="1"/>
  <c r="D3229" i="106" s="1"/>
  <c r="B3230" i="106"/>
  <c r="D3230" i="106" s="1"/>
  <c r="C76" i="4"/>
  <c r="B3231" i="106" s="1"/>
  <c r="D3231" i="106" s="1"/>
  <c r="B3234" i="106"/>
  <c r="D3234" i="106" s="1"/>
  <c r="D44" i="4"/>
  <c r="B3235" i="106" s="1"/>
  <c r="D3235" i="106" s="1"/>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6" i="106" s="1"/>
  <c r="D3296"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C367" i="29" s="1"/>
  <c r="B3622" i="106" s="1"/>
  <c r="D3622"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E352" i="29" s="1"/>
  <c r="E367" i="29" s="1"/>
  <c r="B3636" i="106" s="1"/>
  <c r="D3636" i="106" s="1"/>
  <c r="B3634" i="106"/>
  <c r="D3634" i="106" s="1"/>
  <c r="D3637" i="106"/>
  <c r="B3638" i="106"/>
  <c r="D3638" i="106" s="1"/>
  <c r="B3639" i="106"/>
  <c r="D3639" i="106" s="1"/>
  <c r="F350" i="29"/>
  <c r="F352" i="29" s="1"/>
  <c r="F367" i="29" s="1"/>
  <c r="B3643" i="106" s="1"/>
  <c r="D3643" i="106" s="1"/>
  <c r="B3641" i="106"/>
  <c r="D3641" i="106" s="1"/>
  <c r="D3644" i="106"/>
  <c r="B3645" i="106"/>
  <c r="D3645" i="106" s="1"/>
  <c r="B3646" i="106"/>
  <c r="D3646" i="106" s="1"/>
  <c r="G350" i="29"/>
  <c r="B3647" i="106" s="1"/>
  <c r="D3647" i="106" s="1"/>
  <c r="B3648" i="106"/>
  <c r="D3648" i="106" s="1"/>
  <c r="D3651" i="106"/>
  <c r="B3652" i="106"/>
  <c r="D3652" i="106" s="1"/>
  <c r="B3653" i="106"/>
  <c r="D3653" i="106" s="1"/>
  <c r="H350" i="29"/>
  <c r="H352" i="29" s="1"/>
  <c r="B3656" i="106" s="1"/>
  <c r="D3656"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7" i="106" s="1"/>
  <c r="D6877" i="106" s="1"/>
  <c r="B6878" i="106"/>
  <c r="D6878" i="106" s="1"/>
  <c r="K21" i="29"/>
  <c r="B6879" i="106" s="1"/>
  <c r="D6879" i="106" s="1"/>
  <c r="B6880" i="106"/>
  <c r="D6880" i="106" s="1"/>
  <c r="K22" i="29"/>
  <c r="B6881" i="106" s="1"/>
  <c r="D6881" i="106" s="1"/>
  <c r="B6882" i="106"/>
  <c r="D6882" i="106" s="1"/>
  <c r="K23" i="29"/>
  <c r="B6883" i="106" s="1"/>
  <c r="D6883" i="106" s="1"/>
  <c r="B6884" i="106"/>
  <c r="D6884" i="106" s="1"/>
  <c r="K24" i="29"/>
  <c r="F43" i="34" s="1"/>
  <c r="B6886" i="106"/>
  <c r="D6886" i="106" s="1"/>
  <c r="K25" i="29"/>
  <c r="B6887" i="106" s="1"/>
  <c r="D6887" i="106" s="1"/>
  <c r="B6888" i="106"/>
  <c r="D6888" i="106" s="1"/>
  <c r="K26" i="29"/>
  <c r="B6889" i="106" s="1"/>
  <c r="D6889" i="106" s="1"/>
  <c r="B6890" i="106"/>
  <c r="D6890" i="106" s="1"/>
  <c r="K27" i="29"/>
  <c r="B6891" i="106" s="1"/>
  <c r="D6891" i="106" s="1"/>
  <c r="B6892" i="106"/>
  <c r="D6892" i="106" s="1"/>
  <c r="K28" i="29"/>
  <c r="B6893" i="106" s="1"/>
  <c r="D6893" i="106" s="1"/>
  <c r="B6894" i="106"/>
  <c r="D6894" i="106" s="1"/>
  <c r="K29" i="29"/>
  <c r="B6895" i="106" s="1"/>
  <c r="D6895" i="106" s="1"/>
  <c r="B6896" i="106"/>
  <c r="D6896" i="106" s="1"/>
  <c r="K30" i="29"/>
  <c r="B6897" i="106" s="1"/>
  <c r="D6897" i="106" s="1"/>
  <c r="B6898" i="106"/>
  <c r="D6898" i="106" s="1"/>
  <c r="K31" i="29"/>
  <c r="B6899" i="106" s="1"/>
  <c r="D6899" i="106" s="1"/>
  <c r="B6900" i="106"/>
  <c r="D6900" i="106" s="1"/>
  <c r="K32" i="29"/>
  <c r="B6901" i="106" s="1"/>
  <c r="D6901"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B6916" i="106" s="1"/>
  <c r="D6916" i="106" s="1"/>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I129" i="29" s="1"/>
  <c r="I151" i="29" s="1"/>
  <c r="F59" i="34"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I210" i="29" s="1"/>
  <c r="B7071" i="106" s="1"/>
  <c r="D7071"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4" i="106" s="1"/>
  <c r="D7144" i="106" s="1"/>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C342" i="29" s="1"/>
  <c r="B7216" i="106" s="1"/>
  <c r="D7216" i="106" s="1"/>
  <c r="D330" i="29"/>
  <c r="D342" i="29" s="1"/>
  <c r="B7217" i="106" s="1"/>
  <c r="D7217" i="106" s="1"/>
  <c r="E330" i="29"/>
  <c r="E342" i="29" s="1"/>
  <c r="B7218" i="106" s="1"/>
  <c r="D7218" i="106" s="1"/>
  <c r="F330" i="29"/>
  <c r="F342" i="29" s="1"/>
  <c r="B7219" i="106" s="1"/>
  <c r="D7219" i="106" s="1"/>
  <c r="G330" i="29"/>
  <c r="B7203" i="106" s="1"/>
  <c r="D7203" i="106" s="1"/>
  <c r="H330" i="29"/>
  <c r="B7204" i="106" s="1"/>
  <c r="D7204" i="106" s="1"/>
  <c r="I330" i="29"/>
  <c r="I342" i="29" s="1"/>
  <c r="B7222" i="106" s="1"/>
  <c r="D7222" i="106" s="1"/>
  <c r="J330" i="29"/>
  <c r="B7206" i="106" s="1"/>
  <c r="D7206" i="106" s="1"/>
  <c r="K328" i="29"/>
  <c r="B7696" i="106" s="1"/>
  <c r="D7696" i="106" s="1"/>
  <c r="K329" i="29"/>
  <c r="B7705" i="106" s="1"/>
  <c r="D7705" i="106" s="1"/>
  <c r="B7208" i="106"/>
  <c r="D7208" i="106" s="1"/>
  <c r="K337" i="29"/>
  <c r="B7209" i="106" s="1"/>
  <c r="D7209" i="106" s="1"/>
  <c r="B7210" i="106"/>
  <c r="D7210" i="106" s="1"/>
  <c r="K338" i="29"/>
  <c r="B7211" i="106" s="1"/>
  <c r="D7211" i="106" s="1"/>
  <c r="B7212" i="106"/>
  <c r="D7212" i="106" s="1"/>
  <c r="K339" i="29"/>
  <c r="B7213" i="106" s="1"/>
  <c r="D7213" i="106" s="1"/>
  <c r="H340" i="29"/>
  <c r="B7214" i="106" s="1"/>
  <c r="D7214" i="106" s="1"/>
  <c r="B7226" i="106"/>
  <c r="D7226" i="106" s="1"/>
  <c r="B7227" i="106"/>
  <c r="D7227" i="106" s="1"/>
  <c r="B7228" i="106"/>
  <c r="D7228" i="106" s="1"/>
  <c r="B7229" i="106"/>
  <c r="D7229" i="106" s="1"/>
  <c r="I350" i="29"/>
  <c r="I352" i="29" s="1"/>
  <c r="I367" i="29" s="1"/>
  <c r="B7244" i="106" s="1"/>
  <c r="D7244" i="106" s="1"/>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0" i="106" s="1"/>
  <c r="B7601" i="106"/>
  <c r="B7602" i="106"/>
  <c r="B7603" i="106"/>
  <c r="K6" i="11"/>
  <c r="B7604" i="106" s="1"/>
  <c r="B7606" i="106"/>
  <c r="B7607" i="106"/>
  <c r="B7608" i="106"/>
  <c r="F9" i="11"/>
  <c r="B7609" i="106" s="1"/>
  <c r="B7610" i="106"/>
  <c r="B7611" i="106"/>
  <c r="B7612" i="106"/>
  <c r="K9" i="11"/>
  <c r="B7613" i="106" s="1"/>
  <c r="B7615" i="106"/>
  <c r="B7616" i="106"/>
  <c r="B7617" i="106"/>
  <c r="F14" i="11"/>
  <c r="B7618" i="106"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70" i="106"/>
  <c r="D7771" i="106"/>
  <c r="D7772" i="106"/>
  <c r="D7776" i="106"/>
  <c r="D7781" i="106"/>
  <c r="D7784" i="106"/>
  <c r="D7787" i="106"/>
  <c r="D7788" i="106"/>
  <c r="D7791" i="106"/>
  <c r="D7795"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E27" i="108"/>
  <c r="G27" i="108"/>
  <c r="F28" i="108"/>
  <c r="G28" i="108"/>
  <c r="E31" i="108"/>
  <c r="G31"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F65"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D7" i="7" s="1"/>
  <c r="B1763" i="106" s="1"/>
  <c r="D1763" i="106" s="1"/>
  <c r="B8" i="7"/>
  <c r="D8" i="7" s="1"/>
  <c r="B1764" i="106" s="1"/>
  <c r="D1764"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D15" i="7" s="1"/>
  <c r="B1772" i="106" s="1"/>
  <c r="D1772"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B720" i="106" s="1"/>
  <c r="D720" i="106" s="1"/>
  <c r="D33" i="29"/>
  <c r="B778" i="106" s="1"/>
  <c r="D778" i="106" s="1"/>
  <c r="F33" i="29"/>
  <c r="B894" i="106" s="1"/>
  <c r="D894" i="106" s="1"/>
  <c r="G33" i="29"/>
  <c r="B952" i="106" s="1"/>
  <c r="D952" i="106" s="1"/>
  <c r="H33" i="29"/>
  <c r="B1010" i="106" s="1"/>
  <c r="D1010" i="106" s="1"/>
  <c r="I33" i="29"/>
  <c r="J33" i="29"/>
  <c r="B6903" i="106" s="1"/>
  <c r="D6903" i="106" s="1"/>
  <c r="L33" i="29"/>
  <c r="L42" i="29"/>
  <c r="K44" i="29"/>
  <c r="B1116" i="106" s="1"/>
  <c r="D1116" i="106" s="1"/>
  <c r="K45" i="29"/>
  <c r="B1117" i="106" s="1"/>
  <c r="D1117" i="106" s="1"/>
  <c r="C47" i="29"/>
  <c r="B731" i="106" s="1"/>
  <c r="D731" i="106" s="1"/>
  <c r="L47" i="29"/>
  <c r="K50" i="29"/>
  <c r="B1121" i="106" s="1"/>
  <c r="D1121" i="106" s="1"/>
  <c r="C53" i="29"/>
  <c r="B734" i="106" s="1"/>
  <c r="D734" i="106" s="1"/>
  <c r="L53" i="29"/>
  <c r="L57" i="29"/>
  <c r="L65" i="29"/>
  <c r="L72" i="29"/>
  <c r="L84" i="29"/>
  <c r="L92" i="29"/>
  <c r="L100" i="29"/>
  <c r="L110" i="29"/>
  <c r="L112" i="29" s="1"/>
  <c r="L147" i="29"/>
  <c r="L168" i="29"/>
  <c r="L172"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D5" i="4" s="1"/>
  <c r="B3406" i="106" s="1"/>
  <c r="D3406"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B5618" i="106" s="1"/>
  <c r="D5618"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B4950" i="106" s="1"/>
  <c r="D4950" i="106" s="1"/>
  <c r="I178" i="5"/>
  <c r="I274" i="5" s="1"/>
  <c r="B4435" i="106" s="1"/>
  <c r="D4435"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B4397" i="106" s="1"/>
  <c r="D4397" i="106" s="1"/>
  <c r="G191" i="5"/>
  <c r="B4398" i="106" s="1"/>
  <c r="D4398"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B6835" i="106" s="1"/>
  <c r="D6835" i="106" s="1"/>
  <c r="F259" i="5"/>
  <c r="B6836" i="106" s="1"/>
  <c r="D6836" i="106" s="1"/>
  <c r="H259" i="5"/>
  <c r="H273" i="5" s="1"/>
  <c r="B4441" i="106" s="1"/>
  <c r="D4441" i="106" s="1"/>
  <c r="J259" i="5"/>
  <c r="B6839" i="106" s="1"/>
  <c r="D6839" i="106" s="1"/>
  <c r="K259" i="5"/>
  <c r="K273" i="5" s="1"/>
  <c r="B4442" i="106" s="1"/>
  <c r="D4442" i="106" s="1"/>
  <c r="G5" i="4"/>
  <c r="B3409" i="106" s="1"/>
  <c r="D3409" i="106" s="1"/>
  <c r="F14" i="4"/>
  <c r="B2597" i="106" s="1"/>
  <c r="D2597" i="106" s="1"/>
  <c r="D7" i="118"/>
  <c r="D8" i="118"/>
  <c r="D9" i="118"/>
  <c r="H14" i="118"/>
  <c r="H19" i="118"/>
  <c r="H24" i="118"/>
  <c r="B1746" i="106"/>
  <c r="D1746" i="106" s="1"/>
  <c r="D5" i="7"/>
  <c r="B1761" i="106" s="1"/>
  <c r="D1761" i="106" s="1"/>
  <c r="F107" i="34"/>
  <c r="F48" i="34"/>
  <c r="B6885" i="106"/>
  <c r="D6885" i="106" s="1"/>
  <c r="B1264" i="106"/>
  <c r="D1264" i="106" s="1"/>
  <c r="E17" i="145"/>
  <c r="G17" i="145" s="1"/>
  <c r="B1225" i="106"/>
  <c r="D1225" i="106" s="1"/>
  <c r="B5537" i="106"/>
  <c r="D5537" i="106" s="1"/>
  <c r="B7503" i="106"/>
  <c r="B7531" i="106"/>
  <c r="B6917" i="106"/>
  <c r="D6917" i="106" s="1"/>
  <c r="B1127" i="106"/>
  <c r="D1127" i="106" s="1"/>
  <c r="B1123" i="106"/>
  <c r="D1123" i="106" s="1"/>
  <c r="B2986" i="106"/>
  <c r="D2986" i="106" s="1"/>
  <c r="B1256" i="106"/>
  <c r="D1256" i="106" s="1"/>
  <c r="B847" i="106"/>
  <c r="D847" i="106" s="1"/>
  <c r="B1345" i="106"/>
  <c r="D1345" i="106" s="1"/>
  <c r="B1283" i="106"/>
  <c r="D1283" i="106" s="1"/>
  <c r="B1275" i="106"/>
  <c r="D1275" i="106" s="1"/>
  <c r="B905" i="106"/>
  <c r="D905" i="106" s="1"/>
  <c r="B7270" i="106"/>
  <c r="D24" i="36"/>
  <c r="B3674" i="106"/>
  <c r="D3674" i="106" s="1"/>
  <c r="B1234" i="106"/>
  <c r="D1234" i="106" s="1"/>
  <c r="B7298" i="106"/>
  <c r="B7299" i="106"/>
  <c r="B1259" i="106"/>
  <c r="D1259" i="106" s="1"/>
  <c r="B1358" i="106" l="1"/>
  <c r="D1358" i="106" s="1"/>
  <c r="B1339" i="106"/>
  <c r="D1339" i="106" s="1"/>
  <c r="B1239" i="106"/>
  <c r="D1239" i="106" s="1"/>
  <c r="E35" i="108"/>
  <c r="B1144" i="106"/>
  <c r="D1144" i="106" s="1"/>
  <c r="B1134" i="106"/>
  <c r="D1134" i="106" s="1"/>
  <c r="D22" i="37"/>
  <c r="C14" i="4"/>
  <c r="B2558" i="106" s="1"/>
  <c r="D2558" i="106" s="1"/>
  <c r="B1126" i="106"/>
  <c r="D1126" i="106" s="1"/>
  <c r="F64" i="34"/>
  <c r="G35" i="108"/>
  <c r="F5" i="4"/>
  <c r="B3408" i="106" s="1"/>
  <c r="D3408" i="106" s="1"/>
  <c r="D6103" i="106"/>
  <c r="D7246" i="106"/>
  <c r="C312" i="29"/>
  <c r="B1524" i="106" s="1"/>
  <c r="D1524" i="106" s="1"/>
  <c r="F39" i="34"/>
  <c r="F51" i="34"/>
  <c r="B4156" i="106"/>
  <c r="D4156" i="106" s="1"/>
  <c r="F45" i="34"/>
  <c r="D31" i="108"/>
  <c r="F41" i="34"/>
  <c r="E34" i="108"/>
  <c r="D14" i="4"/>
  <c r="B2570" i="106" s="1"/>
  <c r="D2570" i="106" s="1"/>
  <c r="F38" i="34"/>
  <c r="E28" i="108"/>
  <c r="E39" i="108"/>
  <c r="B1135" i="106"/>
  <c r="D1135" i="106" s="1"/>
  <c r="B1131" i="106"/>
  <c r="D1131" i="106" s="1"/>
  <c r="B7037" i="106"/>
  <c r="D7037" i="106" s="1"/>
  <c r="F56" i="34"/>
  <c r="F37" i="108"/>
  <c r="B7051" i="106"/>
  <c r="D7051" i="106" s="1"/>
  <c r="E16" i="145"/>
  <c r="G16" i="145" s="1"/>
  <c r="B2823" i="106"/>
  <c r="D2823" i="106" s="1"/>
  <c r="F70" i="34"/>
  <c r="D37" i="108"/>
  <c r="D7245" i="106"/>
  <c r="A7249" i="106"/>
  <c r="D7248" i="106"/>
  <c r="D7247" i="106"/>
  <c r="H34" i="182"/>
  <c r="H33" i="118"/>
  <c r="J19" i="145"/>
  <c r="D82" i="36" s="1"/>
  <c r="B1756" i="106"/>
  <c r="D1756" i="106" s="1"/>
  <c r="D11" i="7"/>
  <c r="B1768" i="106" s="1"/>
  <c r="D1768" i="106" s="1"/>
  <c r="H112" i="29"/>
  <c r="B7018" i="106" s="1"/>
  <c r="D7018" i="106" s="1"/>
  <c r="B4202" i="106"/>
  <c r="D4202" i="106" s="1"/>
  <c r="B1231" i="106"/>
  <c r="D1231" i="106" s="1"/>
  <c r="G39" i="108"/>
  <c r="B3633" i="106"/>
  <c r="D3633" i="106" s="1"/>
  <c r="B3635" i="106"/>
  <c r="D3635" i="106" s="1"/>
  <c r="E141" i="181"/>
  <c r="F95" i="34"/>
  <c r="B4373" i="106"/>
  <c r="D4373" i="106" s="1"/>
  <c r="D4" i="7"/>
  <c r="B1760" i="106" s="1"/>
  <c r="D1760" i="106" s="1"/>
  <c r="D17" i="7"/>
  <c r="B4104" i="106" s="1"/>
  <c r="D4104" i="106" s="1"/>
  <c r="H24" i="12"/>
  <c r="B1983" i="106" s="1"/>
  <c r="D1983" i="106" s="1"/>
  <c r="B5360" i="106"/>
  <c r="D5360" i="106" s="1"/>
  <c r="B1747" i="106"/>
  <c r="D1747" i="106" s="1"/>
  <c r="B3621" i="106"/>
  <c r="D3621" i="106" s="1"/>
  <c r="G14" i="4"/>
  <c r="B2609" i="106" s="1"/>
  <c r="D2609" i="106" s="1"/>
  <c r="B1233" i="106"/>
  <c r="D1233" i="106" s="1"/>
  <c r="B7201" i="106"/>
  <c r="D7201" i="106" s="1"/>
  <c r="F71" i="34"/>
  <c r="F68" i="34"/>
  <c r="E33" i="108"/>
  <c r="D27" i="108"/>
  <c r="B7078" i="106"/>
  <c r="D7078" i="106" s="1"/>
  <c r="B2091" i="106"/>
  <c r="D2091" i="106" s="1"/>
  <c r="B1511" i="106"/>
  <c r="D1511" i="106" s="1"/>
  <c r="B1249" i="106"/>
  <c r="D1249" i="106" s="1"/>
  <c r="B1247" i="106"/>
  <c r="D1247" i="106" s="1"/>
  <c r="B7235" i="106"/>
  <c r="D7235" i="106" s="1"/>
  <c r="L12" i="11"/>
  <c r="B2059" i="106" s="1"/>
  <c r="D2059" i="106" s="1"/>
  <c r="L5" i="11"/>
  <c r="B2056" i="106" s="1"/>
  <c r="D2056" i="106" s="1"/>
  <c r="L13" i="11"/>
  <c r="B2060" i="106" s="1"/>
  <c r="D2060" i="106" s="1"/>
  <c r="L22" i="37"/>
  <c r="I49" i="8"/>
  <c r="B4171" i="106" s="1"/>
  <c r="D4171" i="106" s="1"/>
  <c r="B1541" i="106"/>
  <c r="D1541" i="106" s="1"/>
  <c r="G312" i="29"/>
  <c r="B1548" i="106" s="1"/>
  <c r="D1548" i="106" s="1"/>
  <c r="D24" i="37"/>
  <c r="B4270" i="106" s="1"/>
  <c r="D4270" i="106" s="1"/>
  <c r="D69" i="36"/>
  <c r="L3" i="11"/>
  <c r="B7596" i="106" s="1"/>
  <c r="I24" i="12"/>
  <c r="B1996" i="106" s="1"/>
  <c r="D1996" i="106" s="1"/>
  <c r="H26" i="12"/>
  <c r="B7740" i="106" s="1"/>
  <c r="D7740" i="106" s="1"/>
  <c r="N22" i="3"/>
  <c r="B283" i="106" s="1"/>
  <c r="D283" i="106" s="1"/>
  <c r="F21" i="8"/>
  <c r="H22" i="37" s="1"/>
  <c r="H28" i="118"/>
  <c r="F19" i="7"/>
  <c r="B1807" i="106" s="1"/>
  <c r="D1807" i="106" s="1"/>
  <c r="D12" i="7"/>
  <c r="B1769" i="106" s="1"/>
  <c r="D1769" i="106" s="1"/>
  <c r="B77" i="36"/>
  <c r="B79" i="36"/>
  <c r="I7" i="4"/>
  <c r="B4444" i="106" s="1"/>
  <c r="D4444" i="106" s="1"/>
  <c r="F15" i="8"/>
  <c r="B1877" i="106"/>
  <c r="D1877" i="106" s="1"/>
  <c r="D68" i="36"/>
  <c r="J22" i="37"/>
  <c r="L6" i="11"/>
  <c r="B7605" i="106" s="1"/>
  <c r="J90" i="28"/>
  <c r="B7760" i="106" s="1"/>
  <c r="D7760" i="106" s="1"/>
  <c r="A2" i="170"/>
  <c r="E12" i="145"/>
  <c r="G12" i="145" s="1"/>
  <c r="B7200" i="106"/>
  <c r="D7200" i="106" s="1"/>
  <c r="E273" i="5"/>
  <c r="E274" i="5" s="1"/>
  <c r="E7" i="4" s="1"/>
  <c r="B4443" i="106" s="1"/>
  <c r="D4443" i="106" s="1"/>
  <c r="H173" i="5"/>
  <c r="H6" i="4" s="1"/>
  <c r="B2656" i="106" s="1"/>
  <c r="D2656" i="106" s="1"/>
  <c r="D13" i="7"/>
  <c r="B3726" i="106" s="1"/>
  <c r="D3726" i="106" s="1"/>
  <c r="D41" i="3"/>
  <c r="B124" i="106" s="1"/>
  <c r="D124" i="106" s="1"/>
  <c r="B211" i="106"/>
  <c r="D211" i="106" s="1"/>
  <c r="D10" i="7"/>
  <c r="B1765" i="106" s="1"/>
  <c r="D1765" i="106" s="1"/>
  <c r="F127" i="34"/>
  <c r="H102" i="29"/>
  <c r="B1047" i="106" s="1"/>
  <c r="D1047" i="106" s="1"/>
  <c r="F50" i="34"/>
  <c r="F42" i="34"/>
  <c r="E38" i="108"/>
  <c r="B7074" i="106"/>
  <c r="D7074" i="106" s="1"/>
  <c r="B7047" i="106"/>
  <c r="D7047" i="106" s="1"/>
  <c r="J312" i="29"/>
  <c r="B7117" i="106" s="1"/>
  <c r="D7117" i="106" s="1"/>
  <c r="G342" i="29"/>
  <c r="B7220" i="106" s="1"/>
  <c r="D7220" i="106" s="1"/>
  <c r="F46" i="34"/>
  <c r="G26" i="108"/>
  <c r="B1124" i="106"/>
  <c r="D1124" i="106" s="1"/>
  <c r="B1258" i="106"/>
  <c r="D1258" i="106" s="1"/>
  <c r="F40" i="34"/>
  <c r="K350" i="29"/>
  <c r="K352" i="29" s="1"/>
  <c r="B3672" i="106" s="1"/>
  <c r="D3672" i="106" s="1"/>
  <c r="B7231" i="106"/>
  <c r="D7231" i="106" s="1"/>
  <c r="F35" i="34"/>
  <c r="D36" i="108"/>
  <c r="F36" i="108"/>
  <c r="F41" i="108" s="1"/>
  <c r="G43" i="108" s="1"/>
  <c r="B1314" i="106"/>
  <c r="D1314" i="106" s="1"/>
  <c r="B1274" i="106"/>
  <c r="D1274" i="106" s="1"/>
  <c r="E210" i="29"/>
  <c r="B1353" i="106" s="1"/>
  <c r="D1353" i="106" s="1"/>
  <c r="K340" i="29"/>
  <c r="B7215" i="106" s="1"/>
  <c r="D7215" i="106" s="1"/>
  <c r="B3619" i="106"/>
  <c r="D3619" i="106" s="1"/>
  <c r="B3640" i="106"/>
  <c r="D3640" i="106" s="1"/>
  <c r="B7230" i="106"/>
  <c r="D7230" i="106" s="1"/>
  <c r="B3673" i="106"/>
  <c r="D3673" i="106" s="1"/>
  <c r="B3654" i="106"/>
  <c r="D3654" i="106" s="1"/>
  <c r="B1748" i="106"/>
  <c r="D1748" i="106" s="1"/>
  <c r="D16" i="7"/>
  <c r="B3447" i="106" s="1"/>
  <c r="D3447" i="106" s="1"/>
  <c r="K41" i="3"/>
  <c r="B3568" i="106" s="1"/>
  <c r="D3568" i="106" s="1"/>
  <c r="B6838" i="106"/>
  <c r="D6838" i="106" s="1"/>
  <c r="J173" i="5"/>
  <c r="K257" i="29"/>
  <c r="B1488" i="106" s="1"/>
  <c r="D1488" i="106" s="1"/>
  <c r="B7202" i="106"/>
  <c r="D7202" i="106" s="1"/>
  <c r="F47" i="34"/>
  <c r="J342" i="29"/>
  <c r="B7223" i="106" s="1"/>
  <c r="D7223" i="106" s="1"/>
  <c r="F66" i="34"/>
  <c r="F36" i="34"/>
  <c r="F49" i="34"/>
  <c r="B7063" i="106"/>
  <c r="D7063" i="106" s="1"/>
  <c r="B1452" i="106"/>
  <c r="D1452" i="106" s="1"/>
  <c r="B1351" i="106"/>
  <c r="D1351" i="106" s="1"/>
  <c r="G15" i="145"/>
  <c r="L41" i="3"/>
  <c r="D53" i="36" s="1"/>
  <c r="K194" i="29"/>
  <c r="K196" i="29" s="1"/>
  <c r="B2828" i="106"/>
  <c r="D2828" i="106" s="1"/>
  <c r="K362" i="29"/>
  <c r="K365" i="29" s="1"/>
  <c r="I312" i="29"/>
  <c r="B7116" i="106" s="1"/>
  <c r="D7116" i="106" s="1"/>
  <c r="H210" i="29"/>
  <c r="B1376" i="106" s="1"/>
  <c r="D1376" i="106" s="1"/>
  <c r="K147" i="29"/>
  <c r="K110" i="29"/>
  <c r="K72" i="29"/>
  <c r="B1141" i="106" s="1"/>
  <c r="D1141" i="106" s="1"/>
  <c r="E74" i="29"/>
  <c r="B871" i="106" s="1"/>
  <c r="D871" i="106" s="1"/>
  <c r="B6289" i="106"/>
  <c r="D6289" i="106" s="1"/>
  <c r="K109" i="5"/>
  <c r="B6028" i="106" s="1"/>
  <c r="D6028" i="106" s="1"/>
  <c r="G41" i="3"/>
  <c r="B190" i="106" s="1"/>
  <c r="D190" i="106" s="1"/>
  <c r="E41" i="3"/>
  <c r="B141" i="106" s="1"/>
  <c r="D141" i="106" s="1"/>
  <c r="B2" i="177"/>
  <c r="B2" i="176"/>
  <c r="K243" i="29"/>
  <c r="B1485" i="106" s="1"/>
  <c r="D1485" i="106" s="1"/>
  <c r="E312" i="29"/>
  <c r="B1536" i="106" s="1"/>
  <c r="D1536" i="106" s="1"/>
  <c r="H174" i="29"/>
  <c r="B1318" i="106" s="1"/>
  <c r="D1318" i="106" s="1"/>
  <c r="L367" i="29"/>
  <c r="H312" i="29"/>
  <c r="B1554" i="106" s="1"/>
  <c r="D1554" i="106" s="1"/>
  <c r="K127" i="29"/>
  <c r="B1279" i="106" s="1"/>
  <c r="D1279" i="106" s="1"/>
  <c r="K57" i="29"/>
  <c r="G24" i="108" s="1"/>
  <c r="D352" i="29"/>
  <c r="L312" i="29"/>
  <c r="K303" i="29"/>
  <c r="F74" i="29"/>
  <c r="B929" i="106" s="1"/>
  <c r="D929" i="106" s="1"/>
  <c r="D312" i="29"/>
  <c r="B1530" i="106" s="1"/>
  <c r="D1530" i="106" s="1"/>
  <c r="H365" i="29"/>
  <c r="E174" i="29"/>
  <c r="B1309" i="106" s="1"/>
  <c r="D1309" i="106" s="1"/>
  <c r="G352" i="29"/>
  <c r="B19" i="7"/>
  <c r="B1759" i="106" s="1"/>
  <c r="D1759" i="106" s="1"/>
  <c r="D14" i="7"/>
  <c r="B1770" i="106" s="1"/>
  <c r="D1770" i="106" s="1"/>
  <c r="J273" i="5"/>
  <c r="B7041" i="106" s="1"/>
  <c r="D7041" i="106" s="1"/>
  <c r="J41" i="3"/>
  <c r="B6216" i="106" s="1"/>
  <c r="D6216" i="106" s="1"/>
  <c r="B3642" i="106"/>
  <c r="D3642" i="106" s="1"/>
  <c r="B1223" i="106"/>
  <c r="D1223" i="106" s="1"/>
  <c r="K76" i="4"/>
  <c r="B3586" i="106" s="1"/>
  <c r="D3586" i="106" s="1"/>
  <c r="K184" i="29"/>
  <c r="K357" i="29"/>
  <c r="K15" i="4" s="1"/>
  <c r="B3573" i="106" s="1"/>
  <c r="D3573" i="106" s="1"/>
  <c r="F161" i="34"/>
  <c r="G172" i="5"/>
  <c r="G173" i="5" s="1"/>
  <c r="I173" i="5"/>
  <c r="B4216" i="106" s="1"/>
  <c r="D4216" i="106" s="1"/>
  <c r="G109" i="5"/>
  <c r="I109" i="5"/>
  <c r="C273" i="5"/>
  <c r="C274" i="5" s="1"/>
  <c r="B5326" i="106" s="1"/>
  <c r="D5326" i="106" s="1"/>
  <c r="G77" i="4"/>
  <c r="B3261" i="106" s="1"/>
  <c r="D3261" i="106" s="1"/>
  <c r="B3703" i="106"/>
  <c r="D3703" i="106" s="1"/>
  <c r="C77" i="4"/>
  <c r="B3232" i="106" s="1"/>
  <c r="D3232" i="106" s="1"/>
  <c r="F63" i="34"/>
  <c r="B1125" i="106"/>
  <c r="D1125" i="106" s="1"/>
  <c r="H151" i="29"/>
  <c r="B1273" i="106" s="1"/>
  <c r="D1273" i="106" s="1"/>
  <c r="B1266" i="106"/>
  <c r="D1266" i="106" s="1"/>
  <c r="K129" i="29"/>
  <c r="B6902" i="106"/>
  <c r="D6902" i="106" s="1"/>
  <c r="B7234" i="106"/>
  <c r="D7234" i="106" s="1"/>
  <c r="E19" i="145"/>
  <c r="B7205" i="106"/>
  <c r="D7205" i="106" s="1"/>
  <c r="L210" i="29"/>
  <c r="K330" i="29"/>
  <c r="L342" i="29"/>
  <c r="L279" i="29"/>
  <c r="L295" i="29" s="1"/>
  <c r="L102" i="29"/>
  <c r="L74" i="29"/>
  <c r="B7199" i="106"/>
  <c r="D7199" i="106" s="1"/>
  <c r="H342" i="29"/>
  <c r="B7221" i="106" s="1"/>
  <c r="D7221" i="106" s="1"/>
  <c r="J129" i="29"/>
  <c r="B7034" i="106"/>
  <c r="D7034" i="106" s="1"/>
  <c r="J210" i="29"/>
  <c r="B7072" i="106" s="1"/>
  <c r="D7072" i="106" s="1"/>
  <c r="B7033" i="106"/>
  <c r="D7033" i="106" s="1"/>
  <c r="J74" i="29"/>
  <c r="B6978" i="106" s="1"/>
  <c r="D6978" i="106" s="1"/>
  <c r="I74" i="29"/>
  <c r="B6977" i="106" s="1"/>
  <c r="D6977" i="106" s="1"/>
  <c r="B1364" i="106"/>
  <c r="D1364" i="106" s="1"/>
  <c r="K168" i="29"/>
  <c r="K310" i="29"/>
  <c r="K293" i="29"/>
  <c r="K277" i="29"/>
  <c r="B1508" i="106" s="1"/>
  <c r="D1508" i="106" s="1"/>
  <c r="K270" i="29"/>
  <c r="B1500" i="106" s="1"/>
  <c r="D1500" i="106" s="1"/>
  <c r="K261" i="29"/>
  <c r="B1491" i="106" s="1"/>
  <c r="D1491" i="106" s="1"/>
  <c r="K238" i="29"/>
  <c r="B1481" i="106" s="1"/>
  <c r="D1481" i="106" s="1"/>
  <c r="K229" i="29"/>
  <c r="D279" i="29"/>
  <c r="K204" i="29"/>
  <c r="B1329" i="106"/>
  <c r="D1329" i="106" s="1"/>
  <c r="B1324" i="106"/>
  <c r="D1324" i="106" s="1"/>
  <c r="K100" i="29"/>
  <c r="B7013" i="106" s="1"/>
  <c r="D7013" i="106" s="1"/>
  <c r="K137" i="29"/>
  <c r="K160" i="29"/>
  <c r="K285" i="29"/>
  <c r="K334" i="29"/>
  <c r="H74" i="29"/>
  <c r="B1045" i="106" s="1"/>
  <c r="D1045" i="106" s="1"/>
  <c r="E151" i="29"/>
  <c r="B1242" i="106" s="1"/>
  <c r="D1242" i="106" s="1"/>
  <c r="L151" i="29"/>
  <c r="D77" i="4"/>
  <c r="B3238" i="106" s="1"/>
  <c r="D3238" i="106" s="1"/>
  <c r="I76" i="4"/>
  <c r="J77" i="4"/>
  <c r="B6262" i="106" s="1"/>
  <c r="D6262" i="106" s="1"/>
  <c r="K84" i="29"/>
  <c r="B2088" i="106" s="1"/>
  <c r="D2088" i="106" s="1"/>
  <c r="E102" i="29"/>
  <c r="B2790" i="106" s="1"/>
  <c r="D2790" i="106" s="1"/>
  <c r="G74" i="29"/>
  <c r="B987" i="106" s="1"/>
  <c r="D987" i="106" s="1"/>
  <c r="G30" i="108"/>
  <c r="E30" i="108"/>
  <c r="K65" i="29"/>
  <c r="B1133" i="106" s="1"/>
  <c r="D1133" i="106" s="1"/>
  <c r="G29" i="108"/>
  <c r="E29" i="108"/>
  <c r="K53" i="29"/>
  <c r="B1120" i="106"/>
  <c r="D1120" i="106" s="1"/>
  <c r="B963" i="106"/>
  <c r="D963" i="106" s="1"/>
  <c r="D74" i="29"/>
  <c r="B813" i="106" s="1"/>
  <c r="D813" i="106" s="1"/>
  <c r="K47" i="29"/>
  <c r="B785" i="106"/>
  <c r="D785" i="106" s="1"/>
  <c r="C74" i="29"/>
  <c r="B755" i="106" s="1"/>
  <c r="D755" i="106" s="1"/>
  <c r="K42" i="29"/>
  <c r="B836" i="106"/>
  <c r="D836" i="106" s="1"/>
  <c r="F34" i="34"/>
  <c r="K33" i="29"/>
  <c r="E19" i="108" s="1"/>
  <c r="L174" i="29"/>
  <c r="F77" i="4"/>
  <c r="B3255" i="106" s="1"/>
  <c r="D3255" i="106" s="1"/>
  <c r="E44" i="4"/>
  <c r="B3274" i="106" s="1"/>
  <c r="D3274" i="106" s="1"/>
  <c r="B4411" i="106"/>
  <c r="D4411" i="106" s="1"/>
  <c r="D109" i="5"/>
  <c r="F105" i="34"/>
  <c r="H109" i="5"/>
  <c r="D172" i="5"/>
  <c r="J109" i="5"/>
  <c r="D18" i="7"/>
  <c r="B4105" i="106" s="1"/>
  <c r="D4105" i="106" s="1"/>
  <c r="F111" i="34"/>
  <c r="F172" i="5"/>
  <c r="B5644" i="106" s="1"/>
  <c r="D5644" i="106" s="1"/>
  <c r="F130" i="34"/>
  <c r="F106" i="34"/>
  <c r="E109" i="5"/>
  <c r="E173" i="5"/>
  <c r="C5" i="4"/>
  <c r="B3405" i="106" s="1"/>
  <c r="D3405" i="106" s="1"/>
  <c r="F129" i="34"/>
  <c r="F109" i="5"/>
  <c r="D9" i="7"/>
  <c r="B1767" i="106" s="1"/>
  <c r="D1767" i="106" s="1"/>
  <c r="K173" i="5"/>
  <c r="B6014" i="106" s="1"/>
  <c r="D6014" i="106" s="1"/>
  <c r="C172" i="5"/>
  <c r="B4434" i="106"/>
  <c r="D4434" i="106" s="1"/>
  <c r="B6840" i="106"/>
  <c r="D6840" i="106" s="1"/>
  <c r="F128" i="34"/>
  <c r="D273" i="5"/>
  <c r="D274" i="5" s="1"/>
  <c r="D7" i="4" s="1"/>
  <c r="B2567" i="106" s="1"/>
  <c r="D2567" i="106" s="1"/>
  <c r="F273" i="5"/>
  <c r="B5713" i="106" s="1"/>
  <c r="D5713" i="106" s="1"/>
  <c r="F136" i="34"/>
  <c r="F131" i="34"/>
  <c r="B1995" i="106"/>
  <c r="D1995" i="106" s="1"/>
  <c r="G24" i="12"/>
  <c r="B1958" i="106" s="1"/>
  <c r="D1958" i="106" s="1"/>
  <c r="K24" i="12"/>
  <c r="B7733" i="106" s="1"/>
  <c r="D7733" i="106" s="1"/>
  <c r="F94" i="34"/>
  <c r="C109" i="5"/>
  <c r="K274" i="5"/>
  <c r="B6022" i="106" s="1"/>
  <c r="D6022" i="106" s="1"/>
  <c r="H274" i="5"/>
  <c r="D49" i="36"/>
  <c r="B213" i="106"/>
  <c r="D213" i="106" s="1"/>
  <c r="F41" i="3"/>
  <c r="D54" i="36"/>
  <c r="I41" i="3"/>
  <c r="C41" i="3"/>
  <c r="J34" i="182"/>
  <c r="I34" i="182"/>
  <c r="G141" i="181"/>
  <c r="B7797" i="106"/>
  <c r="D7797" i="106" s="1"/>
  <c r="F141" i="181"/>
  <c r="B7798" i="106" s="1"/>
  <c r="D7798" i="106" s="1"/>
  <c r="L8" i="11"/>
  <c r="B2057" i="106" s="1"/>
  <c r="D2057" i="106" s="1"/>
  <c r="L10" i="11"/>
  <c r="B2058" i="106" s="1"/>
  <c r="D2058" i="106" s="1"/>
  <c r="L14" i="11"/>
  <c r="B7623" i="106" s="1"/>
  <c r="L9" i="11"/>
  <c r="B7614" i="106" s="1"/>
  <c r="K16" i="11"/>
  <c r="B2055" i="106" s="1"/>
  <c r="D2055" i="106" s="1"/>
  <c r="L15" i="11"/>
  <c r="B3459" i="106" s="1"/>
  <c r="D3459" i="106" s="1"/>
  <c r="F16" i="11"/>
  <c r="B2054" i="106"/>
  <c r="D2054" i="106" s="1"/>
  <c r="B7730" i="106"/>
  <c r="D7730" i="106" s="1"/>
  <c r="J24" i="12"/>
  <c r="H76" i="4"/>
  <c r="B6261" i="106"/>
  <c r="D6261" i="106" s="1"/>
  <c r="B3254" i="106"/>
  <c r="D3254" i="106" s="1"/>
  <c r="B7747" i="106"/>
  <c r="D7747" i="106" s="1"/>
  <c r="G273" i="5"/>
  <c r="D11" i="37"/>
  <c r="D31" i="36"/>
  <c r="H29" i="118"/>
  <c r="B1" i="176"/>
  <c r="A2" i="171"/>
  <c r="B1" i="174"/>
  <c r="B1" i="177"/>
  <c r="A1" i="171"/>
  <c r="A1" i="173"/>
  <c r="B1" i="175"/>
  <c r="A2" i="173"/>
  <c r="B2" i="175"/>
  <c r="A1" i="170"/>
  <c r="B2" i="174"/>
  <c r="K4" i="4" l="1"/>
  <c r="B3569" i="106" s="1"/>
  <c r="D3569" i="106" s="1"/>
  <c r="E24" i="108"/>
  <c r="B3676" i="106"/>
  <c r="D3676" i="106" s="1"/>
  <c r="D41" i="108"/>
  <c r="E43" i="108" s="1"/>
  <c r="G19" i="145"/>
  <c r="J20" i="145" s="1"/>
  <c r="A7250" i="106"/>
  <c r="D7249" i="106"/>
  <c r="B2837" i="106"/>
  <c r="D2837" i="106" s="1"/>
  <c r="I26" i="12"/>
  <c r="B7741" i="106" s="1"/>
  <c r="D7741" i="106" s="1"/>
  <c r="B1879" i="106"/>
  <c r="D1879" i="106" s="1"/>
  <c r="N23" i="3"/>
  <c r="B284" i="106" s="1"/>
  <c r="D284" i="106" s="1"/>
  <c r="N36" i="3"/>
  <c r="N37" i="3" s="1"/>
  <c r="N41" i="3" s="1"/>
  <c r="B288" i="106" s="1"/>
  <c r="D288" i="106" s="1"/>
  <c r="K6" i="4"/>
  <c r="B3570" i="106" s="1"/>
  <c r="D3570" i="106" s="1"/>
  <c r="I6" i="4"/>
  <c r="B5906" i="106"/>
  <c r="D5906" i="106" s="1"/>
  <c r="G26" i="12"/>
  <c r="B7739" i="106" s="1"/>
  <c r="D7739" i="106" s="1"/>
  <c r="K28" i="118"/>
  <c r="O27" i="118" s="1"/>
  <c r="O29" i="118" s="1"/>
  <c r="F274" i="5"/>
  <c r="F7" i="4" s="1"/>
  <c r="I275" i="5"/>
  <c r="B5946" i="106" s="1"/>
  <c r="D5946" i="106" s="1"/>
  <c r="B1875" i="106"/>
  <c r="D1875" i="106" s="1"/>
  <c r="F22" i="37"/>
  <c r="F24" i="37" s="1"/>
  <c r="K13" i="4"/>
  <c r="B3572" i="106" s="1"/>
  <c r="D3572" i="106" s="1"/>
  <c r="J16" i="4"/>
  <c r="B6226" i="106" s="1"/>
  <c r="D6226" i="106" s="1"/>
  <c r="K7" i="4"/>
  <c r="B3718" i="106" s="1"/>
  <c r="D3718" i="106" s="1"/>
  <c r="L114" i="29"/>
  <c r="D45" i="36"/>
  <c r="B6026" i="106"/>
  <c r="D6026" i="106" s="1"/>
  <c r="I4" i="4"/>
  <c r="B3225" i="106" s="1"/>
  <c r="D3225" i="106" s="1"/>
  <c r="D52" i="36"/>
  <c r="G23" i="108"/>
  <c r="B3670" i="106"/>
  <c r="D3670" i="106" s="1"/>
  <c r="G4" i="4"/>
  <c r="B2603" i="106" s="1"/>
  <c r="D2603" i="106" s="1"/>
  <c r="B6024" i="106"/>
  <c r="D6024" i="106" s="1"/>
  <c r="D46" i="36"/>
  <c r="B5320" i="106"/>
  <c r="D5320" i="106" s="1"/>
  <c r="B5507" i="106"/>
  <c r="D5507" i="106" s="1"/>
  <c r="C7" i="4"/>
  <c r="B2554" i="106" s="1"/>
  <c r="D2554" i="106" s="1"/>
  <c r="K275" i="5"/>
  <c r="B6023" i="106" s="1"/>
  <c r="D6023" i="106" s="1"/>
  <c r="J274" i="5"/>
  <c r="J275" i="5" s="1"/>
  <c r="B5770" i="106"/>
  <c r="D5770" i="106" s="1"/>
  <c r="B5501" i="106"/>
  <c r="D5501" i="106" s="1"/>
  <c r="B6397" i="106"/>
  <c r="D6397" i="106" s="1"/>
  <c r="J6" i="4"/>
  <c r="B6221" i="106" s="1"/>
  <c r="D6221" i="106" s="1"/>
  <c r="D48" i="36"/>
  <c r="B2917" i="106"/>
  <c r="D2917" i="106" s="1"/>
  <c r="H13" i="4"/>
  <c r="B2659" i="106" s="1"/>
  <c r="D2659" i="106" s="1"/>
  <c r="B1559" i="106"/>
  <c r="D1559" i="106" s="1"/>
  <c r="K112" i="29"/>
  <c r="B1151" i="106"/>
  <c r="D1151" i="106" s="1"/>
  <c r="K342" i="29"/>
  <c r="B7224" i="106" s="1"/>
  <c r="D7224" i="106" s="1"/>
  <c r="K367" i="29"/>
  <c r="B3678" i="106" s="1"/>
  <c r="D3678" i="106" s="1"/>
  <c r="H367" i="29"/>
  <c r="B3660" i="106" s="1"/>
  <c r="D3660" i="106" s="1"/>
  <c r="B7242" i="106"/>
  <c r="D7242" i="106" s="1"/>
  <c r="K149" i="29"/>
  <c r="B7048" i="106"/>
  <c r="D7048" i="106" s="1"/>
  <c r="D367" i="29"/>
  <c r="B3629" i="106" s="1"/>
  <c r="D3629" i="106" s="1"/>
  <c r="B3628" i="106"/>
  <c r="D3628" i="106" s="1"/>
  <c r="B1382" i="106"/>
  <c r="D1382" i="106" s="1"/>
  <c r="F15" i="4"/>
  <c r="B2598" i="106" s="1"/>
  <c r="D2598" i="106" s="1"/>
  <c r="K279" i="29"/>
  <c r="K295" i="29" s="1"/>
  <c r="F12" i="34" s="1"/>
  <c r="J114" i="29"/>
  <c r="B7021" i="106" s="1"/>
  <c r="D7021" i="106" s="1"/>
  <c r="H275" i="5"/>
  <c r="B5915" i="106" s="1"/>
  <c r="D5915" i="106" s="1"/>
  <c r="F173" i="5"/>
  <c r="B5653" i="106" s="1"/>
  <c r="D5653" i="106" s="1"/>
  <c r="E275" i="5"/>
  <c r="B5552" i="106" s="1"/>
  <c r="D5552" i="106" s="1"/>
  <c r="D19" i="7"/>
  <c r="B1775" i="106" s="1"/>
  <c r="D1775" i="106" s="1"/>
  <c r="D51" i="36"/>
  <c r="E114" i="29"/>
  <c r="B873" i="106" s="1"/>
  <c r="D873" i="106" s="1"/>
  <c r="F114" i="29"/>
  <c r="B931" i="106" s="1"/>
  <c r="D931" i="106" s="1"/>
  <c r="B3649" i="106"/>
  <c r="D3649" i="106" s="1"/>
  <c r="G367" i="29"/>
  <c r="B3650" i="106" s="1"/>
  <c r="D3650" i="106" s="1"/>
  <c r="G114" i="29"/>
  <c r="F54" i="34" s="1"/>
  <c r="F178" i="34"/>
  <c r="K77" i="4"/>
  <c r="B3587" i="106" s="1"/>
  <c r="D3587" i="106" s="1"/>
  <c r="B1381" i="106"/>
  <c r="D1381" i="106" s="1"/>
  <c r="F13" i="4"/>
  <c r="B2596" i="106" s="1"/>
  <c r="D2596" i="106" s="1"/>
  <c r="K102" i="29"/>
  <c r="F53" i="34" s="1"/>
  <c r="E77" i="4"/>
  <c r="B3277" i="106" s="1"/>
  <c r="D3277" i="106" s="1"/>
  <c r="H114" i="29"/>
  <c r="B1054" i="106" s="1"/>
  <c r="D1054" i="106" s="1"/>
  <c r="G15" i="4"/>
  <c r="B6032" i="106" s="1"/>
  <c r="D6032" i="106" s="1"/>
  <c r="B3724" i="106"/>
  <c r="D3724" i="106" s="1"/>
  <c r="F73" i="34"/>
  <c r="K208" i="29"/>
  <c r="B4157" i="106"/>
  <c r="D4157" i="106" s="1"/>
  <c r="K312" i="29"/>
  <c r="B2102" i="106"/>
  <c r="D2102" i="106" s="1"/>
  <c r="H15" i="4"/>
  <c r="J151" i="29"/>
  <c r="B7052" i="106" s="1"/>
  <c r="D7052" i="106" s="1"/>
  <c r="B7038" i="106"/>
  <c r="D7038" i="106" s="1"/>
  <c r="B1281" i="106"/>
  <c r="D1281" i="106" s="1"/>
  <c r="D13" i="4"/>
  <c r="F60" i="34"/>
  <c r="E15" i="4"/>
  <c r="D295" i="29"/>
  <c r="B1448" i="106" s="1"/>
  <c r="D1448" i="106" s="1"/>
  <c r="B1446" i="106"/>
  <c r="D1446" i="106" s="1"/>
  <c r="K172" i="29"/>
  <c r="B1328" i="106"/>
  <c r="D1328" i="106" s="1"/>
  <c r="K139" i="29"/>
  <c r="B2093" i="106"/>
  <c r="D2093" i="106" s="1"/>
  <c r="G12" i="4"/>
  <c r="B1474" i="106"/>
  <c r="D1474" i="106" s="1"/>
  <c r="K16" i="4"/>
  <c r="B7243" i="106"/>
  <c r="D7243" i="106" s="1"/>
  <c r="I114" i="29"/>
  <c r="F74" i="34"/>
  <c r="B7790" i="106"/>
  <c r="D7790" i="106" s="1"/>
  <c r="J15" i="4"/>
  <c r="B7796" i="106" s="1"/>
  <c r="D7796" i="106" s="1"/>
  <c r="B1515" i="106"/>
  <c r="D1515" i="106" s="1"/>
  <c r="G16" i="4"/>
  <c r="B2611" i="106" s="1"/>
  <c r="D2611" i="106" s="1"/>
  <c r="J13" i="4"/>
  <c r="B7207" i="106"/>
  <c r="D7207" i="106" s="1"/>
  <c r="I77" i="4"/>
  <c r="B3319" i="106" s="1"/>
  <c r="D3319" i="106" s="1"/>
  <c r="B3318" i="106"/>
  <c r="D3318" i="106" s="1"/>
  <c r="K74" i="29"/>
  <c r="B1143" i="106" s="1"/>
  <c r="D1143" i="106" s="1"/>
  <c r="D114" i="29"/>
  <c r="B815" i="106" s="1"/>
  <c r="D815" i="106" s="1"/>
  <c r="B1122" i="106"/>
  <c r="D1122" i="106" s="1"/>
  <c r="E23" i="108"/>
  <c r="E22" i="108"/>
  <c r="B1119" i="106"/>
  <c r="D1119" i="106" s="1"/>
  <c r="G22" i="108"/>
  <c r="C114" i="29"/>
  <c r="B757" i="106" s="1"/>
  <c r="D757" i="106" s="1"/>
  <c r="C13" i="4"/>
  <c r="B2557" i="106" s="1"/>
  <c r="D2557" i="106" s="1"/>
  <c r="G21" i="108"/>
  <c r="E21" i="108"/>
  <c r="B1115" i="106"/>
  <c r="D1115" i="106" s="1"/>
  <c r="G19" i="108"/>
  <c r="C12" i="4"/>
  <c r="B2556" i="106" s="1"/>
  <c r="D2556" i="106" s="1"/>
  <c r="B1108" i="106"/>
  <c r="D1108" i="106" s="1"/>
  <c r="B989" i="106"/>
  <c r="D989" i="106" s="1"/>
  <c r="B5527" i="106"/>
  <c r="D5527" i="106" s="1"/>
  <c r="E4" i="4"/>
  <c r="B5356" i="106"/>
  <c r="D5356" i="106" s="1"/>
  <c r="D4" i="4"/>
  <c r="B2564" i="106" s="1"/>
  <c r="D2564" i="106" s="1"/>
  <c r="B5778" i="106"/>
  <c r="D5778" i="106" s="1"/>
  <c r="G6" i="4"/>
  <c r="B2604" i="106" s="1"/>
  <c r="D2604" i="106" s="1"/>
  <c r="D173" i="5"/>
  <c r="D275" i="5" s="1"/>
  <c r="B5412" i="106"/>
  <c r="D5412" i="106" s="1"/>
  <c r="B5544" i="106"/>
  <c r="D5544" i="106" s="1"/>
  <c r="E6" i="4"/>
  <c r="B2631" i="106" s="1"/>
  <c r="D2631" i="106" s="1"/>
  <c r="B6025" i="106"/>
  <c r="D6025" i="106" s="1"/>
  <c r="H4" i="4"/>
  <c r="H7" i="4"/>
  <c r="B2657" i="106" s="1"/>
  <c r="D2657" i="106" s="1"/>
  <c r="F4" i="4"/>
  <c r="B2591" i="106" s="1"/>
  <c r="D2591" i="106" s="1"/>
  <c r="B5588" i="106"/>
  <c r="D5588" i="106" s="1"/>
  <c r="J4" i="4"/>
  <c r="B6220" i="106" s="1"/>
  <c r="D6220" i="106" s="1"/>
  <c r="B6352" i="106"/>
  <c r="D6352" i="106" s="1"/>
  <c r="K26" i="12"/>
  <c r="B7743" i="106" s="1"/>
  <c r="D7743" i="106" s="1"/>
  <c r="C173" i="5"/>
  <c r="C275" i="5" s="1"/>
  <c r="B5214" i="106"/>
  <c r="D5214" i="106" s="1"/>
  <c r="B5914" i="106"/>
  <c r="D5914" i="106" s="1"/>
  <c r="C4" i="4"/>
  <c r="B2551" i="106" s="1"/>
  <c r="D2551" i="106" s="1"/>
  <c r="B5121" i="106"/>
  <c r="D5121" i="106" s="1"/>
  <c r="B5011" i="106"/>
  <c r="D5011" i="106" s="1"/>
  <c r="F6" i="4"/>
  <c r="B2593" i="106" s="1"/>
  <c r="D2593" i="106" s="1"/>
  <c r="B93" i="106"/>
  <c r="D93" i="106" s="1"/>
  <c r="D44" i="36"/>
  <c r="B171" i="106"/>
  <c r="D171" i="106" s="1"/>
  <c r="D47" i="36"/>
  <c r="B2913" i="106"/>
  <c r="D2913" i="106" s="1"/>
  <c r="D50" i="36"/>
  <c r="K34" i="182"/>
  <c r="D81" i="36" s="1"/>
  <c r="B7799" i="106"/>
  <c r="D7799" i="106" s="1"/>
  <c r="G40" i="108"/>
  <c r="E40" i="108"/>
  <c r="B2031" i="106"/>
  <c r="D2031" i="106" s="1"/>
  <c r="L16" i="11"/>
  <c r="B2061" i="106" s="1"/>
  <c r="D2061" i="106" s="1"/>
  <c r="B7732" i="106"/>
  <c r="D7732" i="106" s="1"/>
  <c r="J26" i="12"/>
  <c r="B7742" i="106" s="1"/>
  <c r="D7742" i="106" s="1"/>
  <c r="B3298" i="106"/>
  <c r="D3298" i="106" s="1"/>
  <c r="H77" i="4"/>
  <c r="B3299" i="106" s="1"/>
  <c r="D3299" i="106" s="1"/>
  <c r="G274" i="5"/>
  <c r="B5863" i="106"/>
  <c r="D5863" i="106" s="1"/>
  <c r="F275" i="5"/>
  <c r="B5719" i="106" l="1"/>
  <c r="D5719" i="106" s="1"/>
  <c r="B1145" i="106"/>
  <c r="D1145" i="106" s="1"/>
  <c r="D7250" i="106"/>
  <c r="A7251" i="106"/>
  <c r="F13" i="34"/>
  <c r="K343" i="29"/>
  <c r="B7225" i="106" s="1"/>
  <c r="D7225" i="106" s="1"/>
  <c r="K8" i="4"/>
  <c r="K10" i="4" s="1"/>
  <c r="B4130" i="106" s="1"/>
  <c r="D4130" i="106" s="1"/>
  <c r="B285" i="106"/>
  <c r="D285" i="106" s="1"/>
  <c r="H37" i="37"/>
  <c r="B287" i="106"/>
  <c r="D287" i="106" s="1"/>
  <c r="I8" i="4"/>
  <c r="B3226" i="106" s="1"/>
  <c r="D3226" i="106" s="1"/>
  <c r="C15" i="4"/>
  <c r="B2559" i="106" s="1"/>
  <c r="D2559" i="106" s="1"/>
  <c r="K368" i="29"/>
  <c r="B3681" i="106" s="1"/>
  <c r="D3681" i="106" s="1"/>
  <c r="B7055" i="106"/>
  <c r="D7055" i="106" s="1"/>
  <c r="G13" i="4"/>
  <c r="B2608" i="106" s="1"/>
  <c r="D2608" i="106" s="1"/>
  <c r="B1510" i="106"/>
  <c r="D1510" i="106" s="1"/>
  <c r="B1517" i="106"/>
  <c r="D1517" i="106" s="1"/>
  <c r="J7" i="4"/>
  <c r="B6222" i="106" s="1"/>
  <c r="D6222" i="106" s="1"/>
  <c r="B7054" i="106"/>
  <c r="D7054" i="106" s="1"/>
  <c r="B7019" i="106"/>
  <c r="D7019" i="106" s="1"/>
  <c r="C16" i="4"/>
  <c r="B2560" i="106" s="1"/>
  <c r="D2560" i="106" s="1"/>
  <c r="B1287" i="106"/>
  <c r="D1287" i="106" s="1"/>
  <c r="D16" i="4"/>
  <c r="B2572" i="106" s="1"/>
  <c r="D2572" i="106" s="1"/>
  <c r="K114" i="29"/>
  <c r="F8" i="34" s="1"/>
  <c r="B2633" i="106"/>
  <c r="D2633" i="106" s="1"/>
  <c r="B7042" i="106"/>
  <c r="D7042" i="106" s="1"/>
  <c r="J17" i="4"/>
  <c r="B3574" i="106"/>
  <c r="D3574" i="106" s="1"/>
  <c r="K17" i="4"/>
  <c r="F57" i="34"/>
  <c r="D15" i="4"/>
  <c r="B2571" i="106" s="1"/>
  <c r="D2571" i="106" s="1"/>
  <c r="B1282" i="106"/>
  <c r="D1282" i="106" s="1"/>
  <c r="K151" i="29"/>
  <c r="K152" i="29" s="1"/>
  <c r="B1289" i="106" s="1"/>
  <c r="D1289" i="106" s="1"/>
  <c r="B1331" i="106"/>
  <c r="D1331" i="106" s="1"/>
  <c r="E16" i="4"/>
  <c r="B2634" i="106" s="1"/>
  <c r="D2634" i="106" s="1"/>
  <c r="B2569" i="106"/>
  <c r="D2569" i="106" s="1"/>
  <c r="B2660" i="106"/>
  <c r="D2660" i="106" s="1"/>
  <c r="H17" i="4"/>
  <c r="F16" i="4"/>
  <c r="B1387" i="106"/>
  <c r="D1387" i="106" s="1"/>
  <c r="K210" i="29"/>
  <c r="K211" i="29" s="1"/>
  <c r="B1389" i="106" s="1"/>
  <c r="D1389" i="106" s="1"/>
  <c r="K174" i="29"/>
  <c r="F17" i="11"/>
  <c r="B7020" i="106"/>
  <c r="D7020" i="106" s="1"/>
  <c r="F55" i="34"/>
  <c r="B2607" i="106"/>
  <c r="D2607" i="106" s="1"/>
  <c r="G17" i="4"/>
  <c r="B1560" i="106"/>
  <c r="D1560" i="106" s="1"/>
  <c r="K313" i="29"/>
  <c r="B1561" i="106" s="1"/>
  <c r="D1561" i="106" s="1"/>
  <c r="E41" i="108"/>
  <c r="E44" i="108" s="1"/>
  <c r="E45" i="108" s="1"/>
  <c r="G41" i="108"/>
  <c r="G44" i="108" s="1"/>
  <c r="G45" i="108" s="1"/>
  <c r="B2655" i="106"/>
  <c r="D2655" i="106" s="1"/>
  <c r="H8" i="4"/>
  <c r="B5421" i="106"/>
  <c r="D5421" i="106" s="1"/>
  <c r="D6" i="4"/>
  <c r="B2630" i="106"/>
  <c r="D2630" i="106" s="1"/>
  <c r="E8" i="4"/>
  <c r="B5223" i="106"/>
  <c r="D5223" i="106" s="1"/>
  <c r="C6" i="4"/>
  <c r="B2553" i="106" s="1"/>
  <c r="D2553" i="106" s="1"/>
  <c r="B5508" i="106"/>
  <c r="D5508" i="106" s="1"/>
  <c r="B5327" i="106"/>
  <c r="D5327" i="106" s="1"/>
  <c r="D55" i="36"/>
  <c r="F8" i="4"/>
  <c r="B2594" i="106"/>
  <c r="D2594" i="106" s="1"/>
  <c r="G7" i="4"/>
  <c r="B5869" i="106"/>
  <c r="D5869" i="106" s="1"/>
  <c r="G275" i="5"/>
  <c r="B3571" i="106"/>
  <c r="D3571" i="106" s="1"/>
  <c r="B5720" i="106"/>
  <c r="D5720" i="106" s="1"/>
  <c r="E8" i="146" l="1"/>
  <c r="E10" i="146" s="1"/>
  <c r="A7252" i="106"/>
  <c r="D7251" i="106"/>
  <c r="K20" i="4"/>
  <c r="K78" i="4" s="1"/>
  <c r="I20" i="4"/>
  <c r="B3227" i="106" s="1"/>
  <c r="D3227" i="106" s="1"/>
  <c r="B4997" i="106"/>
  <c r="D4997" i="106" s="1"/>
  <c r="H32" i="118"/>
  <c r="K32" i="118" s="1"/>
  <c r="O31" i="118" s="1"/>
  <c r="O33" i="118" s="1"/>
  <c r="I10" i="4"/>
  <c r="B4128" i="106" s="1"/>
  <c r="D4128" i="106" s="1"/>
  <c r="C17" i="4"/>
  <c r="C19" i="4" s="1"/>
  <c r="B4136" i="106" s="1"/>
  <c r="D4136" i="106" s="1"/>
  <c r="J8" i="4"/>
  <c r="B6223" i="106" s="1"/>
  <c r="D6223" i="106" s="1"/>
  <c r="K115" i="29"/>
  <c r="B1153" i="106" s="1"/>
  <c r="D1153" i="106" s="1"/>
  <c r="B1152" i="106"/>
  <c r="D1152" i="106" s="1"/>
  <c r="F76" i="34"/>
  <c r="D17" i="4"/>
  <c r="D19" i="4" s="1"/>
  <c r="B4137" i="106" s="1"/>
  <c r="D4137" i="106" s="1"/>
  <c r="F11" i="34"/>
  <c r="B1388" i="106"/>
  <c r="D1388" i="106" s="1"/>
  <c r="G19" i="4"/>
  <c r="B4140" i="106" s="1"/>
  <c r="D4140" i="106" s="1"/>
  <c r="B2612" i="106"/>
  <c r="D2612" i="106" s="1"/>
  <c r="I17" i="11"/>
  <c r="B7624" i="106"/>
  <c r="F9" i="34"/>
  <c r="B1288" i="106"/>
  <c r="D1288" i="106" s="1"/>
  <c r="K19" i="4"/>
  <c r="B4144" i="106" s="1"/>
  <c r="D4144" i="106" s="1"/>
  <c r="B3575" i="106"/>
  <c r="D3575" i="106" s="1"/>
  <c r="F10" i="34"/>
  <c r="B1332" i="106"/>
  <c r="D1332" i="106" s="1"/>
  <c r="K175" i="29"/>
  <c r="B1333" i="106" s="1"/>
  <c r="D1333" i="106" s="1"/>
  <c r="B2599" i="106"/>
  <c r="D2599" i="106" s="1"/>
  <c r="F17" i="4"/>
  <c r="F20" i="4" s="1"/>
  <c r="B2661" i="106"/>
  <c r="D2661" i="106" s="1"/>
  <c r="H19" i="4"/>
  <c r="B4141" i="106" s="1"/>
  <c r="D4141" i="106" s="1"/>
  <c r="B6227" i="106"/>
  <c r="D6227" i="106" s="1"/>
  <c r="J19" i="4"/>
  <c r="B6229" i="106" s="1"/>
  <c r="D6229" i="106" s="1"/>
  <c r="E17" i="4"/>
  <c r="E20" i="4" s="1"/>
  <c r="B2566" i="106"/>
  <c r="D2566" i="106" s="1"/>
  <c r="D8" i="4"/>
  <c r="E10" i="4"/>
  <c r="B4124" i="106" s="1"/>
  <c r="D4124" i="106" s="1"/>
  <c r="B2632" i="106"/>
  <c r="D2632" i="106" s="1"/>
  <c r="B2658" i="106"/>
  <c r="D2658" i="106" s="1"/>
  <c r="H10" i="4"/>
  <c r="B4127" i="106" s="1"/>
  <c r="D4127" i="106" s="1"/>
  <c r="H20" i="4"/>
  <c r="C8" i="4"/>
  <c r="B8" i="146" s="1"/>
  <c r="B2605" i="106"/>
  <c r="D2605" i="106" s="1"/>
  <c r="G8" i="4"/>
  <c r="D10" i="171"/>
  <c r="D19" i="171" s="1"/>
  <c r="D32" i="171" s="1"/>
  <c r="D49" i="171" s="1"/>
  <c r="B5870" i="106"/>
  <c r="D5870" i="106" s="1"/>
  <c r="K296" i="29"/>
  <c r="B1518" i="106" s="1"/>
  <c r="D1518" i="106" s="1"/>
  <c r="D8" i="146"/>
  <c r="B2595" i="106"/>
  <c r="D2595" i="106" s="1"/>
  <c r="F10" i="4"/>
  <c r="B4125" i="106" s="1"/>
  <c r="D4125" i="106" s="1"/>
  <c r="B3576" i="106" l="1"/>
  <c r="D3576" i="106" s="1"/>
  <c r="I78" i="4"/>
  <c r="J20" i="4"/>
  <c r="J78" i="4" s="1"/>
  <c r="D7252" i="106"/>
  <c r="A7253" i="106"/>
  <c r="B2561" i="106"/>
  <c r="D2561" i="106" s="1"/>
  <c r="B9" i="146"/>
  <c r="B10" i="146" s="1"/>
  <c r="J10" i="4"/>
  <c r="B6225" i="106" s="1"/>
  <c r="D6225" i="106" s="1"/>
  <c r="F16" i="37"/>
  <c r="H17" i="118"/>
  <c r="H25" i="118" s="1"/>
  <c r="K24" i="118" s="1"/>
  <c r="O23" i="118" s="1"/>
  <c r="O25" i="118" s="1"/>
  <c r="C9" i="146"/>
  <c r="B2573" i="106"/>
  <c r="D2573" i="106" s="1"/>
  <c r="B2635" i="106"/>
  <c r="D2635" i="106" s="1"/>
  <c r="E19" i="4"/>
  <c r="B4138" i="106" s="1"/>
  <c r="D4138" i="106" s="1"/>
  <c r="F19" i="4"/>
  <c r="B4139" i="106" s="1"/>
  <c r="D4139" i="106" s="1"/>
  <c r="B2600" i="106"/>
  <c r="D2600" i="106" s="1"/>
  <c r="D9" i="146"/>
  <c r="F14" i="34"/>
  <c r="F77" i="34" s="1"/>
  <c r="I18" i="11"/>
  <c r="B7625" i="106"/>
  <c r="B2555" i="106"/>
  <c r="D2555" i="106" s="1"/>
  <c r="H18" i="118"/>
  <c r="D16" i="37"/>
  <c r="E78" i="4"/>
  <c r="B2636" i="106"/>
  <c r="D2636" i="106" s="1"/>
  <c r="B2662" i="106"/>
  <c r="D2662" i="106" s="1"/>
  <c r="H78" i="4"/>
  <c r="D20" i="4"/>
  <c r="B2568" i="106"/>
  <c r="D2568" i="106" s="1"/>
  <c r="C8" i="146"/>
  <c r="D10" i="4"/>
  <c r="B4123" i="106" s="1"/>
  <c r="D4123" i="106" s="1"/>
  <c r="C10" i="4"/>
  <c r="B4122" i="106" s="1"/>
  <c r="D4122" i="106" s="1"/>
  <c r="C20" i="4"/>
  <c r="H13" i="118"/>
  <c r="B3320" i="106"/>
  <c r="D3320" i="106" s="1"/>
  <c r="I81" i="4"/>
  <c r="B2606" i="106"/>
  <c r="D2606" i="106" s="1"/>
  <c r="G10" i="4"/>
  <c r="B4126" i="106" s="1"/>
  <c r="D4126" i="106" s="1"/>
  <c r="G20" i="4"/>
  <c r="K81" i="4"/>
  <c r="B3588" i="106"/>
  <c r="D3588" i="106" s="1"/>
  <c r="F78" i="4"/>
  <c r="B2601" i="106"/>
  <c r="D2601" i="106" s="1"/>
  <c r="B6230" i="106" l="1"/>
  <c r="D6230" i="106" s="1"/>
  <c r="D7253" i="106"/>
  <c r="A7254" i="106"/>
  <c r="H16" i="37"/>
  <c r="F9" i="146"/>
  <c r="C10" i="146"/>
  <c r="K17" i="118"/>
  <c r="O16" i="118" s="1"/>
  <c r="D10" i="146"/>
  <c r="F79" i="34"/>
  <c r="F179" i="34"/>
  <c r="F180" i="34"/>
  <c r="B7631" i="106"/>
  <c r="F8" i="146"/>
  <c r="F10" i="146" s="1"/>
  <c r="J81" i="4"/>
  <c r="B6263" i="106"/>
  <c r="D6263" i="106" s="1"/>
  <c r="B3300" i="106"/>
  <c r="D3300" i="106" s="1"/>
  <c r="H81" i="4"/>
  <c r="D78" i="4"/>
  <c r="B2574" i="106"/>
  <c r="D2574" i="106" s="1"/>
  <c r="E81" i="4"/>
  <c r="B3278" i="106"/>
  <c r="D3278" i="106" s="1"/>
  <c r="C78" i="4"/>
  <c r="B2562" i="106"/>
  <c r="D2562" i="106" s="1"/>
  <c r="I82" i="4"/>
  <c r="B3323" i="106"/>
  <c r="D3323" i="106" s="1"/>
  <c r="E11" i="146"/>
  <c r="D63" i="36"/>
  <c r="F81" i="4"/>
  <c r="B3256" i="106"/>
  <c r="D3256" i="106" s="1"/>
  <c r="G78" i="4"/>
  <c r="B2613" i="106"/>
  <c r="D2613" i="106" s="1"/>
  <c r="K82" i="4"/>
  <c r="B3591" i="106"/>
  <c r="D3591" i="106" s="1"/>
  <c r="D65" i="36"/>
  <c r="D7254" i="106" l="1"/>
  <c r="A7255" i="106"/>
  <c r="F181" i="34"/>
  <c r="F183" i="34" s="1"/>
  <c r="J82" i="4"/>
  <c r="B6266" i="106"/>
  <c r="D6266" i="106" s="1"/>
  <c r="D64" i="36"/>
  <c r="D81" i="4"/>
  <c r="B3239" i="106"/>
  <c r="D3239" i="106" s="1"/>
  <c r="D62" i="36"/>
  <c r="B1700" i="106"/>
  <c r="D1700" i="106" s="1"/>
  <c r="H82" i="4"/>
  <c r="D59" i="36"/>
  <c r="B1658" i="106"/>
  <c r="D1658" i="106" s="1"/>
  <c r="E82" i="4"/>
  <c r="B3233" i="106"/>
  <c r="D3233" i="106" s="1"/>
  <c r="C81" i="4"/>
  <c r="I83" i="4"/>
  <c r="B6282" i="106" s="1"/>
  <c r="D6282" i="106" s="1"/>
  <c r="B6273" i="106"/>
  <c r="D6273" i="106" s="1"/>
  <c r="G81" i="4"/>
  <c r="B3262" i="106"/>
  <c r="D3262" i="106" s="1"/>
  <c r="K83" i="4"/>
  <c r="B6284" i="106" s="1"/>
  <c r="D6284" i="106" s="1"/>
  <c r="B6275" i="106"/>
  <c r="D6275" i="106" s="1"/>
  <c r="F82" i="4"/>
  <c r="D11" i="146"/>
  <c r="B1672" i="106"/>
  <c r="D1672" i="106" s="1"/>
  <c r="D60" i="36"/>
  <c r="A7256" i="106" l="1"/>
  <c r="D7255" i="106"/>
  <c r="B6274" i="106"/>
  <c r="D6274" i="106" s="1"/>
  <c r="J83" i="4"/>
  <c r="B6283" i="106" s="1"/>
  <c r="D6283" i="106" s="1"/>
  <c r="B6269" i="106"/>
  <c r="D6269" i="106" s="1"/>
  <c r="E83" i="4"/>
  <c r="B6278" i="106" s="1"/>
  <c r="D6278" i="106" s="1"/>
  <c r="H83" i="4"/>
  <c r="B6281" i="106" s="1"/>
  <c r="D6281" i="106" s="1"/>
  <c r="B6272" i="106"/>
  <c r="D6272" i="106" s="1"/>
  <c r="D58" i="36"/>
  <c r="D82" i="4"/>
  <c r="B1644" i="106"/>
  <c r="D1644" i="106" s="1"/>
  <c r="C11" i="146"/>
  <c r="D57" i="36"/>
  <c r="C82" i="4"/>
  <c r="B1630" i="106"/>
  <c r="D1630" i="106" s="1"/>
  <c r="B11" i="146"/>
  <c r="J16" i="37"/>
  <c r="B4269" i="106" s="1"/>
  <c r="D4269" i="106" s="1"/>
  <c r="F83" i="4"/>
  <c r="B6279" i="106" s="1"/>
  <c r="D6279" i="106" s="1"/>
  <c r="B6270" i="106"/>
  <c r="D6270" i="106" s="1"/>
  <c r="G82" i="4"/>
  <c r="B1686" i="106"/>
  <c r="D1686" i="106" s="1"/>
  <c r="D61" i="36"/>
  <c r="H12" i="118"/>
  <c r="K12" i="118" s="1"/>
  <c r="F11" i="146" l="1"/>
  <c r="A7257" i="106"/>
  <c r="D7256" i="106"/>
  <c r="O11" i="118"/>
  <c r="O13" i="118" s="1"/>
  <c r="J20" i="118"/>
  <c r="D83" i="4"/>
  <c r="B6277" i="106" s="1"/>
  <c r="D6277" i="106" s="1"/>
  <c r="B6268" i="106"/>
  <c r="D6268" i="106" s="1"/>
  <c r="D29" i="36"/>
  <c r="J24" i="24" s="1"/>
  <c r="C12" i="146"/>
  <c r="C83" i="4"/>
  <c r="B6276" i="106" s="1"/>
  <c r="D6276" i="106" s="1"/>
  <c r="B6267" i="106"/>
  <c r="D6267" i="106" s="1"/>
  <c r="G83" i="4"/>
  <c r="B6280" i="106" s="1"/>
  <c r="D6280" i="106" s="1"/>
  <c r="B6271" i="106"/>
  <c r="D6271" i="106" s="1"/>
  <c r="A7258" i="106" l="1"/>
  <c r="D7257" i="106"/>
  <c r="O17" i="118"/>
  <c r="O20" i="118" s="1"/>
  <c r="O35" i="118" s="1"/>
  <c r="O37" i="118" s="1"/>
  <c r="K20" i="118"/>
  <c r="A7259" i="106" l="1"/>
  <c r="D7258" i="106"/>
  <c r="A7260" i="106" l="1"/>
  <c r="D7259" i="106"/>
  <c r="A7261" i="106" l="1"/>
  <c r="D7260" i="106"/>
  <c r="A7262" i="106" l="1"/>
  <c r="D7261" i="106"/>
  <c r="A7263" i="106" l="1"/>
  <c r="D7262" i="106"/>
  <c r="A7264" i="106" l="1"/>
  <c r="D7263" i="106"/>
  <c r="A7265" i="106" l="1"/>
  <c r="D7264" i="106"/>
  <c r="A7266" i="106" l="1"/>
  <c r="D7265" i="106"/>
  <c r="A7267" i="106" l="1"/>
  <c r="D7266" i="106"/>
  <c r="A7268" i="106" l="1"/>
  <c r="D7267" i="106"/>
  <c r="A7269" i="106" l="1"/>
  <c r="D7268" i="106"/>
  <c r="A7270" i="106" l="1"/>
  <c r="D7269" i="106"/>
  <c r="D7270" i="106" l="1"/>
  <c r="A7271" i="106"/>
  <c r="A7272" i="106" l="1"/>
  <c r="D7271" i="106"/>
  <c r="D7272" i="106" l="1"/>
  <c r="A7273" i="106"/>
  <c r="A7274" i="106" l="1"/>
  <c r="D7273" i="106"/>
  <c r="D7274" i="106" l="1"/>
  <c r="A7275" i="106"/>
  <c r="A7276" i="106" l="1"/>
  <c r="D7275" i="106"/>
  <c r="D7276" i="106" l="1"/>
  <c r="A7277" i="106"/>
  <c r="A7278" i="106" l="1"/>
  <c r="D7277" i="106"/>
  <c r="D7278" i="106" l="1"/>
  <c r="A7279" i="106"/>
  <c r="A7280" i="106" l="1"/>
  <c r="D7279" i="106"/>
  <c r="D7280" i="106" l="1"/>
  <c r="A7281" i="106"/>
  <c r="A7282" i="106" l="1"/>
  <c r="D7281" i="106"/>
  <c r="D7282" i="106" l="1"/>
  <c r="A7283" i="106"/>
  <c r="A7284" i="106" l="1"/>
  <c r="D7283" i="106"/>
  <c r="D7284" i="106" l="1"/>
  <c r="A7285" i="106"/>
  <c r="A7286" i="106" l="1"/>
  <c r="D7285" i="106"/>
  <c r="D7286" i="106" l="1"/>
  <c r="A7287" i="106"/>
  <c r="A7288" i="106" l="1"/>
  <c r="D7287" i="106"/>
  <c r="D7288" i="106" l="1"/>
  <c r="A7289" i="106"/>
  <c r="A7290" i="106" l="1"/>
  <c r="D7289" i="106"/>
  <c r="D7290" i="106" l="1"/>
  <c r="A7291" i="106"/>
  <c r="A7292" i="106" l="1"/>
  <c r="D7291" i="106"/>
  <c r="D7292" i="106" l="1"/>
  <c r="A7293" i="106"/>
  <c r="A7294" i="106" l="1"/>
  <c r="D7293" i="106"/>
  <c r="D7294" i="106" l="1"/>
  <c r="A7295" i="106"/>
  <c r="A7296" i="106" l="1"/>
  <c r="D7295" i="106"/>
  <c r="D7296" i="106" l="1"/>
  <c r="A7297" i="106"/>
  <c r="A7298" i="106" l="1"/>
  <c r="D7297" i="106"/>
  <c r="D7298" i="106" l="1"/>
  <c r="A7299" i="106"/>
  <c r="A7300" i="106" l="1"/>
  <c r="D7299" i="106"/>
  <c r="D7300" i="106" l="1"/>
  <c r="A7301" i="106"/>
  <c r="A7302" i="106" l="1"/>
  <c r="D7301" i="106"/>
  <c r="D7302" i="106" l="1"/>
  <c r="A7303" i="106"/>
  <c r="A7304" i="106" l="1"/>
  <c r="D7303" i="106"/>
  <c r="D7304" i="106" l="1"/>
  <c r="A7305" i="106"/>
  <c r="A7306" i="106" l="1"/>
  <c r="D7305" i="106"/>
  <c r="D7306" i="106" l="1"/>
  <c r="A7307" i="106"/>
  <c r="A7308" i="106" l="1"/>
  <c r="D7307" i="106"/>
  <c r="D7308" i="106" l="1"/>
  <c r="A7309" i="106"/>
  <c r="A7310" i="106" l="1"/>
  <c r="D7309" i="106"/>
  <c r="D7310" i="106" l="1"/>
  <c r="A7311" i="106"/>
  <c r="A7312" i="106" l="1"/>
  <c r="D7311" i="106"/>
  <c r="D7312" i="106" l="1"/>
  <c r="A7313" i="106"/>
  <c r="A7314" i="106" l="1"/>
  <c r="D7313" i="106"/>
  <c r="D7314" i="106" l="1"/>
  <c r="A7315" i="106"/>
  <c r="A7316" i="106" l="1"/>
  <c r="D7315" i="106"/>
  <c r="D7316" i="106" l="1"/>
  <c r="A7317" i="106"/>
  <c r="A7318" i="106" l="1"/>
  <c r="D7317" i="106"/>
  <c r="D7318" i="106" l="1"/>
  <c r="A7319" i="106"/>
  <c r="A7320" i="106" l="1"/>
  <c r="D7319" i="106"/>
  <c r="D7320" i="106" l="1"/>
  <c r="A7321" i="106"/>
  <c r="A7322" i="106" l="1"/>
  <c r="D7321" i="106"/>
  <c r="D7322" i="106" l="1"/>
  <c r="A7323" i="106"/>
  <c r="A7324" i="106" l="1"/>
  <c r="D7323" i="106"/>
  <c r="D7324" i="106" l="1"/>
  <c r="A7325"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D7452" i="106" l="1"/>
  <c r="A7453" i="106"/>
  <c r="A7454" i="106" l="1"/>
  <c r="D7453" i="106"/>
  <c r="A7455" i="106" l="1"/>
  <c r="D7454" i="106"/>
  <c r="A7456" i="106" l="1"/>
  <c r="D7455" i="106"/>
  <c r="D7456" i="106" l="1"/>
  <c r="A7457" i="106"/>
  <c r="A7458" i="106" l="1"/>
  <c r="D7457" i="106"/>
  <c r="A7459" i="106" l="1"/>
  <c r="D7458" i="106"/>
  <c r="A7460" i="106" l="1"/>
  <c r="D7459" i="106"/>
  <c r="D7460" i="106" l="1"/>
  <c r="A7461" i="106"/>
  <c r="A7462" i="106" l="1"/>
  <c r="D7461" i="106"/>
  <c r="A7463" i="106" l="1"/>
  <c r="D7462" i="106"/>
  <c r="A7464" i="106" l="1"/>
  <c r="D7463" i="106"/>
  <c r="D7464" i="106" l="1"/>
  <c r="A7465" i="106"/>
  <c r="A7466" i="106" l="1"/>
  <c r="D7465" i="106"/>
  <c r="A7467" i="106" l="1"/>
  <c r="D7466" i="106"/>
  <c r="A7468" i="106" l="1"/>
  <c r="D7467" i="106"/>
  <c r="D7468" i="106" l="1"/>
  <c r="A7469" i="106"/>
  <c r="A7470" i="106" l="1"/>
  <c r="D7469" i="106"/>
  <c r="A7471" i="106" l="1"/>
  <c r="D7470" i="106"/>
  <c r="A7472" i="106" l="1"/>
  <c r="D7471" i="106"/>
  <c r="D7472" i="106" l="1"/>
  <c r="A7473" i="106"/>
  <c r="A7474" i="106" l="1"/>
  <c r="D7473" i="106"/>
  <c r="A7475" i="106" l="1"/>
  <c r="D7474" i="106"/>
  <c r="A7476" i="106" l="1"/>
  <c r="D7475" i="106"/>
  <c r="A7477" i="106" l="1"/>
  <c r="D7476" i="106"/>
  <c r="A7478" i="106" l="1"/>
  <c r="D7477" i="106"/>
  <c r="A7479" i="106" l="1"/>
  <c r="D7478" i="106"/>
  <c r="A7480" i="106" l="1"/>
  <c r="D7479" i="106"/>
  <c r="D7480" i="106" l="1"/>
  <c r="A7481" i="106"/>
  <c r="A7482" i="106" l="1"/>
  <c r="D7481" i="106"/>
  <c r="A7483" i="106" l="1"/>
  <c r="D7482" i="106"/>
  <c r="A7484" i="106" l="1"/>
  <c r="D7483" i="106"/>
  <c r="A7485" i="106" l="1"/>
  <c r="D7484" i="106"/>
  <c r="A7486" i="106" l="1"/>
  <c r="D7485" i="106"/>
  <c r="A7487" i="106" l="1"/>
  <c r="D7486" i="106"/>
  <c r="A7488" i="106" l="1"/>
  <c r="D7487" i="106"/>
  <c r="D7488" i="106" l="1"/>
  <c r="A7489" i="106"/>
  <c r="A7490" i="106" l="1"/>
  <c r="D7489" i="106"/>
  <c r="A7491" i="106" l="1"/>
  <c r="D7490" i="106"/>
  <c r="A7492" i="106" l="1"/>
  <c r="D7491" i="106"/>
  <c r="A7493" i="106" l="1"/>
  <c r="D7492" i="106"/>
  <c r="A7494" i="106" l="1"/>
  <c r="D7493" i="106"/>
  <c r="A7495" i="106" l="1"/>
  <c r="D7494" i="106"/>
  <c r="A7496" i="106" l="1"/>
  <c r="D7495" i="106"/>
  <c r="D7496" i="106" l="1"/>
  <c r="A7497" i="106"/>
  <c r="A7498" i="106" l="1"/>
  <c r="D7497" i="106"/>
  <c r="A7499" i="106" l="1"/>
  <c r="D7498" i="106"/>
  <c r="A7500" i="106" l="1"/>
  <c r="D7499" i="106"/>
  <c r="A7501" i="106" l="1"/>
  <c r="D7500" i="106"/>
  <c r="A7502" i="106" l="1"/>
  <c r="D7501" i="106"/>
  <c r="A7503" i="106" l="1"/>
  <c r="D7502" i="106"/>
  <c r="A7504" i="106" l="1"/>
  <c r="D7503" i="106"/>
  <c r="D7504" i="106" l="1"/>
  <c r="A7505" i="106"/>
  <c r="A7506" i="106" l="1"/>
  <c r="D7505" i="106"/>
  <c r="A7507" i="106" l="1"/>
  <c r="D7506" i="106"/>
  <c r="A7508" i="106" l="1"/>
  <c r="D7507" i="106"/>
  <c r="A7509" i="106" l="1"/>
  <c r="D7508" i="106"/>
  <c r="A7510" i="106" l="1"/>
  <c r="D7509" i="106"/>
  <c r="A7511" i="106" l="1"/>
  <c r="D7510" i="106"/>
  <c r="A7512" i="106" l="1"/>
  <c r="D7511" i="106"/>
  <c r="D7512" i="106" l="1"/>
  <c r="A7513" i="106"/>
  <c r="A7514" i="106" l="1"/>
  <c r="D7513" i="106"/>
  <c r="A7515" i="106" l="1"/>
  <c r="D7514" i="106"/>
  <c r="A7516" i="106" l="1"/>
  <c r="D7515" i="106"/>
  <c r="A7517" i="106" l="1"/>
  <c r="D7516" i="106"/>
  <c r="A7518" i="106" l="1"/>
  <c r="D7517" i="106"/>
  <c r="A7519" i="106" l="1"/>
  <c r="D7518" i="106"/>
  <c r="A7520" i="106" l="1"/>
  <c r="D7519" i="106"/>
  <c r="D7520" i="106" l="1"/>
  <c r="A7521" i="106"/>
  <c r="A7522" i="106" l="1"/>
  <c r="D7521" i="106"/>
  <c r="A7523" i="106" l="1"/>
  <c r="D7522" i="106"/>
  <c r="A7524" i="106" l="1"/>
  <c r="D7523" i="106"/>
  <c r="A7525" i="106" l="1"/>
  <c r="D7524" i="106"/>
  <c r="A7526" i="106" l="1"/>
  <c r="D7525" i="106"/>
  <c r="A7527" i="106" l="1"/>
  <c r="D7526" i="106"/>
  <c r="A7528" i="106" l="1"/>
  <c r="D7527" i="106"/>
  <c r="D7528" i="106" l="1"/>
  <c r="A7529" i="106"/>
  <c r="A7530" i="106" l="1"/>
  <c r="D7529" i="106"/>
  <c r="A7531" i="106" l="1"/>
  <c r="D7530" i="106"/>
  <c r="A7532" i="106" l="1"/>
  <c r="D7531" i="106"/>
  <c r="A7533" i="106" l="1"/>
  <c r="D7532" i="106"/>
  <c r="D7533" i="106" l="1"/>
  <c r="A7534" i="106"/>
  <c r="A7535" i="106" l="1"/>
  <c r="D7534" i="106"/>
  <c r="D7535" i="106" l="1"/>
  <c r="A7536" i="106"/>
  <c r="A7537" i="106" l="1"/>
  <c r="D7536" i="106"/>
  <c r="D7537" i="106" l="1"/>
  <c r="A7538" i="106"/>
  <c r="A7539" i="106" l="1"/>
  <c r="D7538" i="106"/>
  <c r="D7539" i="106" l="1"/>
  <c r="A7540" i="106"/>
  <c r="A7541" i="106" l="1"/>
  <c r="D7540" i="106"/>
  <c r="D7541" i="106" l="1"/>
  <c r="A7542" i="106"/>
  <c r="A7543" i="106" l="1"/>
  <c r="D7542" i="106"/>
  <c r="D7543" i="106" l="1"/>
  <c r="A7544" i="106"/>
  <c r="A7545" i="106" l="1"/>
  <c r="D7544" i="106"/>
  <c r="D7545" i="106" l="1"/>
  <c r="A7546" i="106"/>
  <c r="A7547" i="106" l="1"/>
  <c r="D7546" i="106"/>
  <c r="D7547" i="106" l="1"/>
  <c r="A7548" i="106"/>
  <c r="A7549" i="106" l="1"/>
  <c r="D7548" i="106"/>
  <c r="D7549" i="106" l="1"/>
  <c r="A7550" i="106"/>
  <c r="A7551" i="106" l="1"/>
  <c r="D7550" i="106"/>
  <c r="D7551" i="106" l="1"/>
  <c r="A7552" i="106"/>
  <c r="A7553" i="106" l="1"/>
  <c r="D7552" i="106"/>
  <c r="D7553" i="106" l="1"/>
  <c r="A7554" i="106"/>
  <c r="A7555" i="106" l="1"/>
  <c r="D7554" i="106"/>
  <c r="D7555" i="106" l="1"/>
  <c r="A7556" i="106"/>
  <c r="A7557" i="106" l="1"/>
  <c r="D7556" i="106"/>
  <c r="D7557" i="106" l="1"/>
  <c r="A7558" i="106"/>
  <c r="A7559" i="106" l="1"/>
  <c r="D7558" i="106"/>
  <c r="D7559" i="106" l="1"/>
  <c r="A7560" i="106"/>
  <c r="A7561" i="106" l="1"/>
  <c r="D7560" i="106"/>
  <c r="D7561" i="106" l="1"/>
  <c r="A7562" i="106"/>
  <c r="A7563" i="106" l="1"/>
  <c r="D7562" i="106"/>
  <c r="D7563" i="106" l="1"/>
  <c r="A7564" i="106"/>
  <c r="A7565" i="106" l="1"/>
  <c r="D7564" i="106"/>
  <c r="D7565" i="106" l="1"/>
  <c r="A7566" i="106"/>
  <c r="A7567" i="106" l="1"/>
  <c r="D7566" i="106"/>
  <c r="D7567" i="106" l="1"/>
  <c r="A7568" i="106"/>
  <c r="A7569" i="106" l="1"/>
  <c r="D7568" i="106"/>
  <c r="D7569" i="106" l="1"/>
  <c r="A7570" i="106"/>
  <c r="A7571" i="106" l="1"/>
  <c r="D7570" i="106"/>
  <c r="D7571" i="106" l="1"/>
  <c r="A7572" i="106"/>
  <c r="A7573" i="106" l="1"/>
  <c r="D7572" i="106"/>
  <c r="D7573" i="106" l="1"/>
  <c r="A7574" i="106"/>
  <c r="A7575" i="106" l="1"/>
  <c r="D7574" i="106"/>
  <c r="D7575" i="106" l="1"/>
  <c r="A7576" i="106"/>
  <c r="A7577" i="106" l="1"/>
  <c r="D7576" i="106"/>
  <c r="D7577" i="106" l="1"/>
  <c r="A7578" i="106"/>
  <c r="A7579" i="106" l="1"/>
  <c r="D7578" i="106"/>
  <c r="D7579" i="106" l="1"/>
  <c r="A7580" i="106"/>
  <c r="A7581" i="106" l="1"/>
  <c r="D7580" i="106"/>
  <c r="D7581" i="106" l="1"/>
  <c r="A7582" i="106"/>
  <c r="A7583" i="106" l="1"/>
  <c r="D7582" i="106"/>
  <c r="D7583" i="106" l="1"/>
  <c r="A7584" i="106"/>
  <c r="A7585" i="106" l="1"/>
  <c r="D7584" i="106"/>
  <c r="D7585" i="106" l="1"/>
  <c r="A7586" i="106"/>
  <c r="A7587" i="106" l="1"/>
  <c r="D7586" i="106"/>
  <c r="D7587" i="106" l="1"/>
  <c r="A7588" i="106"/>
  <c r="A7589" i="106" l="1"/>
  <c r="D7588" i="106"/>
  <c r="D7589" i="106" l="1"/>
  <c r="A7590"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D7635" i="106" l="1"/>
  <c r="A7636" i="106"/>
  <c r="A7637" i="106" l="1"/>
  <c r="D7636" i="106"/>
  <c r="A7638" i="106" l="1"/>
  <c r="D7637" i="106"/>
  <c r="A7639" i="106" l="1"/>
  <c r="D7638" i="106"/>
  <c r="A7640" i="106" l="1"/>
  <c r="D7639" i="106"/>
  <c r="D7640" i="106" l="1"/>
  <c r="A7641" i="106"/>
  <c r="A7642" i="106" l="1"/>
  <c r="D7641" i="106"/>
  <c r="D7642" i="106" l="1"/>
  <c r="A7643" i="106"/>
  <c r="D7643" i="106" l="1"/>
  <c r="A7644" i="106"/>
  <c r="A7645" i="106" l="1"/>
  <c r="D7644" i="106"/>
  <c r="D7645" i="106" l="1"/>
  <c r="A7646" i="106"/>
  <c r="D7646" i="106" l="1"/>
  <c r="A7647" i="106"/>
  <c r="D7647" i="106" l="1"/>
  <c r="A7648" i="106"/>
  <c r="D7648" i="106" l="1"/>
  <c r="A7649"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<sst xmlns="http://schemas.openxmlformats.org/spreadsheetml/2006/main" count="5045" uniqueCount="2112">
  <si>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</si>
  <si>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</si>
  <si>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</si>
  <si>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</si>
  <si>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</si>
  <si>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</si>
  <si>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</si>
  <si>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</si>
  <si>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</si>
  <si>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</si>
  <si>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</si>
  <si>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</si>
  <si>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</si>
  <si>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</si>
  <si>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</si>
  <si>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</si>
  <si>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</si>
  <si>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</si>
  <si>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</si>
  <si>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</si>
  <si>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</si>
  <si>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</si>
  <si>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</si>
  <si>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</si>
  <si>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</si>
  <si>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</si>
  <si>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</si>
  <si>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</si>
  <si>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</si>
  <si>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</si>
  <si>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</si>
  <si>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</si>
  <si>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</si>
  <si>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</si>
  <si>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</si>
  <si>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</si>
  <si>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</si>
  <si>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</si>
  <si>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</si>
  <si>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</si>
  <si>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</si>
  <si>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</si>
  <si>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</si>
  <si>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</si>
  <si>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</si>
  <si>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</si>
  <si>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</si>
  <si>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</si>
  <si>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</si>
  <si>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</si>
  <si>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</si>
  <si>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</si>
  <si>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</si>
  <si>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</si>
  <si>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</si>
  <si>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</si>
  <si>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</si>
  <si>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</si>
  <si>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</si>
  <si>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</si>
  <si>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</si>
  <si>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</si>
  <si>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</si>
  <si>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</si>
  <si>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</si>
  <si>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</si>
  <si>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</si>
  <si>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</si>
  <si>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</si>
  <si>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</si>
  <si>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</si>
  <si>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</si>
  <si>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</si>
  <si>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</si>
  <si>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</si>
  <si>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</si>
  <si>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</si>
  <si>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</si>
  <si>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</si>
  <si>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</si>
  <si>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</si>
  <si>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</si>
  <si>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</si>
  <si>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</si>
  <si>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</si>
  <si>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</si>
  <si>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</si>
  <si>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</si>
  <si>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</si>
  <si>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</si>
  <si>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</si>
  <si>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</si>
  <si>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</si>
  <si>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</si>
  <si>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</si>
  <si>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</si>
  <si>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</si>
  <si>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</si>
  <si>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</si>
  <si>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</si>
  <si>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</si>
  <si>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</si>
  <si>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</si>
  <si>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</si>
  <si>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</si>
  <si>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</si>
  <si>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</si>
  <si>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</si>
  <si>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</si>
  <si>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</si>
  <si>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</si>
  <si>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</si>
  <si>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</si>
  <si>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</si>
  <si>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</si>
  <si>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</si>
  <si>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</si>
  <si>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</si>
  <si>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</si>
  <si>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</si>
  <si>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</si>
  <si>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</si>
  <si>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</si>
  <si>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</si>
  <si>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</si>
  <si>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</si>
  <si>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</si>
  <si>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</si>
  <si>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</si>
  <si>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</si>
  <si>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</si>
  <si>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</si>
  <si>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</si>
  <si>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</si>
  <si>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</si>
  <si>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</si>
  <si>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</si>
  <si>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</si>
  <si>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</si>
  <si>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</si>
  <si>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</si>
  <si>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</si>
  <si>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</si>
  <si>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</si>
  <si>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</si>
  <si>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</si>
  <si>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</si>
  <si>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</si>
  <si>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</si>
  <si>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</si>
  <si>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</si>
  <si>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</si>
  <si>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</si>
  <si>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</si>
  <si>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</si>
  <si>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</si>
  <si>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</si>
  <si>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</si>
  <si>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</si>
  <si>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</si>
  <si>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</si>
  <si>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</si>
  <si>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</si>
  <si>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</si>
  <si>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</si>
  <si>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</si>
  <si>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</si>
  <si>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</si>
  <si>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</si>
  <si>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</si>
  <si>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</si>
  <si>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</si>
  <si>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</si>
  <si>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</si>
  <si>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</si>
  <si>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</si>
  <si>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</si>
  <si>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</si>
  <si>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</si>
  <si>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</si>
  <si>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</si>
  <si>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</si>
  <si>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</si>
  <si>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</si>
  <si>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</si>
  <si>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</si>
  <si>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</si>
  <si>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</si>
  <si>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</si>
  <si>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</si>
  <si>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</si>
  <si>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</si>
  <si>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</si>
  <si>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</si>
  <si>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</si>
  <si>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</si>
  <si>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</si>
  <si>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</si>
  <si>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</si>
  <si>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</si>
  <si>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</si>
  <si>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</si>
  <si>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</si>
  <si>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</si>
  <si>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</si>
  <si>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</si>
  <si>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</si>
  <si>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</si>
  <si>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</si>
  <si>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</si>
  <si>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</si>
  <si>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</si>
  <si>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</si>
  <si>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</si>
  <si>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</si>
  <si>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</si>
  <si>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</si>
  <si>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</si>
  <si>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</si>
  <si>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</si>
  <si>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</si>
  <si>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</si>
  <si>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</si>
  <si>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</si>
  <si>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</si>
  <si>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</si>
  <si>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</si>
  <si>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</si>
  <si>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</si>
  <si>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</si>
  <si>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</si>
  <si>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</si>
  <si>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</si>
  <si>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</si>
  <si>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</si>
  <si>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</si>
  <si>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</si>
  <si>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</si>
  <si>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</si>
  <si>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</si>
  <si>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</si>
  <si>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</si>
  <si>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</si>
  <si>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</si>
  <si>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</si>
  <si>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</si>
  <si>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</si>
  <si>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</si>
  <si>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</si>
  <si>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</si>
  <si>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</si>
  <si>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</si>
  <si>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</si>
  <si>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</si>
  <si>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</si>
  <si>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</si>
  <si>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</si>
  <si>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</si>
  <si>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</si>
  <si>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</si>
  <si>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</si>
  <si>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</si>
  <si>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</si>
  <si>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</si>
  <si>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</si>
  <si>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</si>
  <si>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</si>
  <si>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</si>
  <si>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</si>
  <si>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</si>
  <si>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</si>
  <si>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</si>
  <si>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</si>
  <si>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</si>
  <si>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</si>
  <si>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</si>
  <si>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</si>
  <si>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</si>
  <si>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</si>
  <si>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</si>
  <si>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</si>
  <si>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</si>
  <si>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</si>
  <si>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</si>
  <si>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</si>
  <si>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</si>
  <si>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</si>
  <si>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</si>
  <si>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</si>
  <si>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</si>
  <si>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</si>
  <si>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</si>
  <si>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</si>
  <si>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</si>
  <si>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</si>
  <si>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</si>
  <si>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</si>
  <si>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</si>
  <si>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</si>
  <si>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</si>
  <si>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</si>
  <si>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</si>
  <si>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</si>
  <si>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</si>
  <si>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</si>
  <si>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</si>
  <si>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</si>
  <si>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</si>
  <si>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</si>
  <si>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</si>
  <si>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</si>
  <si>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</si>
  <si>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</si>
  <si>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</si>
  <si>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</si>
  <si>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</si>
  <si>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</si>
  <si>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</si>
  <si>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</si>
  <si>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</si>
  <si>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</si>
  <si>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</si>
  <si>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</si>
  <si>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</si>
  <si>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</si>
  <si>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</si>
  <si>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</si>
  <si>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</si>
  <si>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</si>
  <si>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</si>
  <si>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</si>
  <si>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</si>
  <si>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</si>
  <si>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</si>
  <si>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</si>
  <si>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</si>
  <si>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</si>
  <si>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</si>
  <si>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</si>
  <si>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</si>
  <si>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</si>
  <si>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</si>
  <si>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</si>
  <si>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</si>
  <si>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</si>
  <si>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</si>
  <si>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</si>
  <si>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</si>
  <si>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</si>
  <si>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</si>
  <si>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</si>
  <si>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</si>
  <si>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</si>
  <si>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</si>
  <si>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</si>
  <si>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</si>
  <si>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</si>
  <si>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</si>
  <si>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</si>
  <si>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</si>
  <si>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</si>
  <si>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</si>
  <si>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</si>
  <si>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</si>
  <si>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</si>
  <si>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</si>
  <si>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</si>
  <si>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</si>
  <si>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</si>
  <si>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</si>
  <si>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</si>
  <si>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</si>
  <si>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</si>
  <si>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</si>
  <si>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</si>
  <si>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</si>
  <si>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</si>
  <si>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</si>
  <si>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</si>
  <si>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</si>
  <si>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</si>
  <si>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</si>
  <si>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</si>
  <si>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</si>
  <si>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</si>
  <si>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</si>
  <si>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</si>
  <si>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</si>
  <si>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</si>
  <si>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</si>
  <si>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</si>
  <si>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</si>
  <si>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</si>
  <si>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</si>
  <si>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</si>
  <si>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</si>
  <si>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</si>
  <si>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</si>
  <si>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</si>
  <si>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</si>
  <si>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</si>
  <si>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</si>
  <si>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</si>
  <si>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</si>
  <si>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</si>
  <si>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</si>
  <si>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</si>
  <si>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</si>
  <si>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</si>
  <si>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</si>
  <si>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</si>
  <si>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</si>
  <si>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</si>
  <si>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</si>
  <si>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</si>
  <si>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</si>
  <si>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</si>
  <si>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</si>
  <si>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</si>
  <si>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</si>
  <si>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</si>
  <si>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</si>
  <si>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</si>
  <si>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</si>
  <si>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</si>
  <si>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</si>
  <si>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</si>
  <si>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</si>
  <si>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</si>
  <si>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</si>
  <si>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</si>
  <si>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</si>
  <si>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</si>
  <si>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</si>
  <si>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</si>
  <si>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</si>
  <si>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</si>
  <si>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</si>
  <si>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</si>
  <si>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</si>
  <si>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</si>
  <si>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</si>
  <si>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</si>
  <si>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</si>
  <si>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</si>
  <si>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</si>
  <si>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</si>
  <si>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</si>
  <si>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</si>
  <si>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</si>
  <si>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</si>
  <si>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</si>
  <si>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</si>
  <si>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</si>
  <si>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</si>
  <si>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</si>
  <si>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</si>
  <si>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</si>
  <si>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</si>
  <si>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</si>
  <si>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</si>
  <si>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</si>
  <si>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</si>
  <si>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</si>
  <si>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</si>
  <si>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</si>
  <si>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</si>
  <si>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</si>
  <si>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</si>
  <si>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</si>
  <si>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</si>
  <si>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</si>
  <si>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</si>
  <si>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</si>
  <si>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</si>
  <si>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</si>
  <si>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</si>
  <si>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</si>
  <si>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</si>
  <si>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</si>
  <si>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</si>
  <si>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</si>
  <si>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</si>
  <si>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</si>
  <si>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</si>
  <si>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</si>
  <si>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</si>
  <si>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</si>
  <si>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</si>
  <si>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</si>
  <si>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</si>
  <si>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</si>
  <si>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</si>
  <si>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</si>
  <si>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</si>
  <si>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</si>
  <si>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</si>
  <si>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</si>
  <si>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</si>
  <si>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</si>
  <si>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</si>
  <si>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</si>
  <si>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</si>
  <si>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</si>
  <si>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</si>
  <si>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</si>
  <si>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</si>
  <si>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</si>
  <si>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</si>
  <si>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</si>
  <si>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</si>
  <si>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</si>
  <si>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</si>
  <si>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</si>
  <si>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</si>
  <si>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</si>
  <si>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</si>
  <si>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</si>
  <si>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</si>
  <si>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</si>
  <si>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</si>
  <si>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</si>
  <si>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</si>
  <si>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</si>
  <si>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</si>
  <si>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</si>
  <si>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</si>
  <si>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</si>
  <si>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</si>
  <si>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</si>
  <si>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</si>
  <si>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</si>
  <si>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</si>
  <si>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</si>
  <si>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</si>
  <si>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</si>
  <si>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</si>
  <si>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</si>
  <si>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</si>
  <si>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</si>
  <si>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</si>
  <si>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</si>
  <si>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</si>
  <si>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</si>
  <si>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</si>
  <si>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</si>
  <si>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</si>
  <si>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</si>
  <si>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</si>
  <si>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</si>
  <si>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</si>
  <si>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</si>
  <si>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</si>
  <si>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</si>
  <si>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</si>
  <si>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</si>
  <si>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</si>
  <si>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</si>
  <si>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</si>
  <si>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</si>
  <si>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</si>
  <si>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</si>
  <si>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</si>
  <si>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</si>
  <si>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</si>
  <si>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</si>
  <si>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</si>
  <si>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</si>
  <si>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</si>
  <si>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</si>
  <si>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</si>
  <si>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</si>
  <si>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</si>
  <si>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</si>
  <si>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</si>
  <si>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</si>
  <si>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</si>
  <si>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</si>
  <si>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</si>
  <si>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</si>
  <si>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</si>
  <si>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</si>
  <si>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</si>
  <si>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</si>
  <si>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</si>
  <si>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</si>
  <si>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</si>
  <si>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</si>
  <si>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</si>
  <si>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</si>
  <si>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</si>
  <si>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</si>
  <si>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</si>
  <si>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</si>
  <si>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</si>
  <si>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</si>
  <si>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</si>
  <si>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</si>
  <si>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</si>
  <si>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</si>
  <si>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</si>
  <si>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</si>
  <si>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</si>
  <si>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</si>
  <si>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</si>
  <si>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</si>
  <si>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</si>
  <si>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</si>
  <si>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</si>
  <si>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</si>
  <si>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</si>
  <si>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</si>
  <si>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</si>
  <si>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</si>
  <si>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</si>
  <si>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</si>
  <si>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</si>
  <si>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</si>
  <si>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</si>
  <si>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</si>
  <si>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</si>
  <si>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</si>
  <si>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</si>
  <si>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</si>
  <si>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</si>
  <si>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</si>
  <si>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</si>
  <si>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</si>
  <si>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</si>
  <si>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</si>
  <si>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</si>
  <si>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</si>
  <si>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</si>
  <si>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</si>
  <si>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</si>
  <si>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</si>
  <si>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</si>
  <si>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</si>
  <si>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</si>
  <si>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</si>
  <si>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</si>
  <si>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</si>
  <si>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</si>
  <si>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</si>
  <si>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</si>
  <si>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</si>
  <si>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</si>
  <si>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</si>
  <si>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</si>
  <si>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</si>
  <si>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</si>
  <si>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</si>
  <si>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</si>
  <si>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</si>
  <si>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</si>
  <si>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</si>
  <si>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</si>
  <si>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</si>
  <si>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</si>
  <si>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</si>
  <si>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</si>
  <si>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</si>
  <si>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</si>
  <si>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</si>
  <si>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</si>
  <si>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</si>
  <si>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</si>
  <si>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</si>
  <si>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</si>
  <si>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</si>
  <si>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</si>
  <si>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</si>
  <si>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</si>
  <si>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</si>
  <si>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</si>
  <si>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</si>
  <si>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</si>
  <si>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</si>
  <si>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</si>
  <si>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</si>
  <si>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</si>
  <si>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</si>
  <si>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</si>
  <si>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</si>
  <si>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</si>
  <si>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</si>
  <si>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</si>
  <si>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</si>
  <si>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</si>
  <si>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</si>
  <si>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</si>
  <si>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</si>
  <si>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</si>
  <si>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</si>
  <si>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</si>
  <si>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</si>
  <si>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</si>
  <si>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</si>
  <si>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</si>
  <si>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</si>
  <si>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</si>
  <si>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</si>
  <si>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</si>
  <si>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</si>
  <si>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</si>
  <si>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</si>
  <si>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</si>
  <si>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</si>
  <si>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</si>
  <si>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</si>
  <si>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</si>
  <si>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</si>
  <si>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</si>
  <si>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</si>
  <si>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</si>
  <si>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</si>
  <si>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</si>
  <si>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</si>
  <si>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</si>
  <si>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</si>
  <si>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</si>
  <si>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</si>
  <si>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</si>
  <si>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</si>
  <si>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</si>
  <si>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</si>
  <si>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</si>
  <si>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</si>
  <si>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</si>
  <si>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</si>
  <si>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</si>
  <si>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</si>
  <si>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</si>
  <si>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</si>
  <si>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</si>
  <si>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</si>
  <si>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</si>
  <si>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</si>
  <si>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</si>
  <si>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</si>
  <si>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</si>
  <si>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</si>
  <si>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</si>
  <si>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</si>
  <si>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</si>
  <si>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</si>
  <si>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</si>
  <si>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</si>
  <si>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</si>
  <si>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</si>
  <si>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</si>
  <si>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</si>
  <si>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</si>
  <si>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</si>
  <si>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</si>
  <si>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</si>
  <si>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</si>
  <si>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</si>
  <si>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</si>
  <si>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</si>
  <si>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</si>
  <si>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</si>
  <si>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</si>
  <si>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</si>
  <si>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</si>
  <si>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</si>
  <si>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</si>
  <si>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</si>
  <si>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</si>
  <si>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</si>
  <si>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</si>
  <si>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</si>
  <si>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</si>
  <si>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</si>
  <si>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</si>
  <si>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</si>
  <si>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</si>
  <si>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</si>
  <si>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</si>
  <si>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</si>
  <si>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</si>
  <si>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</si>
  <si>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</si>
  <si>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</si>
  <si>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</si>
  <si>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</si>
  <si>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</si>
  <si>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</si>
  <si>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</si>
  <si>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</si>
  <si>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</si>
  <si>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</si>
  <si>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</si>
  <si>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</si>
  <si>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</si>
  <si>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</si>
  <si>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</si>
  <si>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</si>
  <si>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</si>
  <si>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</si>
  <si>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</si>
  <si>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</si>
  <si>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</si>
  <si>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</si>
  <si>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</si>
  <si>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</si>
  <si>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</si>
  <si>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</si>
  <si>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</si>
  <si>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</si>
  <si>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</si>
  <si>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</si>
  <si>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</si>
  <si>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</si>
  <si>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</si>
  <si>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</si>
  <si>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</si>
  <si>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</si>
  <si>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</si>
  <si>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</si>
  <si>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</si>
  <si>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</si>
  <si>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</si>
  <si>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</si>
  <si>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</si>
  <si>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</si>
  <si>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</si>
  <si>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</si>
  <si>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</si>
  <si>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</si>
  <si>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</si>
  <si>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</si>
  <si>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</si>
  <si>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</si>
  <si>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</si>
  <si>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</si>
  <si>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</si>
  <si>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</si>
  <si>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</si>
  <si>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</si>
  <si>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</si>
  <si>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</si>
  <si>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</si>
  <si>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</si>
  <si>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</si>
  <si>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</si>
  <si>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</si>
  <si>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</si>
  <si>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</si>
  <si>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</si>
  <si>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</si>
  <si>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</si>
  <si>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</si>
  <si>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</si>
  <si>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</si>
  <si>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</si>
  <si>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</si>
  <si>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</si>
  <si>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</si>
  <si>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</si>
  <si>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</si>
  <si>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</si>
  <si>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</si>
  <si>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</si>
  <si>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</si>
  <si>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</si>
  <si>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</si>
  <si>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</si>
  <si>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</si>
  <si>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</si>
  <si>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</si>
  <si>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</si>
  <si>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</si>
  <si>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</si>
  <si>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</si>
  <si>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</si>
  <si>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</si>
  <si>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</si>
  <si>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</si>
  <si>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</si>
  <si>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</si>
  <si>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</si>
  <si>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</si>
  <si>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</si>
  <si>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</si>
  <si>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</si>
  <si>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</si>
  <si>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</si>
  <si>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</si>
  <si>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</si>
  <si>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</si>
  <si>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</si>
  <si>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</si>
  <si>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</si>
  <si>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</si>
  <si>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</si>
  <si>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</si>
  <si>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</si>
  <si>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</si>
  <si>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</si>
  <si>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</si>
  <si>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</si>
  <si>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</si>
  <si>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</si>
  <si>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</si>
  <si>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</si>
  <si>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</si>
  <si>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</si>
  <si>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</si>
  <si>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</si>
  <si>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</si>
  <si>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</si>
  <si>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</si>
  <si>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</si>
  <si>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</si>
  <si>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</si>
  <si>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</si>
  <si>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</si>
  <si>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</si>
  <si>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</si>
  <si>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</si>
  <si>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</si>
  <si>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</si>
  <si>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</si>
  <si>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</si>
  <si>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</si>
  <si>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</si>
  <si>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</si>
  <si>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</si>
  <si>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</si>
  <si>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</si>
  <si>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</si>
  <si>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</si>
  <si>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</si>
  <si>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</si>
  <si>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</si>
  <si>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</si>
  <si>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</si>
  <si>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</si>
  <si>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</si>
  <si>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</si>
  <si>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</si>
  <si>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</si>
  <si>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</si>
  <si>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</si>
  <si>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</si>
  <si>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</si>
  <si>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</si>
  <si>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</si>
  <si>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</si>
  <si>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</si>
  <si>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</si>
  <si>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</si>
  <si>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</si>
  <si>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</si>
  <si>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</si>
  <si>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</si>
  <si>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</si>
  <si>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</si>
  <si>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</si>
  <si>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</si>
  <si>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</si>
  <si>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</si>
  <si>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</si>
  <si>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</si>
  <si>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</si>
  <si>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</si>
  <si>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</si>
  <si>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</si>
  <si>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</si>
  <si>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</si>
  <si>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</si>
  <si>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</si>
  <si>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</si>
  <si>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</si>
  <si>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</si>
  <si>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</si>
  <si>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</si>
  <si>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</si>
  <si>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</si>
  <si>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</si>
  <si>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</si>
  <si>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</si>
  <si>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</si>
  <si>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</si>
  <si>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</si>
  <si>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</si>
  <si>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</si>
  <si>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</si>
  <si>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</si>
  <si>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</si>
  <si>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</si>
  <si>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</si>
  <si>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</si>
  <si>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</si>
  <si>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</si>
  <si>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</si>
  <si>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</si>
  <si>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</si>
  <si>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</si>
  <si>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</si>
  <si>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</si>
  <si>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</si>
  <si>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</si>
  <si>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</si>
  <si>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</si>
  <si>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</si>
  <si>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</si>
  <si>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</si>
  <si>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</si>
  <si>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</si>
  <si>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</si>
  <si>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</si>
  <si>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</si>
  <si>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</si>
  <si>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</si>
  <si>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</si>
  <si>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</si>
  <si>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</si>
  <si>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</si>
  <si>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</si>
  <si>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</si>
  <si>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</si>
  <si>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</si>
  <si>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</si>
  <si>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</si>
  <si>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</si>
  <si>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</si>
  <si>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</si>
  <si>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</si>
  <si>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</si>
  <si>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</si>
  <si>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</si>
  <si>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</si>
  <si>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</si>
  <si>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</si>
  <si>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</si>
  <si>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</si>
  <si>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</si>
  <si>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</si>
  <si>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</si>
  <si>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</si>
  <si>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</si>
  <si>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</si>
  <si>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</si>
  <si>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</si>
  <si>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</si>
  <si>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</si>
  <si>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</si>
  <si>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</si>
  <si>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</si>
  <si>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</si>
  <si>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</si>
  <si>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</si>
  <si>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</si>
  <si>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</si>
  <si>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</si>
  <si>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</si>
  <si>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</si>
  <si>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</si>
  <si>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</si>
  <si>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</si>
  <si>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</si>
  <si>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</si>
  <si>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</si>
  <si>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</si>
  <si>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</si>
  <si>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</si>
  <si>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</si>
  <si>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</si>
  <si>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</si>
  <si>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</si>
  <si>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</si>
  <si>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</si>
  <si>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</si>
  <si>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</si>
  <si>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</si>
  <si>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</si>
  <si>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</si>
  <si>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</si>
  <si>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</si>
  <si>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</si>
  <si>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</si>
  <si>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</si>
  <si>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</si>
  <si>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</si>
  <si>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</si>
  <si>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</si>
  <si>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</si>
  <si>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</si>
  <si>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</si>
  <si>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</si>
  <si>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</si>
  <si>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</si>
  <si>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</si>
  <si>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</si>
  <si>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</si>
  <si>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</si>
  <si>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</si>
  <si>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</si>
  <si>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</si>
  <si>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</si>
  <si>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</si>
  <si>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</si>
  <si>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</si>
  <si>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</si>
  <si>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</si>
  <si>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</si>
  <si>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</si>
  <si>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</si>
  <si>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</si>
  <si>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</si>
  <si>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</si>
  <si>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</si>
  <si>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</si>
  <si>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</si>
  <si>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</si>
  <si>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</si>
  <si>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</si>
  <si>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</si>
  <si>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</si>
  <si>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</si>
  <si>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</si>
  <si>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</si>
  <si>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</si>
  <si>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</si>
  <si>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</si>
  <si>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</si>
  <si>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</si>
  <si>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</si>
  <si>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</si>
  <si>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</si>
  <si>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</si>
  <si>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</si>
  <si>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</si>
  <si>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</si>
  <si>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</si>
  <si>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</si>
  <si>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</si>
  <si>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</si>
  <si>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</si>
  <si>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</si>
  <si>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</si>
  <si>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</si>
  <si>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</si>
  <si>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</si>
  <si>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</si>
  <si>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</si>
  <si>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</si>
  <si>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</si>
  <si>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</si>
  <si>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</si>
  <si>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</si>
  <si>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</si>
  <si>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</si>
  <si>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</si>
  <si>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</si>
  <si>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</si>
  <si>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</si>
  <si>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</si>
  <si>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</si>
  <si>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</si>
  <si>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</si>
  <si>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</si>
  <si>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</si>
  <si>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</si>
  <si>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</si>
  <si>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</si>
  <si>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</si>
  <si>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</si>
  <si>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</si>
  <si>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</si>
  <si>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</si>
  <si>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</si>
  <si>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</si>
  <si>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</si>
  <si>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</si>
  <si>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</si>
  <si>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</si>
  <si>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</si>
  <si>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</si>
  <si>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</si>
  <si>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</si>
  <si>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</si>
  <si>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</si>
  <si>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</si>
  <si>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</si>
  <si>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</si>
  <si>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</si>
  <si>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</si>
  <si>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</si>
  <si>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</si>
  <si>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</si>
  <si>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</si>
  <si>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</si>
  <si>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</si>
  <si>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</si>
  <si>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</si>
  <si>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</si>
  <si>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</si>
  <si>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</si>
  <si>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</si>
  <si>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</si>
  <si>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</si>
  <si>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</si>
  <si>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</si>
  <si>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</si>
  <si>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</si>
  <si>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</si>
  <si>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</si>
  <si>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</si>
  <si>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</si>
  <si>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</si>
  <si>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</si>
  <si>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</si>
  <si>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</si>
  <si>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</si>
  <si>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</si>
  <si>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</si>
  <si>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</si>
  <si>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</si>
  <si>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</si>
  <si>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</si>
  <si>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</si>
  <si>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</si>
  <si>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</si>
  <si>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</si>
  <si>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</si>
  <si>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</si>
  <si>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</si>
  <si>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</si>
  <si>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</si>
  <si>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</si>
  <si>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</si>
  <si>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</si>
  <si>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</si>
  <si>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</si>
  <si>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</si>
  <si>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</si>
  <si>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</si>
  <si>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</si>
  <si>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</si>
  <si>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</si>
  <si>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</si>
  <si>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</si>
  <si>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</si>
  <si>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</si>
  <si>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</si>
  <si>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</si>
  <si>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</si>
  <si>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</si>
  <si>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</si>
  <si>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</si>
  <si>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</si>
  <si>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</si>
  <si>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</si>
  <si>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</si>
  <si>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</si>
  <si>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</si>
  <si>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</si>
  <si>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</si>
  <si>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</si>
  <si>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</si>
  <si>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</si>
  <si>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</si>
  <si>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</si>
  <si>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</si>
  <si>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</si>
  <si>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</si>
  <si>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</si>
  <si>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</si>
  <si>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</si>
  <si>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</si>
  <si>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</si>
  <si>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</si>
  <si>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</si>
  <si>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</si>
  <si>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</si>
  <si>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</si>
  <si>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</si>
  <si>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</si>
  <si>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</si>
  <si>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</si>
  <si>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</si>
  <si>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</si>
  <si>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</si>
  <si>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</si>
  <si>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</si>
  <si>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</si>
  <si>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</si>
  <si>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</si>
  <si>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</si>
  <si>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</si>
  <si>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</si>
  <si>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</si>
  <si>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</si>
  <si>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</si>
  <si>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</si>
  <si>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</si>
  <si>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</si>
  <si>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</si>
  <si>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</si>
  <si>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</si>
  <si>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</si>
  <si>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</si>
  <si>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</si>
  <si>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</si>
  <si>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</si>
  <si>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</si>
  <si>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</si>
  <si>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</si>
  <si>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</si>
  <si>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</si>
  <si>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</si>
  <si>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</si>
  <si>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</si>
  <si>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</si>
  <si>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</si>
  <si>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</si>
  <si>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</si>
  <si>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</si>
  <si>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</si>
  <si>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</si>
  <si>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</si>
  <si>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</si>
  <si>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</si>
  <si>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</si>
  <si>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</si>
  <si>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</si>
  <si>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</si>
  <si>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</si>
  <si>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</si>
  <si>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</si>
  <si>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</si>
  <si>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</si>
  <si>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</si>
  <si>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</si>
  <si>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</si>
  <si>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</si>
  <si>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</si>
  <si>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</si>
  <si>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</si>
  <si>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</si>
  <si>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</si>
  <si>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</si>
  <si>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</si>
  <si>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</si>
  <si>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</si>
  <si>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</si>
  <si>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</si>
  <si>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</si>
  <si>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</si>
  <si>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</si>
  <si>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</si>
  <si>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</si>
  <si>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</si>
  <si>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</si>
  <si>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</si>
  <si>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</si>
  <si>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</si>
  <si>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</si>
  <si>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</si>
  <si>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</si>
  <si>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</si>
  <si>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</si>
  <si>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</si>
  <si>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</si>
  <si>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</si>
  <si>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</si>
  <si>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</si>
  <si>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</si>
  <si>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</si>
  <si>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</si>
  <si>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</si>
  <si>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</si>
  <si>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</si>
  <si>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</si>
  <si>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</si>
  <si>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</si>
  <si>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</si>
  <si>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</si>
  <si>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</si>
  <si>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</si>
  <si>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</si>
  <si>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</si>
  <si>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</si>
  <si>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</si>
  <si>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</si>
  <si>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</si>
  <si>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</si>
  <si>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</si>
  <si>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</si>
  <si>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</si>
  <si>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</si>
  <si>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</si>
  <si>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</si>
  <si>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</si>
  <si>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</si>
  <si>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</si>
  <si>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</si>
  <si>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</si>
  <si>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</si>
  <si>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</si>
  <si>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</si>
  <si>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</si>
  <si>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</si>
  <si>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</si>
  <si>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</si>
  <si>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</si>
  <si>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</si>
  <si>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</si>
  <si>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</si>
  <si>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</si>
  <si>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</si>
  <si>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</si>
  <si>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</si>
  <si>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</si>
  <si>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</si>
  <si>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</si>
  <si>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</si>
  <si>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</si>
  <si>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</si>
  <si>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</si>
  <si>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</si>
  <si>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</si>
  <si>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</si>
  <si>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</si>
  <si>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</si>
  <si>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</si>
  <si>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</si>
  <si>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</si>
  <si>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</si>
  <si>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</si>
  <si>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</si>
  <si>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</si>
  <si>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</si>
  <si>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</si>
  <si>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</si>
  <si>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</si>
  <si>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</si>
  <si>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</si>
  <si>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</si>
  <si>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</si>
  <si>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</si>
  <si>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</si>
  <si>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</si>
  <si>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</si>
  <si>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</si>
  <si>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</si>
  <si>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</si>
  <si>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</si>
  <si>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</si>
  <si>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</si>
  <si>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</si>
  <si>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</si>
  <si>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</si>
  <si>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</si>
  <si>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</si>
  <si>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</si>
  <si>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</si>
  <si>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</si>
  <si>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</si>
  <si>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</si>
  <si>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</si>
  <si>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</si>
  <si>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</si>
  <si>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</si>
  <si>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</si>
  <si>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</si>
  <si>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</si>
  <si>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</si>
  <si>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</si>
  <si>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</si>
  <si>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</si>
  <si>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</si>
  <si>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</si>
  <si>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</si>
  <si>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</si>
  <si>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</si>
  <si>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</si>
  <si>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</si>
  <si>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</si>
  <si>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</si>
  <si>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</si>
  <si>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</si>
  <si>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</si>
  <si>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</si>
  <si>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</si>
  <si>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</si>
  <si>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</si>
  <si>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</si>
  <si>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</si>
  <si>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</si>
  <si>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</si>
  <si>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</si>
  <si>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</si>
  <si>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</si>
  <si>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</si>
  <si>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</si>
  <si>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</si>
  <si>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</si>
  <si>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</si>
  <si>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</si>
  <si>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</si>
  <si>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</si>
  <si>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</si>
  <si>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</si>
  <si>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</si>
  <si>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</si>
  <si>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</si>
  <si>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</si>
  <si>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</si>
  <si>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</si>
  <si>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</si>
  <si>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</si>
  <si>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</si>
  <si>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</si>
  <si>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</si>
  <si>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</si>
  <si>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</si>
  <si>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</si>
  <si>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</si>
  <si>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</si>
  <si>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</si>
  <si>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</si>
  <si>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</si>
  <si>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</si>
  <si>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</si>
  <si>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</si>
  <si>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</si>
  <si>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</si>
  <si>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</si>
  <si>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</si>
  <si>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</si>
  <si>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</si>
  <si>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</si>
  <si>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</si>
  <si>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</si>
  <si>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</si>
  <si>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</si>
  <si>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</si>
  <si>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</si>
  <si>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</si>
  <si>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</si>
  <si>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</si>
  <si>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</si>
  <si>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</si>
  <si>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</si>
  <si>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</si>
  <si>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</si>
  <si>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</si>
  <si>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</si>
  <si>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</si>
  <si>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</si>
  <si>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</si>
  <si>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</si>
  <si>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</si>
  <si>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</si>
  <si>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</si>
  <si>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</si>
  <si>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</si>
  <si>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</si>
  <si>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</si>
  <si>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</si>
  <si>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</si>
  <si>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</si>
  <si>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</si>
  <si>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</si>
  <si>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</si>
  <si>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</si>
  <si>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</si>
  <si>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</si>
  <si>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</si>
  <si>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</si>
  <si>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</si>
  <si>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</si>
  <si>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</si>
  <si>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</si>
  <si>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</si>
  <si>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</si>
  <si>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</si>
  <si>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</si>
  <si>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</si>
  <si>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</si>
  <si>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</si>
  <si>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</si>
  <si>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</si>
  <si>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</si>
  <si>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</si>
  <si>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</si>
  <si>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</si>
  <si>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</si>
  <si>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</si>
  <si>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</si>
  <si>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</si>
  <si>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</si>
  <si>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</si>
  <si>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</si>
  <si>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</si>
  <si>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</si>
  <si>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</si>
  <si>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</si>
  <si>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</si>
  <si>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</si>
  <si>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</si>
  <si>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</si>
  <si>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</si>
  <si>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</si>
  <si>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</si>
  <si>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</si>
  <si>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</si>
  <si>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</si>
  <si>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</si>
  <si>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</si>
  <si>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</si>
  <si>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</si>
  <si>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</si>
  <si>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</si>
  <si>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</si>
  <si>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</si>
  <si>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</si>
  <si>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</si>
  <si>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</si>
  <si>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</si>
  <si>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</si>
  <si>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</si>
  <si>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</si>
  <si>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</si>
  <si>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</si>
  <si>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</si>
  <si>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</si>
  <si>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</si>
  <si>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</si>
  <si>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</si>
  <si>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</si>
  <si>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</si>
  <si>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</si>
  <si>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</si>
  <si>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</si>
  <si>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</si>
  <si>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</si>
  <si>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</si>
  <si>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</si>
  <si>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</si>
  <si>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</si>
  <si>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</si>
  <si>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</si>
  <si>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</si>
  <si>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</si>
  <si>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</si>
  <si>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</si>
  <si>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</si>
  <si>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</si>
  <si>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</si>
  <si>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</si>
  <si>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</si>
  <si>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</si>
  <si>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</si>
  <si>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</si>
  <si>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</si>
  <si>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</si>
  <si>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</si>
  <si>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</si>
  <si>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</si>
  <si>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</si>
  <si>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</si>
  <si>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</si>
  <si>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</si>
  <si>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</si>
  <si>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</si>
  <si>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</si>
  <si>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</si>
  <si>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</si>
  <si>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</si>
  <si>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</si>
  <si>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</si>
  <si>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</si>
  <si>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</si>
  <si>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</si>
  <si>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</si>
  <si>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</si>
  <si>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</si>
  <si>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</si>
  <si>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</si>
  <si>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</si>
  <si>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</si>
  <si>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</si>
  <si>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</si>
  <si>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</si>
  <si>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</si>
  <si>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</si>
  <si>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</si>
  <si>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</si>
  <si>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</si>
  <si>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</si>
  <si>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</si>
  <si>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</si>
  <si>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</si>
  <si>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</si>
  <si>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</si>
  <si>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</si>
  <si>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</si>
  <si>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</si>
  <si>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</si>
  <si>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</si>
  <si>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</si>
  <si>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</si>
  <si>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</si>
  <si>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</si>
  <si>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</si>
  <si>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</si>
  <si>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</si>
  <si>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</si>
  <si>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</si>
  <si>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</si>
  <si>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</si>
  <si>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</si>
  <si>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</si>
  <si>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</si>
  <si>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</si>
  <si>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</si>
  <si>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</si>
  <si>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</si>
  <si>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</si>
  <si>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</si>
  <si>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</si>
  <si>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</si>
  <si>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</si>
  <si>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</si>
  <si>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</si>
  <si>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</si>
  <si>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</si>
  <si>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</si>
  <si>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</si>
  <si>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</si>
  <si>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</si>
  <si>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</si>
  <si>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</si>
  <si>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</si>
  <si>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</si>
  <si>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</si>
  <si>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</si>
  <si>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</si>
  <si>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</si>
  <si>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</si>
  <si>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</si>
  <si>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</si>
  <si>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</si>
  <si>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</si>
  <si>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</si>
  <si>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</si>
  <si>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</si>
  <si>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</si>
  <si>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</si>
  <si>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</si>
  <si>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</si>
  <si>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</si>
  <si>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</si>
  <si>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</si>
  <si>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</si>
  <si>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</si>
  <si>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</si>
  <si>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</si>
  <si>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</si>
  <si>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</si>
  <si>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</si>
  <si>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</si>
  <si>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</si>
  <si>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</si>
  <si>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</si>
  <si>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</si>
  <si>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</si>
  <si>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</si>
  <si>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</si>
  <si>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</si>
  <si>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</si>
  <si>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</si>
  <si>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</si>
  <si>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</si>
  <si>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</si>
  <si>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</si>
  <si>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</si>
  <si>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</si>
  <si>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</si>
  <si>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</si>
  <si>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</si>
  <si>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</si>
  <si>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</si>
  <si>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</si>
  <si>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</si>
  <si>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</si>
  <si>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</si>
  <si>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</si>
  <si>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</si>
  <si>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</si>
  <si>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</si>
  <si>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</si>
  <si>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</si>
  <si>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</si>
  <si>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</si>
  <si>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</si>
  <si>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</si>
  <si>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</si>
  <si>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</si>
  <si>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</si>
  <si>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</si>
  <si>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</si>
  <si>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</si>
  <si>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</si>
  <si>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</si>
  <si>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</si>
  <si>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</si>
  <si>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</si>
  <si>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</si>
  <si>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</si>
  <si>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</si>
  <si>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</si>
  <si>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</si>
  <si>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</si>
  <si>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</si>
  <si>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</si>
  <si>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</si>
  <si>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</si>
  <si>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</si>
  <si>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</si>
  <si>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</si>
  <si>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</si>
  <si>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</si>
  <si>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</si>
  <si>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</si>
  <si>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</si>
  <si>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</si>
  <si>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</si>
  <si>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</si>
  <si>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</si>
  <si>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</si>
  <si>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</si>
  <si>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</si>
  <si>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</si>
  <si>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</si>
  <si>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</si>
  <si>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</si>
  <si>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</si>
  <si>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</si>
  <si>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</si>
  <si>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</si>
  <si>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</si>
  <si>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</si>
  <si>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</si>
  <si>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</si>
  <si>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</si>
  <si>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</si>
  <si>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</si>
  <si>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</si>
  <si>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</si>
  <si>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</si>
  <si>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</si>
  <si>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</si>
  <si>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</si>
  <si>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</si>
  <si>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</si>
  <si>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</si>
  <si>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</si>
  <si>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</si>
  <si>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</si>
  <si>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</si>
  <si>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</si>
  <si>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</si>
  <si>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</si>
  <si>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</si>
  <si>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</si>
  <si>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</si>
  <si>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</si>
  <si>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</si>
  <si>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</si>
  <si>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</si>
  <si>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</si>
  <si>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</si>
  <si>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</si>
  <si>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</si>
  <si>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</si>
  <si>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</si>
  <si>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</si>
  <si>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</si>
  <si>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</si>
  <si>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</si>
  <si>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</si>
  <si>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</si>
  <si>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</si>
  <si>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</si>
  <si>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</si>
  <si>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</si>
  <si>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</si>
  <si>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</si>
  <si>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</si>
  <si>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</si>
  <si>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</si>
  <si>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</si>
  <si>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</si>
  <si>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</si>
  <si>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</si>
  <si>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</si>
  <si>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</si>
  <si>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</si>
  <si>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</si>
  <si>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</si>
  <si>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</si>
  <si>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</si>
  <si>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</si>
  <si>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</si>
  <si>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</si>
  <si>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</si>
  <si>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</si>
  <si>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</si>
  <si>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</si>
  <si>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</si>
  <si>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</si>
  <si>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</si>
  <si>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</si>
  <si>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</si>
  <si>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</si>
  <si>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</si>
  <si>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</si>
  <si>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</si>
  <si>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</si>
  <si>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</si>
  <si>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</si>
  <si>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</si>
  <si>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</si>
  <si>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</si>
  <si>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</si>
  <si>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</si>
  <si>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</si>
  <si>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</si>
  <si>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</si>
  <si>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</si>
  <si>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</si>
  <si>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</si>
  <si>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</si>
  <si>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</si>
  <si>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</si>
  <si>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</si>
  <si>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</si>
  <si>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</si>
  <si>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</si>
  <si>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</si>
  <si>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</si>
  <si>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</si>
  <si>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</si>
  <si>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</si>
  <si>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</si>
  <si>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</si>
  <si>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</si>
  <si>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</si>
  <si>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</si>
  <si>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</si>
  <si>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</si>
  <si>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</si>
  <si>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</si>
  <si>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</si>
  <si>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</si>
  <si>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</si>
  <si>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</si>
  <si>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</si>
  <si>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</si>
  <si>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</si>
  <si>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</si>
  <si>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</si>
  <si>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</si>
  <si>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</si>
  <si>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</si>
  <si>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</si>
  <si>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</si>
  <si>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</si>
  <si>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</si>
  <si>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</si>
  <si>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</si>
  <si>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</si>
  <si>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</si>
  <si>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</si>
  <si>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</si>
  <si>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</si>
  <si>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</si>
  <si>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</si>
  <si>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</si>
  <si>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</si>
  <si>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</si>
  <si>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</si>
  <si>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</si>
  <si>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</si>
  <si>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</si>
  <si>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</si>
  <si>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</si>
  <si>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</si>
  <si>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</si>
  <si>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</si>
  <si>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</si>
  <si>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</si>
  <si>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</si>
  <si>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</si>
  <si>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</si>
  <si>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</si>
  <si>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</si>
  <si>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</si>
  <si>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</si>
  <si>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</si>
  <si>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</si>
  <si>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</si>
  <si>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</si>
  <si>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</si>
  <si>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</si>
  <si>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</si>
  <si>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</si>
  <si>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</si>
  <si>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</si>
  <si>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</si>
  <si>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</si>
  <si>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</si>
  <si>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</si>
  <si>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</si>
  <si>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</si>
  <si>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</si>
  <si>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</si>
  <si>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</si>
  <si>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</si>
  <si>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</si>
  <si>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</si>
  <si>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</si>
  <si>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</si>
  <si>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</si>
  <si>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</si>
  <si>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</si>
  <si>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</si>
  <si>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</si>
  <si>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</si>
  <si>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</si>
  <si>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</si>
  <si>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</si>
  <si>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</si>
  <si>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</si>
  <si>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</si>
  <si>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</si>
  <si>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</si>
  <si>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</si>
  <si>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</si>
  <si>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</si>
  <si>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</si>
  <si>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</si>
  <si>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</si>
  <si>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</si>
  <si>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</si>
  <si>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</si>
  <si>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</si>
  <si>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</si>
  <si>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</si>
  <si>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</si>
  <si>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</si>
  <si>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</si>
  <si>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</si>
  <si>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</si>
  <si>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</si>
  <si>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</si>
  <si>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</si>
  <si>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</si>
  <si>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</si>
  <si>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</si>
  <si>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</si>
  <si>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</si>
  <si>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</si>
  <si>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</si>
  <si>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</si>
  <si>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</si>
  <si>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</si>
  <si>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</si>
  <si>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</si>
  <si>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</si>
  <si>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</si>
  <si>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Morgan, Cass, Brown, Pike</t>
  </si>
  <si>
    <t>Meredosia- Chambersburg Community Unit District 11</t>
  </si>
  <si>
    <t>830 Main Street</t>
  </si>
  <si>
    <t>Meredosia</t>
  </si>
  <si>
    <t>cbrowning@mcsd11.net</t>
  </si>
  <si>
    <t>X</t>
  </si>
  <si>
    <t>Zumbahlen, Eyth, Surratt, Foote &amp; Flynn, Ltd.</t>
  </si>
  <si>
    <t>Adam R. Withee</t>
  </si>
  <si>
    <t>1395 Lincoln Ave</t>
  </si>
  <si>
    <t>Jacksonville</t>
  </si>
  <si>
    <t>IL</t>
  </si>
  <si>
    <t>217-245-5121</t>
  </si>
  <si>
    <t>217-243-3356</t>
  </si>
  <si>
    <t>awithee@zescpa.com</t>
  </si>
  <si>
    <t>Thad Walker</t>
  </si>
  <si>
    <t>twalker@mcsd11.net</t>
  </si>
  <si>
    <t>217-584-1744</t>
  </si>
  <si>
    <t>217-584-1129</t>
  </si>
  <si>
    <t>x</t>
  </si>
  <si>
    <t>Social Work- Triopia School District</t>
  </si>
  <si>
    <t>Four Rivers Special Education</t>
  </si>
  <si>
    <t>Athletics- Triopia School District</t>
  </si>
  <si>
    <t>066-004993</t>
  </si>
  <si>
    <t>General Obligation School Bonds 2015</t>
  </si>
  <si>
    <t>Purchase of Chromebooks</t>
  </si>
  <si>
    <t>Capital Lease</t>
  </si>
  <si>
    <t>Page 10, Line 74: Other Food Service- Educational Fund- Rebates</t>
  </si>
  <si>
    <t>Page 10, Line 107: Other Local Revenues- Educational Fund- Refunds and Reimbursements</t>
  </si>
  <si>
    <t>Page 16, Line 73: Other Support Services- Educational Fund- Summer Reading Program Supplies</t>
  </si>
  <si>
    <t>Page 16, Line 83: Other Payments to In-State Govt. Units- Educational Fund- Repayment of Title I Grant Money to ISBE</t>
  </si>
  <si>
    <t>Page 18, Line 171: Debt Services- Other- Bond Issuance Costs</t>
  </si>
  <si>
    <t>Page 18, Line 193: Other Payments to In-State Govt. Units- Transportation Fund- Repayment of Transportation Grant Money to ISBE</t>
  </si>
  <si>
    <t>Ed-Instruction-Purchased Services</t>
  </si>
  <si>
    <t>10-1000-300</t>
  </si>
  <si>
    <t>Quality Network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</si>
</sst>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28575</xdr:rowOff>
        </xdr:from>
        <xdr:to>
          <xdr:col>1</xdr:col>
          <xdr:colOff>1876425</xdr:colOff>
          <xdr:row>4</xdr:row>
          <xdr:rowOff>66675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H67" sqref="H6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2082</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2082</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1069011026</v>
      </c>
      <c r="B13" s="2005"/>
      <c r="C13" s="2005"/>
      <c r="D13" s="2005"/>
      <c r="E13" s="2005"/>
      <c r="F13" s="2005"/>
      <c r="G13" s="2005"/>
      <c r="H13" s="2006"/>
      <c r="I13" s="31"/>
      <c r="J13" s="30"/>
      <c r="K13" s="28"/>
      <c r="L13" s="30"/>
      <c r="M13" s="30"/>
      <c r="N13" s="30"/>
      <c r="O13" s="30"/>
      <c r="P13" s="30"/>
      <c r="Q13" s="30"/>
      <c r="R13" s="30"/>
      <c r="S13" s="30"/>
      <c r="T13" s="2009" t="s">
        <v>2083</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2077</v>
      </c>
      <c r="B15" s="2007"/>
      <c r="C15" s="2007"/>
      <c r="D15" s="2007"/>
      <c r="E15" s="2007"/>
      <c r="F15" s="2007"/>
      <c r="G15" s="2007"/>
      <c r="H15" s="2008"/>
      <c r="T15" s="1970" t="s">
        <v>2084</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2078</v>
      </c>
      <c r="B17" s="2032"/>
      <c r="C17" s="2032"/>
      <c r="D17" s="2032"/>
      <c r="E17" s="2032"/>
      <c r="F17" s="2032"/>
      <c r="G17" s="2032"/>
      <c r="H17" s="2033"/>
      <c r="T17" s="2019" t="s">
        <v>2085</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2086</v>
      </c>
      <c r="U19" s="2000"/>
      <c r="V19" s="2000"/>
      <c r="W19" s="2001"/>
      <c r="X19" s="2017" t="s">
        <v>2087</v>
      </c>
      <c r="Y19" s="2018"/>
      <c r="Z19" s="2015">
        <v>62650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2088</v>
      </c>
      <c r="U21" s="1968"/>
      <c r="V21" s="1968"/>
      <c r="W21" s="1968"/>
      <c r="X21" s="1981" t="s">
        <v>2089</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2081</v>
      </c>
      <c r="B23" s="2023"/>
      <c r="C23" s="2023"/>
      <c r="D23" s="2023"/>
      <c r="E23" s="2023"/>
      <c r="F23" s="2023"/>
      <c r="G23" s="2023"/>
      <c r="H23" s="2024"/>
      <c r="T23" s="1962" t="s">
        <v>2099</v>
      </c>
      <c r="U23" s="1963"/>
      <c r="V23" s="1963"/>
      <c r="W23" s="1963"/>
      <c r="X23" s="1978">
        <v>43422</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62665</v>
      </c>
      <c r="B25" s="2000"/>
      <c r="C25" s="2000"/>
      <c r="D25" s="2000"/>
      <c r="E25" s="2000"/>
      <c r="F25" s="2000"/>
      <c r="G25" s="2000"/>
      <c r="H25" s="2001"/>
      <c r="I25" s="113"/>
      <c r="J25" s="2066"/>
      <c r="K25" s="2066"/>
      <c r="L25" s="2066"/>
      <c r="M25" s="2066"/>
      <c r="N25" s="2066"/>
      <c r="O25" s="2066"/>
      <c r="P25" s="2066"/>
      <c r="Q25" s="2066"/>
      <c r="R25" s="2066"/>
      <c r="S25" s="2067"/>
      <c r="T25" s="1959" t="s">
        <v>2090</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2082</v>
      </c>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02"/>
      <c r="K30" s="28" t="s">
        <v>597</v>
      </c>
      <c r="L30" s="148" t="s">
        <v>2082</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2082</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2091</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2092</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2093</v>
      </c>
      <c r="B42" s="2049"/>
      <c r="C42" s="2050"/>
      <c r="D42" s="2063" t="s">
        <v>2094</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67" sqref="H6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805563</v>
      </c>
      <c r="C4" s="1546"/>
      <c r="D4" s="1774">
        <f>B4-C4</f>
        <v>805563</v>
      </c>
      <c r="E4" s="1546">
        <v>738667</v>
      </c>
      <c r="F4" s="1774">
        <f>E4-C4</f>
        <v>738667</v>
      </c>
    </row>
    <row r="5" spans="1:6" ht="13.7" customHeight="1" x14ac:dyDescent="0.2">
      <c r="A5" s="716" t="s">
        <v>925</v>
      </c>
      <c r="B5" s="1772">
        <f>'Revenues 9-14'!D5</f>
        <v>149593</v>
      </c>
      <c r="C5" s="585"/>
      <c r="D5" s="1775">
        <f t="shared" ref="D5:D18" si="0">B5-C5</f>
        <v>149593</v>
      </c>
      <c r="E5" s="585">
        <v>134303</v>
      </c>
      <c r="F5" s="1775">
        <f>E5-C5</f>
        <v>134303</v>
      </c>
    </row>
    <row r="6" spans="1:6" ht="13.7" customHeight="1" x14ac:dyDescent="0.2">
      <c r="A6" s="716" t="s">
        <v>431</v>
      </c>
      <c r="B6" s="1772">
        <f>'Revenues 9-14'!E5</f>
        <v>180399</v>
      </c>
      <c r="C6" s="585"/>
      <c r="D6" s="1775">
        <f t="shared" si="0"/>
        <v>180399</v>
      </c>
      <c r="E6" s="585">
        <v>165950</v>
      </c>
      <c r="F6" s="1775">
        <f t="shared" ref="F6:F18" si="1">E6-C6</f>
        <v>165950</v>
      </c>
    </row>
    <row r="7" spans="1:6" ht="13.7" customHeight="1" x14ac:dyDescent="0.2">
      <c r="A7" s="716" t="s">
        <v>157</v>
      </c>
      <c r="B7" s="1772">
        <f>'Revenues 9-14'!F5</f>
        <v>58596</v>
      </c>
      <c r="C7" s="585"/>
      <c r="D7" s="1775">
        <f t="shared" si="0"/>
        <v>58596</v>
      </c>
      <c r="E7" s="585">
        <v>53721</v>
      </c>
      <c r="F7" s="1775">
        <f t="shared" si="1"/>
        <v>53721</v>
      </c>
    </row>
    <row r="8" spans="1:6" ht="13.7" customHeight="1" x14ac:dyDescent="0.2">
      <c r="A8" s="716" t="s">
        <v>1241</v>
      </c>
      <c r="B8" s="1772">
        <f>'Revenues 9-14'!G5</f>
        <v>51843</v>
      </c>
      <c r="C8" s="585"/>
      <c r="D8" s="1775">
        <f t="shared" si="0"/>
        <v>51843</v>
      </c>
      <c r="E8" s="585">
        <v>45002</v>
      </c>
      <c r="F8" s="1775">
        <f t="shared" si="1"/>
        <v>45002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14636</v>
      </c>
      <c r="C10" s="585"/>
      <c r="D10" s="1775">
        <f t="shared" si="0"/>
        <v>14636</v>
      </c>
      <c r="E10" s="585">
        <v>13431</v>
      </c>
      <c r="F10" s="1775">
        <f t="shared" si="1"/>
        <v>13431</v>
      </c>
    </row>
    <row r="11" spans="1:6" x14ac:dyDescent="0.2">
      <c r="A11" s="716" t="s">
        <v>429</v>
      </c>
      <c r="B11" s="1772">
        <f>'Revenues 9-14'!J5</f>
        <v>295137</v>
      </c>
      <c r="C11" s="585"/>
      <c r="D11" s="1775">
        <f t="shared" si="0"/>
        <v>295137</v>
      </c>
      <c r="E11" s="585">
        <v>273250</v>
      </c>
      <c r="F11" s="1775">
        <f t="shared" si="1"/>
        <v>273250</v>
      </c>
    </row>
    <row r="12" spans="1:6" ht="13.7" customHeight="1" x14ac:dyDescent="0.2">
      <c r="A12" s="716" t="s">
        <v>159</v>
      </c>
      <c r="B12" s="1772">
        <f>'Revenues 9-14'!K5</f>
        <v>14637</v>
      </c>
      <c r="C12" s="585"/>
      <c r="D12" s="1775">
        <f t="shared" si="0"/>
        <v>14637</v>
      </c>
      <c r="E12" s="585">
        <v>13431</v>
      </c>
      <c r="F12" s="1775">
        <f t="shared" si="1"/>
        <v>13431</v>
      </c>
    </row>
    <row r="13" spans="1:6" ht="13.7" customHeight="1" x14ac:dyDescent="0.2">
      <c r="A13" s="716" t="s">
        <v>993</v>
      </c>
      <c r="B13" s="1772">
        <f>SUM('Revenues 9-14'!C6:D6)</f>
        <v>14637</v>
      </c>
      <c r="C13" s="585"/>
      <c r="D13" s="1775">
        <f t="shared" si="0"/>
        <v>14637</v>
      </c>
      <c r="E13" s="585">
        <v>13431</v>
      </c>
      <c r="F13" s="1775">
        <f t="shared" si="1"/>
        <v>13431</v>
      </c>
    </row>
    <row r="14" spans="1:6" ht="13.7" customHeight="1" x14ac:dyDescent="0.2">
      <c r="A14" s="716" t="s">
        <v>430</v>
      </c>
      <c r="B14" s="1772">
        <f>SUM('Revenues 9-14'!C7:D7,'Revenues 9-14'!F7:H7)</f>
        <v>11712</v>
      </c>
      <c r="C14" s="585"/>
      <c r="D14" s="1775">
        <f t="shared" si="0"/>
        <v>11712</v>
      </c>
      <c r="E14" s="585">
        <v>10744</v>
      </c>
      <c r="F14" s="1775">
        <f t="shared" si="1"/>
        <v>10744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65887</v>
      </c>
      <c r="C16" s="585"/>
      <c r="D16" s="1775">
        <f t="shared" si="0"/>
        <v>65887</v>
      </c>
      <c r="E16" s="585">
        <v>61000</v>
      </c>
      <c r="F16" s="1775">
        <f t="shared" si="1"/>
        <v>61000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1662640</v>
      </c>
      <c r="C19" s="1773">
        <f>SUM(C4:C18)</f>
        <v>0</v>
      </c>
      <c r="D19" s="1773">
        <f>SUM(D4:D18)</f>
        <v>1662640</v>
      </c>
      <c r="E19" s="1773">
        <f>SUM(E4:E18)</f>
        <v>1522930</v>
      </c>
      <c r="F19" s="1773">
        <f>SUM(F4:F18)</f>
        <v>1522930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H67" sqref="H6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2100</v>
      </c>
      <c r="B31" s="734">
        <v>42185</v>
      </c>
      <c r="C31" s="735">
        <v>500000</v>
      </c>
      <c r="D31" s="736">
        <v>1</v>
      </c>
      <c r="E31" s="735">
        <v>375000</v>
      </c>
      <c r="F31" s="735"/>
      <c r="G31" s="735"/>
      <c r="H31" s="735">
        <v>155000</v>
      </c>
      <c r="I31" s="1778">
        <f>((E31+F31)-H31)+G31</f>
        <v>220000</v>
      </c>
      <c r="J31" s="735">
        <v>79411</v>
      </c>
      <c r="K31" s="737"/>
    </row>
    <row r="32" spans="1:11" ht="12" customHeight="1" x14ac:dyDescent="0.2">
      <c r="A32" s="733" t="s">
        <v>2101</v>
      </c>
      <c r="B32" s="734">
        <v>43077</v>
      </c>
      <c r="C32" s="735">
        <v>18669</v>
      </c>
      <c r="D32" s="736">
        <v>7</v>
      </c>
      <c r="E32" s="735"/>
      <c r="F32" s="735">
        <v>18669</v>
      </c>
      <c r="G32" s="735"/>
      <c r="H32" s="735">
        <v>6223</v>
      </c>
      <c r="I32" s="1778">
        <f>((E32+F32)-H32)+G32</f>
        <v>12446</v>
      </c>
      <c r="J32" s="735">
        <v>12446</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518669</v>
      </c>
      <c r="D49" s="746"/>
      <c r="E49" s="1778">
        <f t="shared" ref="E49:J49" si="2">SUM(E31:E48)</f>
        <v>375000</v>
      </c>
      <c r="F49" s="1778">
        <f t="shared" si="2"/>
        <v>18669</v>
      </c>
      <c r="G49" s="1778">
        <f t="shared" si="2"/>
        <v>0</v>
      </c>
      <c r="H49" s="1778">
        <f t="shared" si="2"/>
        <v>161223</v>
      </c>
      <c r="I49" s="1778">
        <f t="shared" si="2"/>
        <v>232446</v>
      </c>
      <c r="J49" s="1778">
        <f t="shared" si="2"/>
        <v>91857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2102</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67" sqref="H6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v>5343</v>
      </c>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11712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1875</v>
      </c>
    </row>
    <row r="8" spans="1:11" x14ac:dyDescent="0.2">
      <c r="A8" s="779" t="s">
        <v>363</v>
      </c>
      <c r="B8" s="780"/>
      <c r="C8" s="780"/>
      <c r="D8" s="780"/>
      <c r="E8" s="781"/>
      <c r="F8" s="771" t="s">
        <v>906</v>
      </c>
      <c r="G8" s="783"/>
      <c r="H8" s="783"/>
      <c r="I8" s="783"/>
      <c r="J8" s="766">
        <f>10650+120254</f>
        <v>130904</v>
      </c>
      <c r="K8" s="770"/>
    </row>
    <row r="9" spans="1:11" x14ac:dyDescent="0.2">
      <c r="A9" s="779" t="s">
        <v>140</v>
      </c>
      <c r="B9" s="780"/>
      <c r="C9" s="780"/>
      <c r="D9" s="780"/>
      <c r="E9" s="781"/>
      <c r="F9" s="778" t="s">
        <v>908</v>
      </c>
      <c r="G9" s="783"/>
      <c r="H9" s="772"/>
      <c r="I9" s="772"/>
      <c r="J9" s="782"/>
      <c r="K9" s="766">
        <v>2741</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11712</v>
      </c>
      <c r="I12" s="1780">
        <f>SUM(I5:I11)</f>
        <v>0</v>
      </c>
      <c r="J12" s="1780">
        <f>SUM(J5:J11)</f>
        <v>130904</v>
      </c>
      <c r="K12" s="1780">
        <f>SUM(K5:K11)</f>
        <v>4616</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11712</v>
      </c>
      <c r="I14" s="772"/>
      <c r="J14" s="774"/>
      <c r="K14" s="766">
        <v>4616</v>
      </c>
    </row>
    <row r="15" spans="1:11" x14ac:dyDescent="0.2">
      <c r="A15" s="2232" t="s">
        <v>4</v>
      </c>
      <c r="B15" s="2232"/>
      <c r="C15" s="2232"/>
      <c r="D15" s="2232"/>
      <c r="E15" s="2260"/>
      <c r="F15" s="790" t="s">
        <v>910</v>
      </c>
      <c r="G15" s="772"/>
      <c r="H15" s="765"/>
      <c r="I15" s="765"/>
      <c r="J15" s="766">
        <f>136247-86598</f>
        <v>49649</v>
      </c>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11712</v>
      </c>
      <c r="I23" s="1780">
        <f>SUM(I14:I16,I21,I22)</f>
        <v>0</v>
      </c>
      <c r="J23" s="1780">
        <f>SUM(J14:J16,J21,J22)</f>
        <v>49649</v>
      </c>
      <c r="K23" s="1780">
        <f>SUM(K14:K16,K21,K22)</f>
        <v>4616</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86598</v>
      </c>
      <c r="K24" s="1785">
        <f>SUM(K3,K12)-K23</f>
        <v>0</v>
      </c>
    </row>
    <row r="25" spans="1:11" ht="13.5" thickTop="1" x14ac:dyDescent="0.2">
      <c r="A25" s="799" t="s">
        <v>440</v>
      </c>
      <c r="B25" s="800"/>
      <c r="C25" s="800"/>
      <c r="D25" s="800"/>
      <c r="E25" s="801"/>
      <c r="F25" s="802">
        <v>714</v>
      </c>
      <c r="G25" s="803"/>
      <c r="H25" s="803"/>
      <c r="I25" s="803"/>
      <c r="J25" s="798">
        <v>86598</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FF00"/>
  </sheetPr>
  <dimension ref="A1:N27"/>
  <sheetViews>
    <sheetView showGridLines="0" defaultGridColor="0" colorId="8" zoomScale="110" zoomScaleNormal="110" workbookViewId="0">
      <selection activeCell="D9" sqref="D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4500</v>
      </c>
      <c r="D5" s="842"/>
      <c r="E5" s="842"/>
      <c r="F5" s="1782">
        <f>(C5+D5)-E5</f>
        <v>4500</v>
      </c>
      <c r="G5" s="838"/>
      <c r="H5" s="843"/>
      <c r="I5" s="843"/>
      <c r="J5" s="843"/>
      <c r="K5" s="794"/>
      <c r="L5" s="1791">
        <f>F5-K5</f>
        <v>4500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2924892</v>
      </c>
      <c r="D8" s="845">
        <v>136914</v>
      </c>
      <c r="E8" s="845"/>
      <c r="F8" s="1782">
        <f>(C8+D8)-E8</f>
        <v>3061806</v>
      </c>
      <c r="G8" s="844">
        <v>50</v>
      </c>
      <c r="H8" s="766">
        <v>1992919</v>
      </c>
      <c r="I8" s="766">
        <f>13226+311+353+181+378+304+44+226+216+1326+554+6874+19538</f>
        <v>43531</v>
      </c>
      <c r="J8" s="766"/>
      <c r="K8" s="1791">
        <f>(H8+I8)-J8</f>
        <v>2036450</v>
      </c>
      <c r="L8" s="1791">
        <f>F8-K8</f>
        <v>1025356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1096931</v>
      </c>
      <c r="D10" s="847"/>
      <c r="E10" s="847"/>
      <c r="F10" s="1786">
        <f>(C10+D10)-E10</f>
        <v>1096931</v>
      </c>
      <c r="G10" s="844">
        <v>20</v>
      </c>
      <c r="H10" s="848">
        <v>123219</v>
      </c>
      <c r="I10" s="848">
        <f>14173+4500+1369+3634</f>
        <v>23676</v>
      </c>
      <c r="J10" s="848"/>
      <c r="K10" s="1791">
        <f>(H10+I10)-J10</f>
        <v>146895</v>
      </c>
      <c r="L10" s="1791">
        <f>F10-K10</f>
        <v>950036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277042</v>
      </c>
      <c r="D12" s="845">
        <f>10229+89280</f>
        <v>99509</v>
      </c>
      <c r="E12" s="845"/>
      <c r="F12" s="1782">
        <f>(C12+D12)-E12</f>
        <v>376551</v>
      </c>
      <c r="G12" s="844">
        <v>10</v>
      </c>
      <c r="H12" s="766">
        <v>177879</v>
      </c>
      <c r="I12" s="766">
        <f>8196+12339</f>
        <v>20535</v>
      </c>
      <c r="J12" s="766"/>
      <c r="K12" s="1791">
        <f>(H12+I12)-J12</f>
        <v>198414</v>
      </c>
      <c r="L12" s="1791">
        <f>F12-K12</f>
        <v>178137</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4303365</v>
      </c>
      <c r="D16" s="1782">
        <f>SUM(D3,D5:D6,D8:D10,D12:D15)</f>
        <v>236423</v>
      </c>
      <c r="E16" s="1782">
        <f>SUM(E3,E5:E6,E8:E10,E12:E15)</f>
        <v>0</v>
      </c>
      <c r="F16" s="1782">
        <f>SUM(F3,F5:F6,F8:F10,F12:F15)</f>
        <v>4539788</v>
      </c>
      <c r="G16" s="844"/>
      <c r="H16" s="1782">
        <f>SUM(H3,H6,H8:H10,H12:H14,)</f>
        <v>2294017</v>
      </c>
      <c r="I16" s="1782">
        <f>SUM(I3,I6,I8:I10,I12:I14,)</f>
        <v>87742</v>
      </c>
      <c r="J16" s="1782">
        <f>SUM(J3,J6,J8:J10,J12:J14,)</f>
        <v>0</v>
      </c>
      <c r="K16" s="1782">
        <f>(H16+I16)-J16</f>
        <v>2381759</v>
      </c>
      <c r="L16" s="1782">
        <f>F16-K16</f>
        <v>2158029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87742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FF00"/>
  </sheetPr>
  <dimension ref="A1:H206"/>
  <sheetViews>
    <sheetView showGridLines="0" defaultGridColor="0" colorId="8" zoomScale="110" zoomScaleNormal="110" workbookViewId="0">
      <pane ySplit="5" topLeftCell="A60" activePane="bottomLeft" state="frozen"/>
      <selection activeCell="F34" sqref="F34"/>
      <selection pane="bottomLeft" activeCell="F34" sqref="F3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2372381</v>
      </c>
      <c r="G8" s="866"/>
    </row>
    <row r="9" spans="1:7" x14ac:dyDescent="0.2">
      <c r="A9" s="870" t="s">
        <v>480</v>
      </c>
      <c r="B9" s="871" t="s">
        <v>1989</v>
      </c>
      <c r="C9" s="872"/>
      <c r="D9" s="870" t="s">
        <v>522</v>
      </c>
      <c r="E9" s="869"/>
      <c r="F9" s="1935">
        <f>'Expenditures 15-22'!K151</f>
        <v>315763</v>
      </c>
      <c r="G9" s="873"/>
    </row>
    <row r="10" spans="1:7" x14ac:dyDescent="0.2">
      <c r="A10" s="870" t="s">
        <v>520</v>
      </c>
      <c r="B10" s="871" t="s">
        <v>1990</v>
      </c>
      <c r="C10" s="872"/>
      <c r="D10" s="870" t="s">
        <v>522</v>
      </c>
      <c r="E10" s="869"/>
      <c r="F10" s="1935">
        <f>'Expenditures 15-22'!K174</f>
        <v>174367</v>
      </c>
      <c r="G10" s="873"/>
    </row>
    <row r="11" spans="1:7" x14ac:dyDescent="0.2">
      <c r="A11" s="870" t="s">
        <v>481</v>
      </c>
      <c r="B11" s="871" t="s">
        <v>1991</v>
      </c>
      <c r="C11" s="872"/>
      <c r="D11" s="870" t="s">
        <v>522</v>
      </c>
      <c r="E11" s="869"/>
      <c r="F11" s="1935">
        <f>'Expenditures 15-22'!K210</f>
        <v>174224</v>
      </c>
      <c r="G11" s="873"/>
    </row>
    <row r="12" spans="1:7" x14ac:dyDescent="0.2">
      <c r="A12" s="870" t="s">
        <v>482</v>
      </c>
      <c r="B12" s="871" t="s">
        <v>1992</v>
      </c>
      <c r="C12" s="872"/>
      <c r="D12" s="870" t="s">
        <v>522</v>
      </c>
      <c r="E12" s="869"/>
      <c r="F12" s="1935">
        <f>'Expenditures 15-22'!K295</f>
        <v>109952</v>
      </c>
      <c r="G12" s="873"/>
    </row>
    <row r="13" spans="1:7" x14ac:dyDescent="0.2">
      <c r="A13" s="870" t="s">
        <v>108</v>
      </c>
      <c r="B13" s="871" t="s">
        <v>1993</v>
      </c>
      <c r="C13" s="872"/>
      <c r="D13" s="870" t="s">
        <v>522</v>
      </c>
      <c r="E13" s="869"/>
      <c r="F13" s="1935">
        <f>'Expenditures 15-22'!K342</f>
        <v>210237</v>
      </c>
      <c r="G13" s="874"/>
    </row>
    <row r="14" spans="1:7" ht="12" customHeight="1" thickBot="1" x14ac:dyDescent="0.25">
      <c r="A14" s="1792"/>
      <c r="B14" s="1793"/>
      <c r="C14" s="1794"/>
      <c r="D14" s="1795" t="s">
        <v>522</v>
      </c>
      <c r="E14" s="1796" t="s">
        <v>1015</v>
      </c>
      <c r="F14" s="1797">
        <f>SUM(F8:F13)</f>
        <v>3356924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54756</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45889</v>
      </c>
      <c r="G53" s="866"/>
    </row>
    <row r="54" spans="1:7" x14ac:dyDescent="0.2">
      <c r="A54" s="870" t="s">
        <v>479</v>
      </c>
      <c r="B54" s="870" t="s">
        <v>1552</v>
      </c>
      <c r="C54" s="890" t="s">
        <v>1039</v>
      </c>
      <c r="D54" s="886" t="s">
        <v>1157</v>
      </c>
      <c r="E54" s="869"/>
      <c r="F54" s="1939">
        <f>'Expenditures 15-22'!G114</f>
        <v>124908</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46989</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161223</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25775</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4314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463854</v>
      </c>
      <c r="G76" s="866"/>
    </row>
    <row r="77" spans="1:8" s="894" customFormat="1" ht="12" customHeight="1" thickTop="1" thickBot="1" x14ac:dyDescent="0.25">
      <c r="A77" s="1801"/>
      <c r="B77" s="1798"/>
      <c r="C77" s="1794"/>
      <c r="D77" s="1799" t="s">
        <v>2012</v>
      </c>
      <c r="E77" s="1796"/>
      <c r="F77" s="1802">
        <f>(F14-F76)</f>
        <v>2893070</v>
      </c>
      <c r="G77" s="870"/>
    </row>
    <row r="78" spans="1:8" s="894" customFormat="1" ht="12" customHeight="1" thickTop="1" x14ac:dyDescent="0.2">
      <c r="A78" s="1803"/>
      <c r="B78" s="1798"/>
      <c r="C78" s="1794"/>
      <c r="D78" s="1799" t="s">
        <v>2059</v>
      </c>
      <c r="E78" s="1796"/>
      <c r="F78" s="899">
        <v>169.69</v>
      </c>
      <c r="G78" s="900"/>
      <c r="H78" s="870"/>
    </row>
    <row r="79" spans="1:8" s="894" customFormat="1" ht="12" customHeight="1" thickBot="1" x14ac:dyDescent="0.25">
      <c r="A79" s="1804"/>
      <c r="B79" s="1798"/>
      <c r="C79" s="1794"/>
      <c r="D79" s="1799" t="s">
        <v>2013</v>
      </c>
      <c r="E79" s="1796" t="s">
        <v>1015</v>
      </c>
      <c r="F79" s="1805">
        <f>IF(F78&gt;0,F77/F78," Complete Line 78")</f>
        <v>17049.148447168365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7192</v>
      </c>
      <c r="G94" s="913"/>
    </row>
    <row r="95" spans="1:7" x14ac:dyDescent="0.2">
      <c r="A95" s="909" t="s">
        <v>142</v>
      </c>
      <c r="B95" s="909" t="s">
        <v>177</v>
      </c>
      <c r="C95" s="911">
        <v>1700</v>
      </c>
      <c r="D95" s="919" t="str">
        <f>'Revenues 9-14'!A82</f>
        <v>Total District/School Activity Income</v>
      </c>
      <c r="E95" s="907"/>
      <c r="F95" s="1811">
        <f>SUM('Revenues 9-14'!C82,'Revenues 9-14'!D82)</f>
        <v>9821</v>
      </c>
      <c r="G95" s="913"/>
    </row>
    <row r="96" spans="1:7" x14ac:dyDescent="0.2">
      <c r="A96" s="909" t="s">
        <v>479</v>
      </c>
      <c r="B96" s="909" t="s">
        <v>178</v>
      </c>
      <c r="C96" s="911">
        <f>'Revenues 9-14'!B84</f>
        <v>1811</v>
      </c>
      <c r="D96" s="912" t="str">
        <f>'Revenues 9-14'!A84</f>
        <v>Rentals - Regular Textbooks</v>
      </c>
      <c r="E96" s="907"/>
      <c r="F96" s="1811">
        <f>'Revenues 9-14'!C84</f>
        <v>5275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50</v>
      </c>
      <c r="G104" s="913"/>
    </row>
    <row r="105" spans="1:7" x14ac:dyDescent="0.2">
      <c r="A105" s="909" t="s">
        <v>524</v>
      </c>
      <c r="B105" s="909" t="s">
        <v>842</v>
      </c>
      <c r="C105" s="914">
        <v>3100</v>
      </c>
      <c r="D105" s="920" t="str">
        <f>'Revenues 9-14'!A131</f>
        <v>Total Special Education</v>
      </c>
      <c r="E105" s="907"/>
      <c r="F105" s="1811">
        <f>SUM('Revenues 9-14'!C131:D131,'Revenues 9-14'!F131)</f>
        <v>35635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1368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2741</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67735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16722</v>
      </c>
      <c r="G128" s="931"/>
    </row>
    <row r="129" spans="1:7" x14ac:dyDescent="0.2">
      <c r="A129" s="928" t="s">
        <v>685</v>
      </c>
      <c r="B129" s="928" t="s">
        <v>803</v>
      </c>
      <c r="C129" s="933">
        <v>4200</v>
      </c>
      <c r="D129" s="930" t="str">
        <f>'Revenues 9-14'!A201</f>
        <v>Total Food Service</v>
      </c>
      <c r="E129" s="907"/>
      <c r="F129" s="1811">
        <f>SUM('Revenues 9-14'!C201,'Revenues 9-14'!G201)</f>
        <v>109308</v>
      </c>
      <c r="G129" s="931"/>
    </row>
    <row r="130" spans="1:7" x14ac:dyDescent="0.2">
      <c r="A130" s="928" t="s">
        <v>689</v>
      </c>
      <c r="B130" s="928" t="s">
        <v>804</v>
      </c>
      <c r="C130" s="933">
        <v>4300</v>
      </c>
      <c r="D130" s="934" t="str">
        <f>'Revenues 9-14'!A211</f>
        <v>Total Title I</v>
      </c>
      <c r="E130" s="907"/>
      <c r="F130" s="1811">
        <f>SUM('Revenues 9-14'!C211,'Revenues 9-14'!D211,'Revenues 9-14'!F211,'Revenues 9-14'!G211)</f>
        <v>67026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4148</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8657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8865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23324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367867</v>
      </c>
    </row>
    <row r="179" spans="1:7" ht="12" customHeight="1" x14ac:dyDescent="0.2">
      <c r="A179" s="1792"/>
      <c r="B179" s="1806"/>
      <c r="C179" s="1807"/>
      <c r="D179" s="1808" t="s">
        <v>2015</v>
      </c>
      <c r="E179" s="1809"/>
      <c r="F179" s="1811">
        <f>'PCTC-OEPP 27-28'!F77-F178</f>
        <v>2525203</v>
      </c>
    </row>
    <row r="180" spans="1:7" ht="12" customHeight="1" x14ac:dyDescent="0.2">
      <c r="A180" s="1792"/>
      <c r="B180" s="1806"/>
      <c r="C180" s="1807"/>
      <c r="D180" s="1808" t="s">
        <v>1924</v>
      </c>
      <c r="E180" s="1809"/>
      <c r="F180" s="1811">
        <f>'Cap Outlay Deprec 26'!I18</f>
        <v>87742</v>
      </c>
    </row>
    <row r="181" spans="1:7" ht="12" customHeight="1" x14ac:dyDescent="0.2">
      <c r="A181" s="1792"/>
      <c r="B181" s="1806"/>
      <c r="C181" s="1807"/>
      <c r="D181" s="1808" t="s">
        <v>2016</v>
      </c>
      <c r="E181" s="1809"/>
      <c r="F181" s="1811">
        <f>F179+F180</f>
        <v>2612945</v>
      </c>
    </row>
    <row r="182" spans="1:7" ht="12" customHeight="1" x14ac:dyDescent="0.2">
      <c r="A182" s="1792"/>
      <c r="B182" s="1812"/>
      <c r="C182" s="1807"/>
      <c r="D182" s="1808" t="str">
        <f>D78</f>
        <v>9 Month ADA from District Average Daily Attendance/Prior General State Aid Inquiry 2017-2018</v>
      </c>
      <c r="E182" s="1809"/>
      <c r="F182" s="1813">
        <f>'PCTC-OEPP 27-28'!F78</f>
        <v>169.69</v>
      </c>
      <c r="G182" s="931"/>
    </row>
    <row r="183" spans="1:7" ht="12" customHeight="1" thickBot="1" x14ac:dyDescent="0.25">
      <c r="A183" s="1792"/>
      <c r="B183" s="1812"/>
      <c r="C183" s="1807"/>
      <c r="D183" s="1808" t="s">
        <v>2017</v>
      </c>
      <c r="E183" s="1809" t="s">
        <v>1626</v>
      </c>
      <c r="F183" s="1814">
        <f>F181/F182</f>
        <v>15398.344039130179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H141"/>
  <sheetViews>
    <sheetView showGridLines="0" topLeftCell="A7" workbookViewId="0">
      <selection activeCell="F34" sqref="F34"/>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956" t="s">
        <v>2109</v>
      </c>
      <c r="B18" s="1957" t="s">
        <v>2110</v>
      </c>
      <c r="C18" s="1958" t="s">
        <v>2111</v>
      </c>
      <c r="D18" s="1867">
        <v>24788</v>
      </c>
      <c r="E18" s="1562">
        <f t="shared" ref="E18:E140" si="2">IF(D18&lt;=25000,D18,IF(D18&gt;25000,25000,0))</f>
        <v>24788</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24788</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24788</v>
      </c>
      <c r="E141" s="1563">
        <f t="shared" si="1"/>
        <v>24788</v>
      </c>
      <c r="F141" s="1817">
        <f>SUM(F17:F140)</f>
        <v>24788</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FF00"/>
  </sheetPr>
  <dimension ref="A1:I46"/>
  <sheetViews>
    <sheetView showGridLines="0" defaultGridColor="0" topLeftCell="A13" colorId="8" zoomScale="110" zoomScaleNormal="110" workbookViewId="0">
      <selection activeCell="F34" sqref="F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59954</v>
      </c>
      <c r="F10" s="975"/>
      <c r="G10" s="976"/>
      <c r="H10" s="162"/>
      <c r="I10" s="162"/>
    </row>
    <row r="11" spans="1:9" s="669" customFormat="1" ht="22.5" customHeight="1" x14ac:dyDescent="0.2">
      <c r="A11" s="2305" t="s">
        <v>1945</v>
      </c>
      <c r="B11" s="2306"/>
      <c r="C11" s="2306"/>
      <c r="D11" s="2307"/>
      <c r="E11" s="978">
        <v>5741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1603250</v>
      </c>
      <c r="F19" s="1822"/>
      <c r="G19" s="1824">
        <f>'Expenditures 15-22'!K33-SUM('Expenditures 15-22'!G33,'Expenditures 15-22'!I33)+'Expenditures 15-22'!D229</f>
        <v>1603250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103898</v>
      </c>
      <c r="F21" s="1825"/>
      <c r="G21" s="1828">
        <f>'Expenditures 15-22'!K42-SUM('Expenditures 15-22'!G42,'Expenditures 15-22'!I42)+'Expenditures 15-22'!K120-SUM('Expenditures 15-22'!G120,'Expenditures 15-22'!I120)+'Expenditures 15-22'!K180-SUM('Expenditures 15-22'!G180,'Expenditures 15-22'!I180)+'Expenditures 15-22'!D238</f>
        <v>103898</v>
      </c>
      <c r="H21" s="988"/>
      <c r="I21" s="162"/>
    </row>
    <row r="22" spans="1:9" s="669" customFormat="1" ht="12" customHeight="1" x14ac:dyDescent="0.2">
      <c r="A22" s="995" t="s">
        <v>585</v>
      </c>
      <c r="B22" s="996"/>
      <c r="C22" s="994">
        <v>2200</v>
      </c>
      <c r="D22" s="1825"/>
      <c r="E22" s="1827">
        <f>'Expenditures 15-22'!K47-SUM('Expenditures 15-22'!G47,'Expenditures 15-22'!I47)+'Expenditures 15-22'!D243</f>
        <v>38754</v>
      </c>
      <c r="F22" s="1825"/>
      <c r="G22" s="1828">
        <f>'Expenditures 15-22'!K47-SUM('Expenditures 15-22'!G47,'Expenditures 15-22'!I47)+'Expenditures 15-22'!D243</f>
        <v>38754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341598</v>
      </c>
      <c r="F23" s="1825"/>
      <c r="G23" s="1827">
        <f>'Expenditures 15-22'!K53-SUM('Expenditures 15-22'!G53,'Expenditures 15-22'!I53)+'Expenditures 15-22'!D257+'Expenditures 15-22'!K330-SUM('Expenditures 15-22'!G330,'Expenditures 15-22'!I330)</f>
        <v>341598</v>
      </c>
      <c r="H23" s="988"/>
      <c r="I23" s="162"/>
    </row>
    <row r="24" spans="1:9" s="669" customFormat="1" ht="12" customHeight="1" x14ac:dyDescent="0.2">
      <c r="A24" s="995" t="s">
        <v>587</v>
      </c>
      <c r="B24" s="996"/>
      <c r="C24" s="994">
        <v>2400</v>
      </c>
      <c r="D24" s="1825"/>
      <c r="E24" s="1827">
        <f>'Expenditures 15-22'!K57-SUM('Expenditures 15-22'!G57,'Expenditures 15-22'!I57)+'Expenditures 15-22'!D261</f>
        <v>156019</v>
      </c>
      <c r="F24" s="1825"/>
      <c r="G24" s="1828">
        <f>'Expenditures 15-22'!K57-SUM('Expenditures 15-22'!G57,'Expenditures 15-22'!I57)+'Expenditures 15-22'!D261</f>
        <v>156019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49799</v>
      </c>
      <c r="E27" s="1827">
        <f>E8</f>
        <v>0</v>
      </c>
      <c r="F27" s="1827">
        <f>'Expenditures 15-22'!K60-SUM('Expenditures 15-22'!G60,'Expenditures 15-22'!I60)+'Expenditures 15-22'!D264-E8</f>
        <v>49799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286751</v>
      </c>
      <c r="F28" s="1829">
        <f>'Expenditures 15-22'!K61-SUM('Expenditures 15-22'!G61,'Expenditures 15-22'!I61)+'Expenditures 15-22'!K124-SUM('Expenditures 15-22'!G124,'Expenditures 15-22'!I124)+'Expenditures 15-22'!D266-E9</f>
        <v>286751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162033</v>
      </c>
      <c r="F29" s="1825"/>
      <c r="G29" s="1828">
        <f>'Expenditures 15-22'!K62-SUM('Expenditures 15-22'!G62,'Expenditures 15-22'!I62)+'Expenditures 15-22'!K125-SUM('Expenditures 15-22'!G125,'Expenditures 15-22'!I125)+'Expenditures 15-22'!K182-SUM('Expenditures 15-22'!G182,'Expenditures 15-22'!I182)+'Expenditures 15-22'!D267</f>
        <v>162033</v>
      </c>
      <c r="H29" s="986"/>
    </row>
    <row r="30" spans="1:9" ht="12" customHeight="1" x14ac:dyDescent="0.2">
      <c r="A30" s="995" t="s">
        <v>102</v>
      </c>
      <c r="B30" s="998"/>
      <c r="C30" s="994">
        <v>2560</v>
      </c>
      <c r="D30" s="1825"/>
      <c r="E30" s="1827">
        <f>'Expenditures 15-22'!K63-SUM('Expenditures 15-22'!G63,'Expenditures 15-22'!I63)+'Expenditures 15-22'!D268-E10</f>
        <v>89837</v>
      </c>
      <c r="F30" s="1825"/>
      <c r="G30" s="1827">
        <f>'Expenditures 15-22'!K63-SUM('Expenditures 15-22'!G63,'Expenditures 15-22'!I63)+'Expenditures 15-22'!D268-E10</f>
        <v>89837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649</v>
      </c>
      <c r="F38" s="1825"/>
      <c r="G38" s="1827">
        <f>'Expenditures 15-22'!K73-SUM('Expenditures 15-22'!G73,'Expenditures 15-22'!I73)+'Expenditures 15-22'!K128-SUM('Expenditures 15-22'!G128,'Expenditures 15-22'!I128)+'Expenditures 15-22'!K183-SUM('Expenditures 15-22'!G183,'Expenditures 15-22'!I183)+'Expenditures 15-22'!D278</f>
        <v>649</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49799</v>
      </c>
      <c r="E41" s="1829">
        <f>SUM(E19:E40)</f>
        <v>2782789</v>
      </c>
      <c r="F41" s="1829">
        <f>SUM(F19:F39)</f>
        <v>336550</v>
      </c>
      <c r="G41" s="1829">
        <f>SUM(G19:G40)</f>
        <v>2496038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49799</v>
      </c>
      <c r="F43" s="1830" t="s">
        <v>495</v>
      </c>
      <c r="G43" s="1831">
        <f>F41</f>
        <v>336550</v>
      </c>
    </row>
    <row r="44" spans="1:7" ht="12" customHeight="1" x14ac:dyDescent="0.2">
      <c r="A44" s="988"/>
      <c r="B44" s="162"/>
      <c r="C44" s="1002"/>
      <c r="D44" s="1830" t="s">
        <v>494</v>
      </c>
      <c r="E44" s="1831">
        <f>E41</f>
        <v>2782789</v>
      </c>
      <c r="F44" s="1830" t="s">
        <v>494</v>
      </c>
      <c r="G44" s="1831">
        <f>G41</f>
        <v>2496038</v>
      </c>
    </row>
    <row r="45" spans="1:7" ht="12" customHeight="1" x14ac:dyDescent="0.2">
      <c r="A45" s="988"/>
      <c r="B45" s="162"/>
      <c r="C45" s="162"/>
      <c r="D45" s="1832" t="s">
        <v>1063</v>
      </c>
      <c r="E45" s="1833">
        <f>(E43/E44)</f>
        <v>1.7895356061850179E-2</v>
      </c>
      <c r="F45" s="1832" t="s">
        <v>1063</v>
      </c>
      <c r="G45" s="1833">
        <f>(G43/G44)</f>
        <v>0.1348336844230737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FF00"/>
  </sheetPr>
  <dimension ref="A1:L97"/>
  <sheetViews>
    <sheetView showGridLines="0" zoomScale="110" zoomScaleNormal="110" workbookViewId="0">
      <pane ySplit="4" topLeftCell="A5" activePane="bottomLeft" state="frozen"/>
      <selection activeCell="F34" sqref="F34"/>
      <selection pane="bottomLeft" activeCell="F34" sqref="F34"/>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Meredosia- Chambersburg Community Unit District 11</v>
      </c>
      <c r="D6" s="2315"/>
      <c r="E6" s="2315"/>
      <c r="F6" s="1877"/>
    </row>
    <row r="7" spans="1:10" ht="11.25" customHeight="1" thickBot="1" x14ac:dyDescent="0.3">
      <c r="A7" s="1875"/>
      <c r="B7" s="1876"/>
      <c r="C7" s="2316">
        <f>COVER!A13</f>
        <v>1069011026</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2082</v>
      </c>
      <c r="D26" s="1890" t="s">
        <v>2082</v>
      </c>
      <c r="E26" s="1893" t="s">
        <v>2082</v>
      </c>
      <c r="F26" s="1892" t="s">
        <v>2096</v>
      </c>
      <c r="H26" s="1903">
        <f t="shared" si="0"/>
        <v>5</v>
      </c>
      <c r="I26" s="1903">
        <f t="shared" si="1"/>
        <v>5</v>
      </c>
      <c r="J26" s="1903">
        <f t="shared" si="2"/>
        <v>5</v>
      </c>
    </row>
    <row r="27" spans="1:12" ht="18.75" x14ac:dyDescent="0.2">
      <c r="A27" s="1888" t="s">
        <v>1616</v>
      </c>
      <c r="B27" s="1889"/>
      <c r="C27" s="1890" t="s">
        <v>2082</v>
      </c>
      <c r="D27" s="1890" t="s">
        <v>2082</v>
      </c>
      <c r="E27" s="1893" t="s">
        <v>2082</v>
      </c>
      <c r="F27" s="1892" t="s">
        <v>2097</v>
      </c>
      <c r="H27" s="1903">
        <f t="shared" si="0"/>
        <v>5</v>
      </c>
      <c r="I27" s="1903">
        <f t="shared" si="1"/>
        <v>5</v>
      </c>
      <c r="J27" s="1903">
        <f t="shared" si="2"/>
        <v>5</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2082</v>
      </c>
      <c r="D33" s="1890" t="s">
        <v>2082</v>
      </c>
      <c r="E33" s="1893" t="s">
        <v>2082</v>
      </c>
      <c r="F33" s="1892" t="s">
        <v>2098</v>
      </c>
      <c r="H33" s="1903">
        <f t="shared" si="0"/>
        <v>5</v>
      </c>
      <c r="I33" s="1903">
        <f t="shared" si="1"/>
        <v>5</v>
      </c>
      <c r="J33" s="1903">
        <f t="shared" si="2"/>
        <v>5</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FF00"/>
  </sheetPr>
  <dimension ref="A1:Q40"/>
  <sheetViews>
    <sheetView showGridLines="0" defaultGridColor="0" colorId="8" zoomScale="110" zoomScaleNormal="110" workbookViewId="0">
      <selection activeCell="F34" sqref="F3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Meredosia- Chambersburg Community Unit District 11</v>
      </c>
      <c r="J6" s="2336"/>
      <c r="Q6" s="1686"/>
    </row>
    <row r="7" spans="1:17" x14ac:dyDescent="0.2">
      <c r="A7" s="2337" t="s">
        <v>924</v>
      </c>
      <c r="B7" s="2338"/>
      <c r="C7" s="2338"/>
      <c r="D7" s="2338"/>
      <c r="E7" s="2339"/>
      <c r="F7" s="1018"/>
      <c r="G7" s="1010"/>
      <c r="H7" s="1017" t="s">
        <v>390</v>
      </c>
      <c r="I7" s="2340">
        <f>COVER!A13</f>
        <v>1069011026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131251</v>
      </c>
      <c r="F12" s="1040"/>
      <c r="G12" s="1834">
        <f t="shared" ref="G12:G18" si="0">SUM(E12:F12)</f>
        <v>131251</v>
      </c>
      <c r="H12" s="1041">
        <v>106621</v>
      </c>
      <c r="I12" s="1040"/>
      <c r="J12" s="1834">
        <f t="shared" ref="J12:J18" si="1">SUM(H12:I12)</f>
        <v>106621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131251</v>
      </c>
      <c r="F19" s="1836">
        <f t="shared" si="2"/>
        <v>0</v>
      </c>
      <c r="G19" s="1836">
        <f t="shared" si="2"/>
        <v>131251</v>
      </c>
      <c r="H19" s="1836">
        <f t="shared" si="2"/>
        <v>106621</v>
      </c>
      <c r="I19" s="1836">
        <f t="shared" si="2"/>
        <v>0</v>
      </c>
      <c r="J19" s="1836">
        <f t="shared" si="2"/>
        <v>106621</v>
      </c>
    </row>
    <row r="20" spans="1:10" ht="13.5" thickTop="1" x14ac:dyDescent="0.2">
      <c r="A20" s="1036">
        <v>9</v>
      </c>
      <c r="B20" s="2347" t="s">
        <v>1703</v>
      </c>
      <c r="C20" s="2347"/>
      <c r="D20" s="2348"/>
      <c r="E20" s="1047"/>
      <c r="F20" s="1047"/>
      <c r="G20" s="1047"/>
      <c r="H20" s="1047"/>
      <c r="I20" s="1047"/>
      <c r="J20" s="1837">
        <f>IF(AND(G19&gt;0,J19&gt;0),(((J19-G19)/G19)),"Enter Budget Data")</f>
        <v>-0.18765571309932877</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t="s">
        <v>2091</v>
      </c>
      <c r="D28" s="2351"/>
      <c r="E28" s="1055"/>
      <c r="F28" s="2351" t="s">
        <v>2093</v>
      </c>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FF00"/>
  </sheetPr>
  <dimension ref="A2:B65"/>
  <sheetViews>
    <sheetView showGridLines="0" zoomScale="110" zoomScaleNormal="110" workbookViewId="0">
      <selection activeCell="F34" sqref="F3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2103</v>
      </c>
    </row>
    <row r="6" spans="1:2" x14ac:dyDescent="0.2">
      <c r="A6" s="1069">
        <v>2</v>
      </c>
      <c r="B6" s="329" t="s">
        <v>2104</v>
      </c>
    </row>
    <row r="7" spans="1:2" x14ac:dyDescent="0.2">
      <c r="A7" s="1069">
        <v>3</v>
      </c>
      <c r="B7" s="329" t="s">
        <v>2105</v>
      </c>
    </row>
    <row r="8" spans="1:2" x14ac:dyDescent="0.2">
      <c r="A8" s="1069">
        <v>4</v>
      </c>
      <c r="B8" s="329" t="s">
        <v>2106</v>
      </c>
    </row>
    <row r="9" spans="1:2" x14ac:dyDescent="0.2">
      <c r="A9" s="1070">
        <v>5</v>
      </c>
      <c r="B9" s="329" t="s">
        <v>2107</v>
      </c>
    </row>
    <row r="10" spans="1:2" x14ac:dyDescent="0.2">
      <c r="A10" s="1070">
        <v>6</v>
      </c>
      <c r="B10" s="329" t="s">
        <v>2108</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Meredosia- Chambersburg Community Unit District 11</v>
      </c>
    </row>
    <row r="65" spans="2:2" x14ac:dyDescent="0.2">
      <c r="B65" s="1071">
        <f>COVER!A13</f>
        <v>1069011026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H67" sqref="H6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FF00"/>
  </sheetPr>
  <dimension ref="A1:D19"/>
  <sheetViews>
    <sheetView showGridLines="0" defaultGridColor="0" colorId="8" zoomScale="110" zoomScaleNormal="110" workbookViewId="0">
      <selection activeCell="F34" sqref="F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962025</xdr:colOff>
                <xdr:row>0</xdr:row>
                <xdr:rowOff>28575</xdr:rowOff>
              </from>
              <to>
                <xdr:col>1</xdr:col>
                <xdr:colOff>1876425</xdr:colOff>
                <xdr:row>4</xdr:row>
                <xdr:rowOff>66675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FF00"/>
    <pageSetUpPr fitToPage="1"/>
  </sheetPr>
  <dimension ref="A1:H48"/>
  <sheetViews>
    <sheetView showGridLines="0" showZeros="0" zoomScale="110" zoomScaleNormal="110" workbookViewId="0">
      <selection activeCell="F34" sqref="F3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2228515</v>
      </c>
      <c r="C8" s="1838">
        <f>'Acct Summary 7-8'!D8</f>
        <v>287810</v>
      </c>
      <c r="D8" s="1838">
        <f>'Acct Summary 7-8'!F8</f>
        <v>179331</v>
      </c>
      <c r="E8" s="1838">
        <f>'Acct Summary 7-8'!I8</f>
        <v>14636</v>
      </c>
      <c r="F8" s="1838">
        <f>SUM(B8:E8)</f>
        <v>2710292</v>
      </c>
    </row>
    <row r="9" spans="1:8" s="1080" customFormat="1" ht="14.25" customHeight="1" thickBot="1" x14ac:dyDescent="0.25">
      <c r="A9" s="1079" t="s">
        <v>1436</v>
      </c>
      <c r="B9" s="1839">
        <f>'Acct Summary 7-8'!C17</f>
        <v>2372381</v>
      </c>
      <c r="C9" s="1839">
        <f>'Acct Summary 7-8'!D17</f>
        <v>315763</v>
      </c>
      <c r="D9" s="1839">
        <f>'Acct Summary 7-8'!F17</f>
        <v>174224</v>
      </c>
      <c r="E9" s="1838"/>
      <c r="F9" s="1838">
        <f>SUM(B9:E9)</f>
        <v>2862368</v>
      </c>
    </row>
    <row r="10" spans="1:8" s="1080" customFormat="1" ht="14.25" thickTop="1" thickBot="1" x14ac:dyDescent="0.25">
      <c r="A10" s="1081" t="s">
        <v>1437</v>
      </c>
      <c r="B10" s="1840">
        <f>(B8-B9)</f>
        <v>-143866</v>
      </c>
      <c r="C10" s="1840">
        <f>(C8-C9)</f>
        <v>-27953</v>
      </c>
      <c r="D10" s="1840">
        <f>(D8-D9)</f>
        <v>5107</v>
      </c>
      <c r="E10" s="1839">
        <f>(E8-E9)</f>
        <v>14636</v>
      </c>
      <c r="F10" s="1841">
        <f>SUM(F8-F9)</f>
        <v>-152076</v>
      </c>
    </row>
    <row r="11" spans="1:8" s="1080" customFormat="1" ht="14.25" thickTop="1" thickBot="1" x14ac:dyDescent="0.25">
      <c r="A11" s="1082" t="s">
        <v>1785</v>
      </c>
      <c r="B11" s="1842">
        <f>'Acct Summary 7-8'!C81</f>
        <v>603060</v>
      </c>
      <c r="C11" s="1842">
        <f>'Acct Summary 7-8'!D81</f>
        <v>87697</v>
      </c>
      <c r="D11" s="1842">
        <f>'Acct Summary 7-8'!F81</f>
        <v>258803</v>
      </c>
      <c r="E11" s="1842">
        <f>'Acct Summary 7-8'!I81</f>
        <v>112310</v>
      </c>
      <c r="F11" s="1843">
        <f>SUM(B11:E11)</f>
        <v>1061870</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D59" sqref="D5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1069011026</v>
      </c>
    </row>
    <row r="3" spans="1:2" x14ac:dyDescent="0.2">
      <c r="A3" t="s">
        <v>1013</v>
      </c>
      <c r="B3" s="138" t="str">
        <f>COVER!A15</f>
        <v>Morgan, Cass, Brown, Pike</v>
      </c>
    </row>
    <row r="4" spans="1:2" x14ac:dyDescent="0.2">
      <c r="A4" t="s">
        <v>1064</v>
      </c>
      <c r="B4" s="138" t="str">
        <f>COVER!A17</f>
        <v>Meredosia- Chambersburg Community Unit District 11</v>
      </c>
    </row>
    <row r="5" spans="1:2" x14ac:dyDescent="0.2">
      <c r="A5" t="s">
        <v>728</v>
      </c>
      <c r="B5" s="138" t="str">
        <f>COVER!A38</f>
        <v>Thad Walker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Adam R. Withee</v>
      </c>
    </row>
    <row r="18" spans="1:2" x14ac:dyDescent="0.2">
      <c r="A18" t="s">
        <v>1212</v>
      </c>
      <c r="B18" s="138" t="str">
        <f>COVER!T17</f>
        <v>1395 Lincoln Ave</v>
      </c>
    </row>
    <row r="19" spans="1:2" x14ac:dyDescent="0.2">
      <c r="A19" t="s">
        <v>941</v>
      </c>
      <c r="B19" s="138" t="str">
        <f>COVER!T25</f>
        <v>awithee@zescpa.com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61385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603060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540461</v>
      </c>
      <c r="D92" s="2" t="str">
        <f t="shared" si="0"/>
        <v>Error?</v>
      </c>
    </row>
    <row r="93" spans="1:4" x14ac:dyDescent="0.2">
      <c r="A93" s="5">
        <v>32</v>
      </c>
      <c r="B93" s="138">
        <f>'Assets-Liab 5-6'!C41</f>
        <v>603060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87697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87697</v>
      </c>
      <c r="D123" s="2" t="str">
        <f t="shared" si="0"/>
        <v>Error?</v>
      </c>
    </row>
    <row r="124" spans="1:4" x14ac:dyDescent="0.2">
      <c r="A124" s="5">
        <v>63</v>
      </c>
      <c r="B124" s="138">
        <f>'Assets-Liab 5-6'!D41</f>
        <v>87697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140589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140589</v>
      </c>
      <c r="D140" s="2" t="str">
        <f t="shared" si="1"/>
        <v>Error?</v>
      </c>
    </row>
    <row r="141" spans="1:4" x14ac:dyDescent="0.2">
      <c r="A141" s="5">
        <v>80</v>
      </c>
      <c r="B141" s="138">
        <f>'Assets-Liab 5-6'!E41</f>
        <v>140589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258803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258803</v>
      </c>
      <c r="D170" s="2" t="str">
        <f t="shared" si="1"/>
        <v>Error?</v>
      </c>
    </row>
    <row r="171" spans="1:4" x14ac:dyDescent="0.2">
      <c r="A171" s="5">
        <v>110</v>
      </c>
      <c r="B171" s="138">
        <f>'Assets-Liab 5-6'!F41</f>
        <v>258803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97742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311287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232447</v>
      </c>
      <c r="D189" s="2" t="str">
        <f t="shared" si="1"/>
        <v>Error?</v>
      </c>
    </row>
    <row r="190" spans="1:4" x14ac:dyDescent="0.2">
      <c r="A190" s="5">
        <v>129</v>
      </c>
      <c r="B190" s="138">
        <f>'Assets-Liab 5-6'!G41</f>
        <v>311287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86598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86598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4500</v>
      </c>
      <c r="D273" s="2" t="str">
        <f t="shared" si="3"/>
        <v>Error?</v>
      </c>
    </row>
    <row r="274" spans="1:4" x14ac:dyDescent="0.2">
      <c r="A274" s="5">
        <v>213</v>
      </c>
      <c r="B274" s="138">
        <f>'Assets-Liab 5-6'!M17</f>
        <v>3061806</v>
      </c>
      <c r="D274" s="2" t="str">
        <f t="shared" si="3"/>
        <v>Error?</v>
      </c>
    </row>
    <row r="275" spans="1:4" x14ac:dyDescent="0.2">
      <c r="A275" s="5">
        <v>214</v>
      </c>
      <c r="B275" s="138">
        <f>'Assets-Liab 5-6'!M18</f>
        <v>1096931</v>
      </c>
      <c r="D275" s="2" t="str">
        <f t="shared" si="3"/>
        <v>Error?</v>
      </c>
    </row>
    <row r="276" spans="1:4" x14ac:dyDescent="0.2">
      <c r="A276" s="5">
        <v>215</v>
      </c>
      <c r="B276" s="138">
        <f>'Assets-Liab 5-6'!M19</f>
        <v>376551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4539788</v>
      </c>
      <c r="C279" s="2" t="s">
        <v>594</v>
      </c>
      <c r="D279" s="2" t="str">
        <f t="shared" si="3"/>
        <v>Error?</v>
      </c>
    </row>
    <row r="280" spans="1:4" x14ac:dyDescent="0.2">
      <c r="A280" s="5">
        <v>219</v>
      </c>
      <c r="B280" s="138">
        <f>'Assets-Liab 5-6'!M40</f>
        <v>4539788</v>
      </c>
      <c r="D280" s="2" t="str">
        <f t="shared" si="3"/>
        <v>Error?</v>
      </c>
    </row>
    <row r="281" spans="1:4" x14ac:dyDescent="0.2">
      <c r="A281" s="5">
        <v>220</v>
      </c>
      <c r="B281" s="138">
        <f>'Assets-Liab 5-6'!M41</f>
        <v>4539788</v>
      </c>
      <c r="C281" s="2" t="s">
        <v>594</v>
      </c>
      <c r="D281" s="2" t="str">
        <f t="shared" si="3"/>
        <v>Error?</v>
      </c>
    </row>
    <row r="282" spans="1:4" x14ac:dyDescent="0.2">
      <c r="A282" s="5">
        <v>221</v>
      </c>
      <c r="B282" s="138">
        <f>'Assets-Liab 5-6'!N21</f>
        <v>140589</v>
      </c>
      <c r="D282" s="2" t="str">
        <f t="shared" si="3"/>
        <v>Error?</v>
      </c>
    </row>
    <row r="283" spans="1:4" x14ac:dyDescent="0.2">
      <c r="A283" s="5">
        <v>222</v>
      </c>
      <c r="B283" s="138">
        <f>'Assets-Liab 5-6'!N22</f>
        <v>91857</v>
      </c>
      <c r="D283" s="2" t="str">
        <f t="shared" si="3"/>
        <v>Error?</v>
      </c>
    </row>
    <row r="284" spans="1:4" x14ac:dyDescent="0.2">
      <c r="A284" s="5">
        <v>223</v>
      </c>
      <c r="B284" s="138">
        <f>'Assets-Liab 5-6'!N23</f>
        <v>232446</v>
      </c>
      <c r="C284" s="2" t="s">
        <v>594</v>
      </c>
      <c r="D284" s="2" t="str">
        <f t="shared" si="3"/>
        <v>Error?</v>
      </c>
    </row>
    <row r="285" spans="1:4" x14ac:dyDescent="0.2">
      <c r="A285" s="5">
        <v>224</v>
      </c>
      <c r="B285" s="138">
        <f>'Assets-Liab 5-6'!N36</f>
        <v>232446</v>
      </c>
      <c r="D285" s="2" t="str">
        <f t="shared" si="3"/>
        <v>Error?</v>
      </c>
    </row>
    <row r="286" spans="1:4" x14ac:dyDescent="0.2">
      <c r="A286" s="10">
        <v>225</v>
      </c>
      <c r="D286" s="2" t="str">
        <f t="shared" si="3"/>
        <v>OK</v>
      </c>
    </row>
    <row r="287" spans="1:4" x14ac:dyDescent="0.2">
      <c r="A287" s="5">
        <v>226</v>
      </c>
      <c r="B287" s="138">
        <f>'Assets-Liab 5-6'!N37</f>
        <v>232446</v>
      </c>
      <c r="C287" s="2" t="s">
        <v>594</v>
      </c>
      <c r="D287" s="2" t="str">
        <f t="shared" si="3"/>
        <v>Error?</v>
      </c>
    </row>
    <row r="288" spans="1:4" x14ac:dyDescent="0.2">
      <c r="A288" s="5">
        <v>227</v>
      </c>
      <c r="B288" s="138">
        <f>'Assets-Liab 5-6'!N41</f>
        <v>232446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46588</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18669</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734505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81597</v>
      </c>
      <c r="D717" s="2" t="str">
        <f t="shared" si="10"/>
        <v>Error?</v>
      </c>
    </row>
    <row r="718" spans="1:4" x14ac:dyDescent="0.2">
      <c r="A718" s="5">
        <v>657</v>
      </c>
      <c r="B718" s="138">
        <f>'Expenditures 15-22'!C14</f>
        <v>24788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1191282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31123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34320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65443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22112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22112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83173</v>
      </c>
      <c r="D733" s="2" t="str">
        <f t="shared" si="10"/>
        <v>Error?</v>
      </c>
    </row>
    <row r="734" spans="1:4" x14ac:dyDescent="0.2">
      <c r="A734" s="5">
        <v>673</v>
      </c>
      <c r="B734" s="138">
        <f>'Expenditures 15-22'!C53</f>
        <v>83173</v>
      </c>
      <c r="C734" s="2" t="s">
        <v>594</v>
      </c>
      <c r="D734" s="2" t="str">
        <f t="shared" si="10"/>
        <v>Error?</v>
      </c>
    </row>
    <row r="735" spans="1:4" x14ac:dyDescent="0.2">
      <c r="A735" s="5">
        <v>674</v>
      </c>
      <c r="B735" s="138">
        <f>'Expenditures 15-22'!C55</f>
        <v>122043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122043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37592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67229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104821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397592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1588874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153052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16694</v>
      </c>
      <c r="D775" s="2" t="str">
        <f t="shared" si="11"/>
        <v>Error?</v>
      </c>
    </row>
    <row r="776" spans="1:4" x14ac:dyDescent="0.2">
      <c r="A776" s="5">
        <v>715</v>
      </c>
      <c r="B776" s="138">
        <f>'Expenditures 15-22'!D14</f>
        <v>4577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241481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3953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4390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8343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45141</v>
      </c>
      <c r="D791" s="2" t="str">
        <f t="shared" si="11"/>
        <v>Error?</v>
      </c>
    </row>
    <row r="792" spans="1:4" x14ac:dyDescent="0.2">
      <c r="A792" s="5">
        <v>731</v>
      </c>
      <c r="B792" s="138">
        <f>'Expenditures 15-22'!D53</f>
        <v>45141</v>
      </c>
      <c r="C792" s="2" t="s">
        <v>594</v>
      </c>
      <c r="D792" s="2" t="str">
        <f t="shared" si="11"/>
        <v>Error?</v>
      </c>
    </row>
    <row r="793" spans="1:4" x14ac:dyDescent="0.2">
      <c r="A793" s="5">
        <v>732</v>
      </c>
      <c r="B793" s="138">
        <f>'Expenditures 15-22'!D55</f>
        <v>20349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20349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6084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79961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321442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45530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988</v>
      </c>
      <c r="D833" s="2" t="str">
        <f t="shared" si="12"/>
        <v>Error?</v>
      </c>
    </row>
    <row r="834" spans="1:4" x14ac:dyDescent="0.2">
      <c r="A834" s="5">
        <v>773</v>
      </c>
      <c r="B834" s="138">
        <f>'Expenditures 15-22'!E14</f>
        <v>11631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70107</v>
      </c>
      <c r="C836" s="2" t="s">
        <v>594</v>
      </c>
      <c r="D836" s="2" t="str">
        <f t="shared" si="12"/>
        <v>Error?</v>
      </c>
    </row>
    <row r="837" spans="1:4" x14ac:dyDescent="0.2">
      <c r="A837" s="5">
        <v>776</v>
      </c>
      <c r="B837" s="138">
        <f>'Expenditures 15-22'!E36</f>
        <v>28691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28756</v>
      </c>
      <c r="C843" s="2" t="s">
        <v>594</v>
      </c>
      <c r="D843" s="2" t="str">
        <f t="shared" si="12"/>
        <v>Error?</v>
      </c>
    </row>
    <row r="844" spans="1:4" x14ac:dyDescent="0.2">
      <c r="A844" s="5">
        <v>783</v>
      </c>
      <c r="B844" s="138">
        <f>'Expenditures 15-22'!E44</f>
        <v>9259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159</v>
      </c>
      <c r="D846" s="2" t="str">
        <f t="shared" si="12"/>
        <v>Error?</v>
      </c>
    </row>
    <row r="847" spans="1:4" x14ac:dyDescent="0.2">
      <c r="A847" s="5">
        <v>786</v>
      </c>
      <c r="B847" s="138">
        <f>'Expenditures 15-22'!E47</f>
        <v>9418</v>
      </c>
      <c r="C847" s="2" t="s">
        <v>594</v>
      </c>
      <c r="D847" s="2" t="str">
        <f t="shared" si="12"/>
        <v>Error?</v>
      </c>
    </row>
    <row r="848" spans="1:4" x14ac:dyDescent="0.2">
      <c r="A848" s="5">
        <v>787</v>
      </c>
      <c r="B848" s="138">
        <f>'Expenditures 15-22'!E49</f>
        <v>25575</v>
      </c>
      <c r="D848" s="2" t="str">
        <f t="shared" si="12"/>
        <v>Error?</v>
      </c>
    </row>
    <row r="849" spans="1:4" x14ac:dyDescent="0.2">
      <c r="A849" s="5">
        <v>788</v>
      </c>
      <c r="B849" s="138">
        <f>'Expenditures 15-22'!E50</f>
        <v>611</v>
      </c>
      <c r="D849" s="2" t="str">
        <f t="shared" si="12"/>
        <v>Error?</v>
      </c>
    </row>
    <row r="850" spans="1:4" x14ac:dyDescent="0.2">
      <c r="A850" s="5">
        <v>789</v>
      </c>
      <c r="B850" s="138">
        <f>'Expenditures 15-22'!E53</f>
        <v>26186</v>
      </c>
      <c r="C850" s="2" t="s">
        <v>594</v>
      </c>
      <c r="D850" s="2" t="str">
        <f t="shared" si="12"/>
        <v>Error?</v>
      </c>
    </row>
    <row r="851" spans="1:4" x14ac:dyDescent="0.2">
      <c r="A851" s="5">
        <v>790</v>
      </c>
      <c r="B851" s="138">
        <f>'Expenditures 15-22'!E55</f>
        <v>3405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3405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5335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1420</v>
      </c>
      <c r="D857" s="2" t="str">
        <f t="shared" si="12"/>
        <v>Error?</v>
      </c>
    </row>
    <row r="858" spans="1:4" x14ac:dyDescent="0.2">
      <c r="A858" s="5">
        <v>797</v>
      </c>
      <c r="B858" s="138">
        <f>'Expenditures 15-22'!E63</f>
        <v>787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7542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75307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183230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46815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2484</v>
      </c>
      <c r="D891" s="2" t="str">
        <f t="shared" si="12"/>
        <v>Error?</v>
      </c>
    </row>
    <row r="892" spans="1:4" x14ac:dyDescent="0.2">
      <c r="A892" s="5">
        <v>831</v>
      </c>
      <c r="B892" s="138">
        <f>'Expenditures 15-22'!F14</f>
        <v>3102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62573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449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461</v>
      </c>
      <c r="D903" s="2" t="str">
        <f t="shared" si="13"/>
        <v>Error?</v>
      </c>
    </row>
    <row r="904" spans="1:4" x14ac:dyDescent="0.2">
      <c r="A904" s="5">
        <v>843</v>
      </c>
      <c r="B904" s="138">
        <f>'Expenditures 15-22'!F46</f>
        <v>3000</v>
      </c>
      <c r="D904" s="2" t="str">
        <f t="shared" si="13"/>
        <v>Error?</v>
      </c>
    </row>
    <row r="905" spans="1:4" x14ac:dyDescent="0.2">
      <c r="A905" s="5">
        <v>844</v>
      </c>
      <c r="B905" s="138">
        <f>'Expenditures 15-22'!F47</f>
        <v>3461</v>
      </c>
      <c r="C905" s="2" t="s">
        <v>594</v>
      </c>
      <c r="D905" s="2" t="str">
        <f t="shared" si="13"/>
        <v>Error?</v>
      </c>
    </row>
    <row r="906" spans="1:4" x14ac:dyDescent="0.2">
      <c r="A906" s="5">
        <v>845</v>
      </c>
      <c r="B906" s="138">
        <f>'Expenditures 15-22'!F49</f>
        <v>10218</v>
      </c>
      <c r="D906" s="2" t="str">
        <f t="shared" si="13"/>
        <v>Error?</v>
      </c>
    </row>
    <row r="907" spans="1:4" x14ac:dyDescent="0.2">
      <c r="A907" s="5">
        <v>846</v>
      </c>
      <c r="B907" s="138">
        <f>'Expenditures 15-22'!F50</f>
        <v>2326</v>
      </c>
      <c r="D907" s="2" t="str">
        <f t="shared" si="13"/>
        <v>Error?</v>
      </c>
    </row>
    <row r="908" spans="1:4" x14ac:dyDescent="0.2">
      <c r="A908" s="5">
        <v>847</v>
      </c>
      <c r="B908" s="138">
        <f>'Expenditures 15-22'!F53</f>
        <v>12544</v>
      </c>
      <c r="C908" s="2" t="s">
        <v>594</v>
      </c>
      <c r="D908" s="2" t="str">
        <f t="shared" si="13"/>
        <v>Error?</v>
      </c>
    </row>
    <row r="909" spans="1:4" x14ac:dyDescent="0.2">
      <c r="A909" s="5">
        <v>848</v>
      </c>
      <c r="B909" s="138">
        <f>'Expenditures 15-22'!F55</f>
        <v>1023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1023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392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64763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65155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649</v>
      </c>
      <c r="D928" s="2" t="str">
        <f t="shared" si="13"/>
        <v>Error?</v>
      </c>
    </row>
    <row r="929" spans="1:4" x14ac:dyDescent="0.2">
      <c r="A929" s="5">
        <v>868</v>
      </c>
      <c r="B929" s="138">
        <f>'Expenditures 15-22'!F74</f>
        <v>83281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145854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95159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1300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121850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1500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1500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1558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1558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3058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124908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8073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8073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1075061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103063</v>
      </c>
      <c r="C1105" s="2" t="s">
        <v>594</v>
      </c>
      <c r="D1105" s="2" t="str">
        <f t="shared" si="16"/>
        <v>Error?</v>
      </c>
    </row>
    <row r="1106" spans="1:4" x14ac:dyDescent="0.2">
      <c r="A1106" s="5">
        <v>1045</v>
      </c>
      <c r="B1106" s="138">
        <f>'Expenditures 15-22'!K14</f>
        <v>44098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1687293</v>
      </c>
      <c r="C1108" s="2" t="s">
        <v>594</v>
      </c>
      <c r="D1108" s="2" t="str">
        <f t="shared" si="16"/>
        <v>Error?</v>
      </c>
    </row>
    <row r="1109" spans="1:4" x14ac:dyDescent="0.2">
      <c r="A1109" s="5">
        <v>1048</v>
      </c>
      <c r="B1109" s="138">
        <f>'Expenditures 15-22'!K36</f>
        <v>28691</v>
      </c>
      <c r="C1109" s="2" t="s">
        <v>594</v>
      </c>
      <c r="D1109" s="2" t="str">
        <f t="shared" si="16"/>
        <v>Error?</v>
      </c>
    </row>
    <row r="1110" spans="1:4" x14ac:dyDescent="0.2">
      <c r="A1110" s="5">
        <v>1049</v>
      </c>
      <c r="B1110" s="138">
        <f>'Expenditures 15-22'!K37</f>
        <v>35076</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39224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102991</v>
      </c>
      <c r="C1115" s="2" t="s">
        <v>594</v>
      </c>
      <c r="D1115" s="2" t="str">
        <f t="shared" si="16"/>
        <v>Error?</v>
      </c>
    </row>
    <row r="1116" spans="1:4" x14ac:dyDescent="0.2">
      <c r="A1116" s="5">
        <v>1055</v>
      </c>
      <c r="B1116" s="138">
        <f>'Expenditures 15-22'!K44</f>
        <v>9259</v>
      </c>
      <c r="C1116" s="2" t="s">
        <v>594</v>
      </c>
      <c r="D1116" s="2" t="str">
        <f t="shared" si="16"/>
        <v>Error?</v>
      </c>
    </row>
    <row r="1117" spans="1:4" x14ac:dyDescent="0.2">
      <c r="A1117" s="5">
        <v>1056</v>
      </c>
      <c r="B1117" s="138">
        <f>'Expenditures 15-22'!K45</f>
        <v>24097</v>
      </c>
      <c r="C1117" s="2" t="s">
        <v>594</v>
      </c>
      <c r="D1117" s="2" t="str">
        <f t="shared" si="16"/>
        <v>Error?</v>
      </c>
    </row>
    <row r="1118" spans="1:4" x14ac:dyDescent="0.2">
      <c r="A1118" s="5">
        <v>1057</v>
      </c>
      <c r="B1118" s="138">
        <f>'Expenditures 15-22'!K46</f>
        <v>3159</v>
      </c>
      <c r="C1118" s="2" t="s">
        <v>594</v>
      </c>
      <c r="D1118" s="2" t="str">
        <f t="shared" si="16"/>
        <v>Error?</v>
      </c>
    </row>
    <row r="1119" spans="1:4" x14ac:dyDescent="0.2">
      <c r="A1119" s="5">
        <v>1058</v>
      </c>
      <c r="B1119" s="138">
        <f>'Expenditures 15-22'!K47</f>
        <v>36515</v>
      </c>
      <c r="C1119" s="2" t="s">
        <v>594</v>
      </c>
      <c r="D1119" s="2" t="str">
        <f t="shared" si="16"/>
        <v>Error?</v>
      </c>
    </row>
    <row r="1120" spans="1:4" x14ac:dyDescent="0.2">
      <c r="A1120" s="5">
        <v>1059</v>
      </c>
      <c r="B1120" s="138">
        <f>'Expenditures 15-22'!K49</f>
        <v>35793</v>
      </c>
      <c r="C1120" s="2" t="s">
        <v>594</v>
      </c>
      <c r="D1120" s="2" t="str">
        <f t="shared" si="16"/>
        <v>Error?</v>
      </c>
    </row>
    <row r="1121" spans="1:4" x14ac:dyDescent="0.2">
      <c r="A1121" s="5">
        <v>1060</v>
      </c>
      <c r="B1121" s="138">
        <f>'Expenditures 15-22'!K50</f>
        <v>131251</v>
      </c>
      <c r="C1121" s="2" t="s">
        <v>594</v>
      </c>
      <c r="D1121" s="2" t="str">
        <f t="shared" si="16"/>
        <v>Error?</v>
      </c>
    </row>
    <row r="1122" spans="1:4" x14ac:dyDescent="0.2">
      <c r="A1122" s="5">
        <v>1061</v>
      </c>
      <c r="B1122" s="138">
        <f>'Expenditures 15-22'!K53</f>
        <v>167044</v>
      </c>
      <c r="C1122" s="2" t="s">
        <v>594</v>
      </c>
      <c r="D1122" s="2" t="str">
        <f t="shared" si="16"/>
        <v>Error?</v>
      </c>
    </row>
    <row r="1123" spans="1:4" x14ac:dyDescent="0.2">
      <c r="A1123" s="5">
        <v>1062</v>
      </c>
      <c r="B1123" s="138">
        <f>'Expenditures 15-22'!K55</f>
        <v>146820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146820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43339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1420</v>
      </c>
      <c r="C1129" s="2" t="s">
        <v>594</v>
      </c>
      <c r="D1129" s="2" t="str">
        <f t="shared" si="16"/>
        <v>Error?</v>
      </c>
    </row>
    <row r="1130" spans="1:4" x14ac:dyDescent="0.2">
      <c r="A1130" s="5">
        <v>1069</v>
      </c>
      <c r="B1130" s="138">
        <f>'Expenditures 15-22'!K63</f>
        <v>140421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185180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649</v>
      </c>
      <c r="C1142" s="2" t="s">
        <v>594</v>
      </c>
      <c r="D1142" s="2" t="str">
        <f t="shared" si="16"/>
        <v>Error?</v>
      </c>
    </row>
    <row r="1143" spans="1:4" x14ac:dyDescent="0.2">
      <c r="A1143" s="5">
        <v>1082</v>
      </c>
      <c r="B1143" s="138">
        <f>'Expenditures 15-22'!K74</f>
        <v>639199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45889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2372381</v>
      </c>
      <c r="C1152" s="2" t="s">
        <v>594</v>
      </c>
      <c r="D1152" s="2" t="str">
        <f t="shared" si="17"/>
        <v>Error?</v>
      </c>
    </row>
    <row r="1153" spans="1:4" x14ac:dyDescent="0.2">
      <c r="A1153" s="5">
        <v>1092</v>
      </c>
      <c r="B1153" s="138">
        <f>'Expenditures 15-22'!K115</f>
        <v>-143866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109917</v>
      </c>
      <c r="D1221" s="2" t="str">
        <f t="shared" si="18"/>
        <v>Error?</v>
      </c>
    </row>
    <row r="1222" spans="1:4" x14ac:dyDescent="0.2">
      <c r="A1222" s="10">
        <v>1161</v>
      </c>
      <c r="D1222" s="2" t="str">
        <f t="shared" si="18"/>
        <v>OK</v>
      </c>
    </row>
    <row r="1223" spans="1:4" x14ac:dyDescent="0.2">
      <c r="A1223" s="5">
        <v>1162</v>
      </c>
      <c r="B1223" s="138">
        <f>'Expenditures 15-22'!C127</f>
        <v>109917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109917</v>
      </c>
      <c r="C1225" s="2" t="s">
        <v>594</v>
      </c>
      <c r="D1225" s="2" t="str">
        <f t="shared" si="18"/>
        <v>Error?</v>
      </c>
    </row>
    <row r="1226" spans="1:4" x14ac:dyDescent="0.2">
      <c r="A1226" s="5">
        <v>1165</v>
      </c>
      <c r="B1226" s="138">
        <f>'Expenditures 15-22'!C151</f>
        <v>109917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17384</v>
      </c>
      <c r="D1229" s="2" t="str">
        <f t="shared" si="18"/>
        <v>Error?</v>
      </c>
    </row>
    <row r="1230" spans="1:4" x14ac:dyDescent="0.2">
      <c r="A1230" s="10">
        <v>1169</v>
      </c>
      <c r="D1230" s="2" t="str">
        <f t="shared" si="18"/>
        <v>OK</v>
      </c>
    </row>
    <row r="1231" spans="1:4" x14ac:dyDescent="0.2">
      <c r="A1231" s="5">
        <v>1170</v>
      </c>
      <c r="B1231" s="138">
        <f>'Expenditures 15-22'!D127</f>
        <v>17384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17384</v>
      </c>
      <c r="C1233" s="2" t="s">
        <v>594</v>
      </c>
      <c r="D1233" s="2" t="str">
        <f t="shared" si="18"/>
        <v>Error?</v>
      </c>
    </row>
    <row r="1234" spans="1:4" x14ac:dyDescent="0.2">
      <c r="A1234" s="5">
        <v>1173</v>
      </c>
      <c r="B1234" s="138">
        <f>'Expenditures 15-22'!D151</f>
        <v>17384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108156</v>
      </c>
      <c r="D1237" s="2" t="str">
        <f t="shared" si="18"/>
        <v>Error?</v>
      </c>
    </row>
    <row r="1238" spans="1:4" x14ac:dyDescent="0.2">
      <c r="A1238" s="10">
        <v>1177</v>
      </c>
      <c r="D1238" s="2" t="str">
        <f t="shared" si="18"/>
        <v>OK</v>
      </c>
    </row>
    <row r="1239" spans="1:4" x14ac:dyDescent="0.2">
      <c r="A1239" s="5">
        <v>1178</v>
      </c>
      <c r="B1239" s="138">
        <f>'Expenditures 15-22'!E127</f>
        <v>108156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108156</v>
      </c>
      <c r="C1241" s="2" t="s">
        <v>594</v>
      </c>
      <c r="D1241" s="2" t="str">
        <f t="shared" si="18"/>
        <v>Error?</v>
      </c>
    </row>
    <row r="1242" spans="1:4" x14ac:dyDescent="0.2">
      <c r="A1242" s="5">
        <v>1181</v>
      </c>
      <c r="B1242" s="138">
        <f>'Expenditures 15-22'!E151</f>
        <v>108156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33317</v>
      </c>
      <c r="D1245" s="2" t="str">
        <f t="shared" si="18"/>
        <v>Error?</v>
      </c>
    </row>
    <row r="1246" spans="1:4" x14ac:dyDescent="0.2">
      <c r="A1246" s="10">
        <v>1185</v>
      </c>
      <c r="D1246" s="2" t="str">
        <f t="shared" si="18"/>
        <v>OK</v>
      </c>
    </row>
    <row r="1247" spans="1:4" x14ac:dyDescent="0.2">
      <c r="A1247" s="5">
        <v>1186</v>
      </c>
      <c r="B1247" s="138">
        <f>'Expenditures 15-22'!F127</f>
        <v>33317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33317</v>
      </c>
      <c r="C1249" s="2" t="s">
        <v>594</v>
      </c>
      <c r="D1249" s="2" t="str">
        <f t="shared" si="18"/>
        <v>Error?</v>
      </c>
    </row>
    <row r="1250" spans="1:4" x14ac:dyDescent="0.2">
      <c r="A1250" s="5">
        <v>1189</v>
      </c>
      <c r="B1250" s="138">
        <f>'Expenditures 15-22'!F151</f>
        <v>33317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46989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46989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46989</v>
      </c>
      <c r="C1258" s="2" t="s">
        <v>594</v>
      </c>
      <c r="D1258" s="2" t="str">
        <f t="shared" si="18"/>
        <v>Error?</v>
      </c>
    </row>
    <row r="1259" spans="1:4" x14ac:dyDescent="0.2">
      <c r="A1259" s="5">
        <v>1198</v>
      </c>
      <c r="B1259" s="138">
        <f>'Expenditures 15-22'!G151</f>
        <v>46989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315763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315763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315763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315763</v>
      </c>
      <c r="C1288" s="2" t="s">
        <v>594</v>
      </c>
      <c r="D1288" s="2" t="str">
        <f t="shared" si="19"/>
        <v>Error?</v>
      </c>
    </row>
    <row r="1289" spans="1:4" x14ac:dyDescent="0.2">
      <c r="A1289" s="5">
        <v>1228</v>
      </c>
      <c r="B1289" s="138">
        <f>'Expenditures 15-22'!K152</f>
        <v>-27953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12644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161223</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174367</v>
      </c>
      <c r="C1317" s="2" t="s">
        <v>594</v>
      </c>
      <c r="D1317" s="2" t="str">
        <f t="shared" si="19"/>
        <v>Error?</v>
      </c>
    </row>
    <row r="1318" spans="1:4" x14ac:dyDescent="0.2">
      <c r="A1318" s="5">
        <v>1257</v>
      </c>
      <c r="B1318" s="138">
        <f>'Expenditures 15-22'!H174</f>
        <v>174367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12644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161223</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174367</v>
      </c>
      <c r="C1331" s="2" t="s">
        <v>594</v>
      </c>
      <c r="D1331" s="2" t="str">
        <f t="shared" si="19"/>
        <v>Error?</v>
      </c>
    </row>
    <row r="1332" spans="1:4" x14ac:dyDescent="0.2">
      <c r="A1332" s="5">
        <v>1271</v>
      </c>
      <c r="B1332" s="138">
        <f>'Expenditures 15-22'!K174</f>
        <v>174367</v>
      </c>
      <c r="C1332" s="2" t="s">
        <v>594</v>
      </c>
      <c r="D1332" s="2" t="str">
        <f t="shared" si="19"/>
        <v>Error?</v>
      </c>
    </row>
    <row r="1333" spans="1:4" x14ac:dyDescent="0.2">
      <c r="A1333" s="5">
        <v>1272</v>
      </c>
      <c r="B1333" s="138">
        <f>'Expenditures 15-22'!K175</f>
        <v>16682</v>
      </c>
      <c r="C1333" s="2" t="s">
        <v>594</v>
      </c>
      <c r="D1333" s="2" t="str">
        <f t="shared" si="19"/>
        <v>Error?</v>
      </c>
    </row>
    <row r="1334" spans="1:4" x14ac:dyDescent="0.2">
      <c r="A1334" s="10">
        <v>1273</v>
      </c>
      <c r="D1334" s="2" t="str">
        <f t="shared" si="19"/>
        <v>OK</v>
      </c>
    </row>
    <row r="1335" spans="1:4" x14ac:dyDescent="0.2">
      <c r="A1335" s="5">
        <v>1274</v>
      </c>
      <c r="B1335" s="138">
        <f>'Expenditures 15-22'!C182</f>
        <v>79716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79716</v>
      </c>
      <c r="C1339" s="2" t="s">
        <v>594</v>
      </c>
      <c r="D1339" s="2" t="str">
        <f t="shared" si="19"/>
        <v>Error?</v>
      </c>
    </row>
    <row r="1340" spans="1:4" x14ac:dyDescent="0.2">
      <c r="A1340" s="5">
        <v>1279</v>
      </c>
      <c r="B1340" s="138">
        <f>'Expenditures 15-22'!C210</f>
        <v>79716</v>
      </c>
      <c r="C1340" s="2" t="s">
        <v>594</v>
      </c>
      <c r="D1340" s="2" t="str">
        <f t="shared" si="19"/>
        <v>Error?</v>
      </c>
    </row>
    <row r="1341" spans="1:4" x14ac:dyDescent="0.2">
      <c r="A1341" s="5">
        <v>1280</v>
      </c>
      <c r="B1341" s="138">
        <f>'Expenditures 15-22'!D182</f>
        <v>6130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6130</v>
      </c>
      <c r="C1345" s="2" t="s">
        <v>594</v>
      </c>
      <c r="D1345" s="2" t="str">
        <f t="shared" si="20"/>
        <v>Error?</v>
      </c>
    </row>
    <row r="1346" spans="1:4" x14ac:dyDescent="0.2">
      <c r="A1346" s="5">
        <v>1285</v>
      </c>
      <c r="B1346" s="138">
        <f>'Expenditures 15-22'!D210</f>
        <v>6130</v>
      </c>
      <c r="C1346" s="2" t="s">
        <v>594</v>
      </c>
      <c r="D1346" s="2" t="str">
        <f t="shared" si="20"/>
        <v>Error?</v>
      </c>
    </row>
    <row r="1347" spans="1:4" x14ac:dyDescent="0.2">
      <c r="A1347" s="5">
        <v>1286</v>
      </c>
      <c r="B1347" s="138">
        <f>'Expenditures 15-22'!E182</f>
        <v>44363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44363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44363</v>
      </c>
      <c r="C1353" s="2" t="s">
        <v>594</v>
      </c>
      <c r="D1353" s="2" t="str">
        <f t="shared" si="20"/>
        <v>Error?</v>
      </c>
    </row>
    <row r="1354" spans="1:4" x14ac:dyDescent="0.2">
      <c r="A1354" s="5">
        <v>1293</v>
      </c>
      <c r="B1354" s="138">
        <f>'Expenditures 15-22'!F182</f>
        <v>18240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18240</v>
      </c>
      <c r="C1358" s="2" t="s">
        <v>594</v>
      </c>
      <c r="D1358" s="2" t="str">
        <f t="shared" si="20"/>
        <v>Error?</v>
      </c>
    </row>
    <row r="1359" spans="1:4" x14ac:dyDescent="0.2">
      <c r="A1359" s="5">
        <v>1298</v>
      </c>
      <c r="B1359" s="138">
        <f>'Expenditures 15-22'!F210</f>
        <v>18240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25775</v>
      </c>
      <c r="C1376" s="2" t="s">
        <v>594</v>
      </c>
      <c r="D1376" s="2" t="str">
        <f t="shared" si="20"/>
        <v>Error?</v>
      </c>
    </row>
    <row r="1377" spans="1:4" x14ac:dyDescent="0.2">
      <c r="A1377" s="5">
        <v>1316</v>
      </c>
      <c r="B1377" s="138">
        <f>'Expenditures 15-22'!K182</f>
        <v>148449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148449</v>
      </c>
      <c r="C1381" s="2" t="s">
        <v>594</v>
      </c>
      <c r="D1381" s="2" t="str">
        <f t="shared" si="20"/>
        <v>Error?</v>
      </c>
    </row>
    <row r="1382" spans="1:4" x14ac:dyDescent="0.2">
      <c r="A1382" s="5">
        <v>1321</v>
      </c>
      <c r="B1382" s="138">
        <f>'Expenditures 15-22'!K196</f>
        <v>25775</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174224</v>
      </c>
      <c r="C1388" s="2" t="s">
        <v>594</v>
      </c>
      <c r="D1388" s="2" t="str">
        <f t="shared" si="20"/>
        <v>Error?</v>
      </c>
    </row>
    <row r="1389" spans="1:4" x14ac:dyDescent="0.2">
      <c r="A1389" s="5">
        <v>1328</v>
      </c>
      <c r="B1389" s="138">
        <f>'Expenditures 15-22'!K211</f>
        <v>5107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1167</v>
      </c>
      <c r="D1407" s="2" t="str">
        <f t="shared" ref="D1407:D1470" si="21">IF(ISBLANK(B1407),"OK",IF(A1407-B1407=0,"OK","Error?"))</f>
        <v>Error?</v>
      </c>
    </row>
    <row r="1408" spans="1:4" x14ac:dyDescent="0.2">
      <c r="A1408" s="5">
        <v>1347</v>
      </c>
      <c r="B1408" s="138">
        <f>'Expenditures 15-22'!D223</f>
        <v>665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37807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409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498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907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3739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3739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1146</v>
      </c>
      <c r="D1423" s="2" t="str">
        <f t="shared" si="21"/>
        <v>Error?</v>
      </c>
    </row>
    <row r="1424" spans="1:4" x14ac:dyDescent="0.2">
      <c r="A1424" s="5">
        <v>1363</v>
      </c>
      <c r="B1424" s="138">
        <f>'Expenditures 15-22'!D257</f>
        <v>10771</v>
      </c>
      <c r="C1424" s="2" t="s">
        <v>594</v>
      </c>
      <c r="D1424" s="2" t="str">
        <f t="shared" si="21"/>
        <v>Error?</v>
      </c>
    </row>
    <row r="1425" spans="1:4" x14ac:dyDescent="0.2">
      <c r="A1425" s="5">
        <v>1364</v>
      </c>
      <c r="B1425" s="138">
        <f>'Expenditures 15-22'!D259</f>
        <v>9199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9199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17977</v>
      </c>
      <c r="D1431" s="2" t="str">
        <f t="shared" si="21"/>
        <v>Error?</v>
      </c>
    </row>
    <row r="1432" spans="1:4" x14ac:dyDescent="0.2">
      <c r="A1432" s="5">
        <v>1371</v>
      </c>
      <c r="B1432" s="138">
        <f>'Expenditures 15-22'!D267</f>
        <v>12164</v>
      </c>
      <c r="D1432" s="2" t="str">
        <f t="shared" si="21"/>
        <v>Error?</v>
      </c>
    </row>
    <row r="1433" spans="1:4" x14ac:dyDescent="0.2">
      <c r="A1433" s="5">
        <v>1372</v>
      </c>
      <c r="B1433" s="138">
        <f>'Expenditures 15-22'!D268</f>
        <v>10928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47529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72145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109952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1167</v>
      </c>
      <c r="C1471" s="2" t="s">
        <v>594</v>
      </c>
      <c r="D1471" s="2" t="str">
        <f t="shared" ref="D1471:D1534" si="22">IF(ISBLANK(B1471),"OK",IF(A1471-B1471=0,"OK","Error?"))</f>
        <v>Error?</v>
      </c>
    </row>
    <row r="1472" spans="1:4" x14ac:dyDescent="0.2">
      <c r="A1472" s="5">
        <v>1411</v>
      </c>
      <c r="B1472" s="138">
        <f>'Expenditures 15-22'!K223</f>
        <v>665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37807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409</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498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907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3739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3739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1146</v>
      </c>
      <c r="C1487" s="2" t="s">
        <v>594</v>
      </c>
      <c r="D1487" s="2" t="str">
        <f t="shared" si="22"/>
        <v>Error?</v>
      </c>
    </row>
    <row r="1488" spans="1:4" x14ac:dyDescent="0.2">
      <c r="A1488" s="5">
        <v>1427</v>
      </c>
      <c r="B1488" s="138">
        <f>'Expenditures 15-22'!K257</f>
        <v>10771</v>
      </c>
      <c r="C1488" s="2" t="s">
        <v>594</v>
      </c>
      <c r="D1488" s="2" t="str">
        <f t="shared" si="22"/>
        <v>Error?</v>
      </c>
    </row>
    <row r="1489" spans="1:4" x14ac:dyDescent="0.2">
      <c r="A1489" s="5">
        <v>1428</v>
      </c>
      <c r="B1489" s="138">
        <f>'Expenditures 15-22'!K259</f>
        <v>9199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9199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6460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17977</v>
      </c>
      <c r="C1495" s="2" t="s">
        <v>594</v>
      </c>
      <c r="D1495" s="2" t="str">
        <f t="shared" si="22"/>
        <v>Error?</v>
      </c>
    </row>
    <row r="1496" spans="1:4" x14ac:dyDescent="0.2">
      <c r="A1496" s="5">
        <v>1435</v>
      </c>
      <c r="B1496" s="138">
        <f>'Expenditures 15-22'!K267</f>
        <v>12164</v>
      </c>
      <c r="C1496" s="2" t="s">
        <v>594</v>
      </c>
      <c r="D1496" s="2" t="str">
        <f t="shared" si="22"/>
        <v>Error?</v>
      </c>
    </row>
    <row r="1497" spans="1:4" x14ac:dyDescent="0.2">
      <c r="A1497" s="5">
        <v>1436</v>
      </c>
      <c r="B1497" s="138">
        <f>'Expenditures 15-22'!K268</f>
        <v>10928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47529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72145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109952</v>
      </c>
      <c r="C1517" s="2" t="s">
        <v>594</v>
      </c>
      <c r="D1517" s="2" t="str">
        <f t="shared" si="22"/>
        <v>Error?</v>
      </c>
    </row>
    <row r="1518" spans="1:4" x14ac:dyDescent="0.2">
      <c r="A1518" s="5">
        <v>1457</v>
      </c>
      <c r="B1518" s="138">
        <f>'Expenditures 15-22'!K296</f>
        <v>23528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8999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8999</v>
      </c>
      <c r="C1547" s="2" t="s">
        <v>594</v>
      </c>
      <c r="D1547" s="2" t="str">
        <f t="shared" si="23"/>
        <v>Error?</v>
      </c>
    </row>
    <row r="1548" spans="1:4" x14ac:dyDescent="0.2">
      <c r="A1548" s="5">
        <v>1487</v>
      </c>
      <c r="B1548" s="138">
        <f>'Expenditures 15-22'!G312</f>
        <v>8999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8999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8999</v>
      </c>
      <c r="C1559" s="2" t="s">
        <v>594</v>
      </c>
      <c r="D1559" s="2" t="str">
        <f t="shared" si="23"/>
        <v>Error?</v>
      </c>
    </row>
    <row r="1560" spans="1:4" x14ac:dyDescent="0.2">
      <c r="A1560" s="5">
        <v>1499</v>
      </c>
      <c r="B1560" s="138">
        <f>'Expenditures 15-22'!K312</f>
        <v>8999</v>
      </c>
      <c r="C1560" s="2" t="s">
        <v>594</v>
      </c>
      <c r="D1560" s="2" t="str">
        <f t="shared" si="23"/>
        <v>Error?</v>
      </c>
    </row>
    <row r="1561" spans="1:4" x14ac:dyDescent="0.2">
      <c r="A1561" s="5">
        <v>1500</v>
      </c>
      <c r="B1561" s="138">
        <f>'Expenditures 15-22'!K313</f>
        <v>111255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687892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603060</v>
      </c>
      <c r="C1630" s="2" t="s">
        <v>594</v>
      </c>
      <c r="D1630" s="2" t="str">
        <f t="shared" si="24"/>
        <v>Error?</v>
      </c>
    </row>
    <row r="1631" spans="1:4" x14ac:dyDescent="0.2">
      <c r="A1631" s="5">
        <v>1570</v>
      </c>
      <c r="B1631" s="138">
        <f>'Acct Summary 7-8'!D79</f>
        <v>75650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87697</v>
      </c>
      <c r="C1644" s="2" t="s">
        <v>594</v>
      </c>
      <c r="D1644" s="2" t="str">
        <f t="shared" si="24"/>
        <v>Error?</v>
      </c>
    </row>
    <row r="1645" spans="1:4" x14ac:dyDescent="0.2">
      <c r="A1645" s="5">
        <v>1584</v>
      </c>
      <c r="B1645" s="138">
        <f>'Acct Summary 7-8'!E79</f>
        <v>117684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140589</v>
      </c>
      <c r="C1658" s="2" t="s">
        <v>594</v>
      </c>
      <c r="D1658" s="2" t="str">
        <f t="shared" si="24"/>
        <v>Error?</v>
      </c>
    </row>
    <row r="1659" spans="1:4" x14ac:dyDescent="0.2">
      <c r="A1659" s="5">
        <v>1598</v>
      </c>
      <c r="B1659" s="138">
        <f>'Acct Summary 7-8'!F79</f>
        <v>244696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258803</v>
      </c>
      <c r="C1672" s="2" t="s">
        <v>594</v>
      </c>
      <c r="D1672" s="2" t="str">
        <f t="shared" si="25"/>
        <v>Error?</v>
      </c>
    </row>
    <row r="1673" spans="1:4" x14ac:dyDescent="0.2">
      <c r="A1673" s="5">
        <v>1612</v>
      </c>
      <c r="B1673" s="138">
        <f>'Acct Summary 7-8'!G79</f>
        <v>287759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311287</v>
      </c>
      <c r="C1686" s="2" t="s">
        <v>594</v>
      </c>
      <c r="D1686" s="2" t="str">
        <f t="shared" si="25"/>
        <v>Error?</v>
      </c>
    </row>
    <row r="1687" spans="1:4" x14ac:dyDescent="0.2">
      <c r="A1687" s="5">
        <v>1626</v>
      </c>
      <c r="B1687" s="138">
        <f>'Acct Summary 7-8'!H79</f>
        <v>5343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86598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805563</v>
      </c>
      <c r="C1744" s="2" t="s">
        <v>594</v>
      </c>
      <c r="D1744" s="2" t="str">
        <f t="shared" si="26"/>
        <v>Error?</v>
      </c>
    </row>
    <row r="1745" spans="1:5" x14ac:dyDescent="0.2">
      <c r="A1745" s="5">
        <v>1684</v>
      </c>
      <c r="B1745" s="138">
        <f>'Tax Sched 23'!B5</f>
        <v>149593</v>
      </c>
      <c r="C1745" s="2" t="s">
        <v>594</v>
      </c>
      <c r="D1745" s="2" t="str">
        <f t="shared" si="26"/>
        <v>Error?</v>
      </c>
    </row>
    <row r="1746" spans="1:5" x14ac:dyDescent="0.2">
      <c r="A1746" s="5">
        <v>1685</v>
      </c>
      <c r="B1746" s="138">
        <f>'Tax Sched 23'!B6</f>
        <v>180399</v>
      </c>
      <c r="C1746" s="2" t="s">
        <v>594</v>
      </c>
      <c r="D1746" s="2" t="str">
        <f t="shared" si="26"/>
        <v>Error?</v>
      </c>
    </row>
    <row r="1747" spans="1:5" x14ac:dyDescent="0.2">
      <c r="A1747" s="5">
        <v>1686</v>
      </c>
      <c r="B1747" s="138">
        <f>'Tax Sched 23'!B7</f>
        <v>58596</v>
      </c>
      <c r="C1747" s="2" t="s">
        <v>594</v>
      </c>
      <c r="D1747" s="2" t="str">
        <f t="shared" si="26"/>
        <v>Error?</v>
      </c>
    </row>
    <row r="1748" spans="1:5" x14ac:dyDescent="0.2">
      <c r="A1748" s="5">
        <v>1687</v>
      </c>
      <c r="B1748" s="138">
        <f>'Tax Sched 23'!B8</f>
        <v>51843</v>
      </c>
      <c r="C1748" s="2" t="s">
        <v>594</v>
      </c>
      <c r="D1748" s="2" t="str">
        <f t="shared" si="26"/>
        <v>Error?</v>
      </c>
    </row>
    <row r="1749" spans="1:5" x14ac:dyDescent="0.2">
      <c r="A1749" s="5">
        <v>1688</v>
      </c>
      <c r="B1749" s="138">
        <f>'Tax Sched 23'!B10</f>
        <v>14636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295137</v>
      </c>
      <c r="C1752" s="2" t="s">
        <v>594</v>
      </c>
      <c r="D1752" s="2" t="str">
        <f t="shared" si="26"/>
        <v>Error?</v>
      </c>
    </row>
    <row r="1753" spans="1:5" x14ac:dyDescent="0.2">
      <c r="A1753" s="5">
        <v>1692</v>
      </c>
      <c r="B1753" s="138">
        <f>'Tax Sched 23'!B12</f>
        <v>14637</v>
      </c>
      <c r="C1753" s="2" t="s">
        <v>594</v>
      </c>
      <c r="D1753" s="2" t="str">
        <f t="shared" si="26"/>
        <v>Error?</v>
      </c>
    </row>
    <row r="1754" spans="1:5" x14ac:dyDescent="0.2">
      <c r="A1754" s="5">
        <v>1693</v>
      </c>
      <c r="B1754" s="138">
        <f>'Tax Sched 23'!B14</f>
        <v>11712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1662640</v>
      </c>
      <c r="C1759" s="2" t="s">
        <v>594</v>
      </c>
      <c r="D1759" s="2" t="str">
        <f t="shared" si="26"/>
        <v>Error?</v>
      </c>
    </row>
    <row r="1760" spans="1:5" x14ac:dyDescent="0.2">
      <c r="A1760" s="5">
        <v>1699</v>
      </c>
      <c r="B1760" s="138">
        <f>'Tax Sched 23'!D4</f>
        <v>805563</v>
      </c>
      <c r="C1760" s="2" t="s">
        <v>594</v>
      </c>
      <c r="D1760" s="2" t="str">
        <f t="shared" si="26"/>
        <v>Error?</v>
      </c>
    </row>
    <row r="1761" spans="1:5" x14ac:dyDescent="0.2">
      <c r="A1761" s="5">
        <v>1700</v>
      </c>
      <c r="B1761" s="138">
        <f>'Tax Sched 23'!D5</f>
        <v>149593</v>
      </c>
      <c r="C1761" s="2" t="s">
        <v>594</v>
      </c>
      <c r="D1761" s="2" t="str">
        <f t="shared" si="26"/>
        <v>Error?</v>
      </c>
    </row>
    <row r="1762" spans="1:5" s="8" customFormat="1" x14ac:dyDescent="0.2">
      <c r="A1762" s="5">
        <v>1701</v>
      </c>
      <c r="B1762" s="138">
        <f>'Tax Sched 23'!D6</f>
        <v>180399</v>
      </c>
      <c r="C1762" s="2" t="s">
        <v>594</v>
      </c>
      <c r="D1762" s="2" t="str">
        <f t="shared" si="26"/>
        <v>Error?</v>
      </c>
      <c r="E1762" s="9"/>
    </row>
    <row r="1763" spans="1:5" x14ac:dyDescent="0.2">
      <c r="A1763" s="5">
        <v>1702</v>
      </c>
      <c r="B1763" s="138">
        <f>'Tax Sched 23'!D7</f>
        <v>58596</v>
      </c>
      <c r="C1763" s="2" t="s">
        <v>594</v>
      </c>
      <c r="D1763" s="2" t="str">
        <f t="shared" si="26"/>
        <v>Error?</v>
      </c>
    </row>
    <row r="1764" spans="1:5" x14ac:dyDescent="0.2">
      <c r="A1764" s="5">
        <v>1703</v>
      </c>
      <c r="B1764" s="138">
        <f>'Tax Sched 23'!D8</f>
        <v>51843</v>
      </c>
      <c r="C1764" s="2" t="s">
        <v>594</v>
      </c>
      <c r="D1764" s="2" t="str">
        <f t="shared" si="26"/>
        <v>Error?</v>
      </c>
    </row>
    <row r="1765" spans="1:5" x14ac:dyDescent="0.2">
      <c r="A1765" s="5">
        <v>1704</v>
      </c>
      <c r="B1765" s="138">
        <f>'Tax Sched 23'!D10</f>
        <v>14636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295137</v>
      </c>
      <c r="C1768" s="2" t="s">
        <v>594</v>
      </c>
      <c r="D1768" s="2" t="str">
        <f t="shared" si="26"/>
        <v>Error?</v>
      </c>
    </row>
    <row r="1769" spans="1:5" x14ac:dyDescent="0.2">
      <c r="A1769" s="5">
        <v>1708</v>
      </c>
      <c r="B1769" s="138">
        <f>'Tax Sched 23'!D12</f>
        <v>14637</v>
      </c>
      <c r="C1769" s="2" t="s">
        <v>594</v>
      </c>
      <c r="D1769" s="2" t="str">
        <f t="shared" si="26"/>
        <v>Error?</v>
      </c>
    </row>
    <row r="1770" spans="1:5" x14ac:dyDescent="0.2">
      <c r="A1770" s="5">
        <v>1709</v>
      </c>
      <c r="B1770" s="138">
        <f>'Tax Sched 23'!D14</f>
        <v>11712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1662640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738667</v>
      </c>
      <c r="C1792" s="2" t="s">
        <v>594</v>
      </c>
      <c r="D1792" s="2" t="str">
        <f t="shared" si="27"/>
        <v>Error?</v>
      </c>
    </row>
    <row r="1793" spans="1:4" x14ac:dyDescent="0.2">
      <c r="A1793" s="5">
        <v>1732</v>
      </c>
      <c r="B1793" s="138">
        <f>'Tax Sched 23'!F5</f>
        <v>134303</v>
      </c>
      <c r="C1793" s="2" t="s">
        <v>594</v>
      </c>
      <c r="D1793" s="2" t="str">
        <f t="shared" si="27"/>
        <v>Error?</v>
      </c>
    </row>
    <row r="1794" spans="1:4" x14ac:dyDescent="0.2">
      <c r="A1794" s="5">
        <v>1733</v>
      </c>
      <c r="B1794" s="138">
        <f>'Tax Sched 23'!F6</f>
        <v>165950</v>
      </c>
      <c r="C1794" s="2" t="s">
        <v>594</v>
      </c>
      <c r="D1794" s="2" t="str">
        <f t="shared" si="27"/>
        <v>Error?</v>
      </c>
    </row>
    <row r="1795" spans="1:4" x14ac:dyDescent="0.2">
      <c r="A1795" s="5">
        <v>1734</v>
      </c>
      <c r="B1795" s="138">
        <f>'Tax Sched 23'!F7</f>
        <v>53721</v>
      </c>
      <c r="C1795" s="2" t="s">
        <v>594</v>
      </c>
      <c r="D1795" s="2" t="str">
        <f t="shared" si="27"/>
        <v>Error?</v>
      </c>
    </row>
    <row r="1796" spans="1:4" x14ac:dyDescent="0.2">
      <c r="A1796" s="5">
        <v>1735</v>
      </c>
      <c r="B1796" s="138">
        <f>'Tax Sched 23'!F8</f>
        <v>45002</v>
      </c>
      <c r="C1796" s="2" t="s">
        <v>594</v>
      </c>
      <c r="D1796" s="2" t="str">
        <f t="shared" si="27"/>
        <v>Error?</v>
      </c>
    </row>
    <row r="1797" spans="1:4" x14ac:dyDescent="0.2">
      <c r="A1797" s="5">
        <v>1736</v>
      </c>
      <c r="B1797" s="138">
        <f>'Tax Sched 23'!F10</f>
        <v>13431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273250</v>
      </c>
      <c r="C1800" s="2" t="s">
        <v>594</v>
      </c>
      <c r="D1800" s="2" t="str">
        <f t="shared" si="27"/>
        <v>Error?</v>
      </c>
    </row>
    <row r="1801" spans="1:4" x14ac:dyDescent="0.2">
      <c r="A1801" s="5">
        <v>1740</v>
      </c>
      <c r="B1801" s="138">
        <f>'Tax Sched 23'!F12</f>
        <v>13431</v>
      </c>
      <c r="C1801" s="2" t="s">
        <v>594</v>
      </c>
      <c r="D1801" s="2" t="str">
        <f t="shared" si="27"/>
        <v>Error?</v>
      </c>
    </row>
    <row r="1802" spans="1:4" x14ac:dyDescent="0.2">
      <c r="A1802" s="5">
        <v>1741</v>
      </c>
      <c r="B1802" s="138">
        <f>'Tax Sched 23'!F14</f>
        <v>10744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1522930</v>
      </c>
      <c r="C1807" s="2" t="s">
        <v>594</v>
      </c>
      <c r="D1807" s="2" t="str">
        <f t="shared" si="27"/>
        <v>Error?</v>
      </c>
    </row>
    <row r="1808" spans="1:4" x14ac:dyDescent="0.2">
      <c r="A1808" s="5">
        <v>1747</v>
      </c>
      <c r="B1808" s="138">
        <f>'Tax Sched 23'!E4</f>
        <v>738667</v>
      </c>
      <c r="D1808" s="2" t="str">
        <f t="shared" si="27"/>
        <v>Error?</v>
      </c>
    </row>
    <row r="1809" spans="1:4" x14ac:dyDescent="0.2">
      <c r="A1809" s="5">
        <v>1748</v>
      </c>
      <c r="B1809" s="138">
        <f>'Tax Sched 23'!E5</f>
        <v>134303</v>
      </c>
      <c r="D1809" s="2" t="str">
        <f t="shared" si="27"/>
        <v>Error?</v>
      </c>
    </row>
    <row r="1810" spans="1:4" x14ac:dyDescent="0.2">
      <c r="A1810" s="5">
        <v>1749</v>
      </c>
      <c r="B1810" s="138">
        <f>'Tax Sched 23'!E6</f>
        <v>165950</v>
      </c>
      <c r="D1810" s="2" t="str">
        <f t="shared" si="27"/>
        <v>Error?</v>
      </c>
    </row>
    <row r="1811" spans="1:4" x14ac:dyDescent="0.2">
      <c r="A1811" s="5">
        <v>1750</v>
      </c>
      <c r="B1811" s="138">
        <f>'Tax Sched 23'!E7</f>
        <v>53721</v>
      </c>
      <c r="D1811" s="2" t="str">
        <f t="shared" si="27"/>
        <v>Error?</v>
      </c>
    </row>
    <row r="1812" spans="1:4" x14ac:dyDescent="0.2">
      <c r="A1812" s="5">
        <v>1751</v>
      </c>
      <c r="B1812" s="138">
        <f>'Tax Sched 23'!E8</f>
        <v>45002</v>
      </c>
      <c r="D1812" s="2" t="str">
        <f t="shared" si="27"/>
        <v>Error?</v>
      </c>
    </row>
    <row r="1813" spans="1:4" x14ac:dyDescent="0.2">
      <c r="A1813" s="5">
        <v>1752</v>
      </c>
      <c r="B1813" s="138">
        <f>'Tax Sched 23'!E10</f>
        <v>13431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273250</v>
      </c>
      <c r="D1816" s="2" t="str">
        <f t="shared" si="27"/>
        <v>Error?</v>
      </c>
    </row>
    <row r="1817" spans="1:4" x14ac:dyDescent="0.2">
      <c r="A1817" s="5">
        <v>1756</v>
      </c>
      <c r="B1817" s="138">
        <f>'Tax Sched 23'!E12</f>
        <v>13431</v>
      </c>
      <c r="D1817" s="2" t="str">
        <f t="shared" si="27"/>
        <v>Error?</v>
      </c>
    </row>
    <row r="1818" spans="1:4" x14ac:dyDescent="0.2">
      <c r="A1818" s="5">
        <v>1757</v>
      </c>
      <c r="B1818" s="138">
        <f>'Tax Sched 23'!E14</f>
        <v>10744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1522930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375000</v>
      </c>
      <c r="C1939" s="2" t="s">
        <v>594</v>
      </c>
      <c r="D1939" s="2" t="str">
        <f t="shared" si="29"/>
        <v>Error?</v>
      </c>
    </row>
    <row r="1940" spans="1:5" x14ac:dyDescent="0.2">
      <c r="A1940" s="5">
        <v>1879</v>
      </c>
      <c r="B1940" s="138">
        <f>'Short-Term Long-Term Debt 24'!F49</f>
        <v>18669</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11712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11712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11712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4500</v>
      </c>
      <c r="D2008" s="2" t="str">
        <f t="shared" si="30"/>
        <v>Error?</v>
      </c>
    </row>
    <row r="2009" spans="1:4" x14ac:dyDescent="0.2">
      <c r="A2009" s="5">
        <v>1948</v>
      </c>
      <c r="B2009" s="138">
        <f>'Cap Outlay Deprec 26'!C8</f>
        <v>2924892</v>
      </c>
      <c r="D2009" s="2" t="str">
        <f t="shared" si="30"/>
        <v>Error?</v>
      </c>
    </row>
    <row r="2010" spans="1:4" x14ac:dyDescent="0.2">
      <c r="A2010" s="5">
        <v>1949</v>
      </c>
      <c r="B2010" s="138">
        <f>'Cap Outlay Deprec 26'!C10</f>
        <v>1096931</v>
      </c>
      <c r="D2010" s="2" t="str">
        <f t="shared" si="30"/>
        <v>Error?</v>
      </c>
    </row>
    <row r="2011" spans="1:4" x14ac:dyDescent="0.2">
      <c r="A2011" s="5">
        <v>1950</v>
      </c>
      <c r="B2011" s="138">
        <f>'Cap Outlay Deprec 26'!C12</f>
        <v>277042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4303365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136914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99509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236423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4500</v>
      </c>
      <c r="C2026" s="2" t="s">
        <v>594</v>
      </c>
      <c r="D2026" s="2" t="str">
        <f t="shared" si="30"/>
        <v>Error?</v>
      </c>
    </row>
    <row r="2027" spans="1:4" x14ac:dyDescent="0.2">
      <c r="A2027" s="5">
        <v>1966</v>
      </c>
      <c r="B2027" s="138">
        <f>'Cap Outlay Deprec 26'!F8</f>
        <v>3061806</v>
      </c>
      <c r="C2027" s="2" t="s">
        <v>594</v>
      </c>
      <c r="D2027" s="2" t="str">
        <f t="shared" si="30"/>
        <v>Error?</v>
      </c>
    </row>
    <row r="2028" spans="1:4" x14ac:dyDescent="0.2">
      <c r="A2028" s="5">
        <v>1967</v>
      </c>
      <c r="B2028" s="138">
        <f>'Cap Outlay Deprec 26'!F10</f>
        <v>1096931</v>
      </c>
      <c r="C2028" s="2" t="s">
        <v>594</v>
      </c>
      <c r="D2028" s="2" t="str">
        <f t="shared" si="30"/>
        <v>Error?</v>
      </c>
    </row>
    <row r="2029" spans="1:4" x14ac:dyDescent="0.2">
      <c r="A2029" s="5">
        <v>1968</v>
      </c>
      <c r="B2029" s="138">
        <f>'Cap Outlay Deprec 26'!F12</f>
        <v>376551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4539788</v>
      </c>
      <c r="C2031" s="2" t="s">
        <v>594</v>
      </c>
      <c r="D2031" s="2" t="str">
        <f t="shared" si="30"/>
        <v>Error?</v>
      </c>
    </row>
    <row r="2032" spans="1:4" x14ac:dyDescent="0.2">
      <c r="A2032" s="10">
        <v>1971</v>
      </c>
      <c r="D2032" s="2" t="str">
        <f t="shared" si="30"/>
        <v>OK</v>
      </c>
    </row>
    <row r="2033" spans="1:4" x14ac:dyDescent="0.2">
      <c r="A2033" s="5">
        <v>1972</v>
      </c>
      <c r="B2033" s="138">
        <f>'Cap Outlay Deprec 26'!H8</f>
        <v>1992919</v>
      </c>
      <c r="D2033" s="2" t="str">
        <f t="shared" si="30"/>
        <v>Error?</v>
      </c>
    </row>
    <row r="2034" spans="1:4" x14ac:dyDescent="0.2">
      <c r="A2034" s="5">
        <v>1973</v>
      </c>
      <c r="B2034" s="138">
        <f>'Cap Outlay Deprec 26'!H10</f>
        <v>123219</v>
      </c>
      <c r="D2034" s="2" t="str">
        <f t="shared" si="30"/>
        <v>Error?</v>
      </c>
    </row>
    <row r="2035" spans="1:4" x14ac:dyDescent="0.2">
      <c r="A2035" s="5">
        <v>1974</v>
      </c>
      <c r="B2035" s="138">
        <f>'Cap Outlay Deprec 26'!H12</f>
        <v>177879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2294017</v>
      </c>
      <c r="C2037" s="2" t="s">
        <v>594</v>
      </c>
      <c r="D2037" s="2" t="str">
        <f t="shared" si="30"/>
        <v>Error?</v>
      </c>
    </row>
    <row r="2038" spans="1:4" x14ac:dyDescent="0.2">
      <c r="A2038" s="10">
        <v>1977</v>
      </c>
      <c r="D2038" s="2" t="str">
        <f t="shared" si="30"/>
        <v>OK</v>
      </c>
    </row>
    <row r="2039" spans="1:4" x14ac:dyDescent="0.2">
      <c r="A2039" s="5">
        <v>1978</v>
      </c>
      <c r="B2039" s="138">
        <f>'Cap Outlay Deprec 26'!I8</f>
        <v>43531</v>
      </c>
      <c r="D2039" s="2" t="str">
        <f t="shared" si="30"/>
        <v>Error?</v>
      </c>
    </row>
    <row r="2040" spans="1:4" x14ac:dyDescent="0.2">
      <c r="A2040" s="5">
        <v>1979</v>
      </c>
      <c r="B2040" s="138">
        <f>'Cap Outlay Deprec 26'!I10</f>
        <v>23676</v>
      </c>
      <c r="D2040" s="2" t="str">
        <f t="shared" si="30"/>
        <v>Error?</v>
      </c>
    </row>
    <row r="2041" spans="1:4" x14ac:dyDescent="0.2">
      <c r="A2041" s="5">
        <v>1980</v>
      </c>
      <c r="B2041" s="138">
        <f>'Cap Outlay Deprec 26'!I12</f>
        <v>20535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87742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2036450</v>
      </c>
      <c r="C2051" s="2" t="s">
        <v>594</v>
      </c>
      <c r="D2051" s="2" t="str">
        <f t="shared" si="31"/>
        <v>Error?</v>
      </c>
    </row>
    <row r="2052" spans="1:4" x14ac:dyDescent="0.2">
      <c r="A2052" s="5">
        <v>1991</v>
      </c>
      <c r="B2052" s="138">
        <f>'Cap Outlay Deprec 26'!K10</f>
        <v>146895</v>
      </c>
      <c r="C2052" s="2" t="s">
        <v>594</v>
      </c>
      <c r="D2052" s="2" t="str">
        <f t="shared" si="31"/>
        <v>Error?</v>
      </c>
    </row>
    <row r="2053" spans="1:4" x14ac:dyDescent="0.2">
      <c r="A2053" s="5">
        <v>1992</v>
      </c>
      <c r="B2053" s="138">
        <f>'Cap Outlay Deprec 26'!K12</f>
        <v>198414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2381759</v>
      </c>
      <c r="C2055" s="2" t="s">
        <v>594</v>
      </c>
      <c r="D2055" s="2" t="str">
        <f t="shared" si="31"/>
        <v>Error?</v>
      </c>
    </row>
    <row r="2056" spans="1:4" x14ac:dyDescent="0.2">
      <c r="A2056" s="5">
        <v>1995</v>
      </c>
      <c r="B2056" s="138">
        <f>'Cap Outlay Deprec 26'!L5</f>
        <v>4500</v>
      </c>
      <c r="C2056" s="2" t="s">
        <v>594</v>
      </c>
      <c r="D2056" s="2" t="str">
        <f t="shared" si="31"/>
        <v>Error?</v>
      </c>
    </row>
    <row r="2057" spans="1:4" x14ac:dyDescent="0.2">
      <c r="A2057" s="5">
        <v>1996</v>
      </c>
      <c r="B2057" s="138">
        <f>'Cap Outlay Deprec 26'!L8</f>
        <v>1025356</v>
      </c>
      <c r="C2057" s="2" t="s">
        <v>594</v>
      </c>
      <c r="D2057" s="2" t="str">
        <f t="shared" si="31"/>
        <v>Error?</v>
      </c>
    </row>
    <row r="2058" spans="1:4" x14ac:dyDescent="0.2">
      <c r="A2058" s="5">
        <v>1997</v>
      </c>
      <c r="B2058" s="138">
        <f>'Cap Outlay Deprec 26'!L10</f>
        <v>950036</v>
      </c>
      <c r="C2058" s="2" t="s">
        <v>594</v>
      </c>
      <c r="D2058" s="2" t="str">
        <f t="shared" si="31"/>
        <v>Error?</v>
      </c>
    </row>
    <row r="2059" spans="1:4" x14ac:dyDescent="0.2">
      <c r="A2059" s="5">
        <v>1998</v>
      </c>
      <c r="B2059" s="138">
        <f>'Cap Outlay Deprec 26'!L12</f>
        <v>178137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2158029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8073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45889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65588</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62599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78840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86598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1502137</v>
      </c>
      <c r="C2551" s="2" t="s">
        <v>594</v>
      </c>
      <c r="D2551" s="2" t="str">
        <f t="shared" si="38"/>
        <v>Error?</v>
      </c>
    </row>
    <row r="2552" spans="1:4" x14ac:dyDescent="0.2">
      <c r="A2552" s="10">
        <v>2491</v>
      </c>
      <c r="D2552" s="2" t="str">
        <f t="shared" si="38"/>
        <v>OK</v>
      </c>
    </row>
    <row r="2553" spans="1:4" x14ac:dyDescent="0.2">
      <c r="A2553" s="5">
        <v>2492</v>
      </c>
      <c r="B2553" s="138">
        <f>'Acct Summary 7-8'!C6</f>
        <v>488328</v>
      </c>
      <c r="C2553" s="2" t="s">
        <v>594</v>
      </c>
      <c r="D2553" s="2" t="str">
        <f t="shared" si="38"/>
        <v>Error?</v>
      </c>
    </row>
    <row r="2554" spans="1:4" x14ac:dyDescent="0.2">
      <c r="A2554" s="5">
        <v>2493</v>
      </c>
      <c r="B2554" s="138">
        <f>'Acct Summary 7-8'!C7</f>
        <v>238050</v>
      </c>
      <c r="C2554" s="2" t="s">
        <v>594</v>
      </c>
      <c r="D2554" s="2" t="str">
        <f t="shared" si="38"/>
        <v>Error?</v>
      </c>
    </row>
    <row r="2555" spans="1:4" x14ac:dyDescent="0.2">
      <c r="A2555" s="5">
        <v>2494</v>
      </c>
      <c r="B2555" s="138">
        <f>'Acct Summary 7-8'!C8</f>
        <v>2228515</v>
      </c>
      <c r="C2555" s="2" t="s">
        <v>594</v>
      </c>
      <c r="D2555" s="2" t="str">
        <f t="shared" si="38"/>
        <v>Error?</v>
      </c>
    </row>
    <row r="2556" spans="1:4" x14ac:dyDescent="0.2">
      <c r="A2556" s="5">
        <v>2495</v>
      </c>
      <c r="B2556" s="138">
        <f>'Acct Summary 7-8'!C12</f>
        <v>1687293</v>
      </c>
      <c r="C2556" s="2" t="s">
        <v>594</v>
      </c>
      <c r="D2556" s="2" t="str">
        <f t="shared" si="38"/>
        <v>Error?</v>
      </c>
    </row>
    <row r="2557" spans="1:4" x14ac:dyDescent="0.2">
      <c r="A2557" s="5">
        <v>2496</v>
      </c>
      <c r="B2557" s="138">
        <f>'Acct Summary 7-8'!C13</f>
        <v>639199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45889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2372381</v>
      </c>
      <c r="C2561" s="2" t="s">
        <v>594</v>
      </c>
      <c r="D2561" s="2" t="str">
        <f t="shared" si="39"/>
        <v>Error?</v>
      </c>
    </row>
    <row r="2562" spans="1:4" x14ac:dyDescent="0.2">
      <c r="A2562" s="5">
        <v>2501</v>
      </c>
      <c r="B2562" s="138">
        <f>'Acct Summary 7-8'!C20</f>
        <v>-143866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287810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287810</v>
      </c>
      <c r="C2568" s="2" t="s">
        <v>594</v>
      </c>
      <c r="D2568" s="2" t="str">
        <f t="shared" si="39"/>
        <v>Error?</v>
      </c>
    </row>
    <row r="2569" spans="1:4" x14ac:dyDescent="0.2">
      <c r="A2569" s="5">
        <v>2508</v>
      </c>
      <c r="B2569" s="138">
        <f>'Acct Summary 7-8'!D13</f>
        <v>315763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315763</v>
      </c>
      <c r="C2573" s="2" t="s">
        <v>594</v>
      </c>
      <c r="D2573" s="2" t="str">
        <f t="shared" si="39"/>
        <v>Error?</v>
      </c>
    </row>
    <row r="2574" spans="1:4" x14ac:dyDescent="0.2">
      <c r="A2574" s="5">
        <v>2513</v>
      </c>
      <c r="B2574" s="138">
        <f>'Acct Summary 7-8'!D20</f>
        <v>-27953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111596</v>
      </c>
      <c r="C2591" s="2" t="s">
        <v>594</v>
      </c>
      <c r="D2591" s="2" t="str">
        <f t="shared" si="39"/>
        <v>Error?</v>
      </c>
    </row>
    <row r="2592" spans="1:4" x14ac:dyDescent="0.2">
      <c r="A2592" s="10">
        <v>2531</v>
      </c>
      <c r="D2592" s="2" t="str">
        <f t="shared" si="39"/>
        <v>OK</v>
      </c>
    </row>
    <row r="2593" spans="1:4" x14ac:dyDescent="0.2">
      <c r="A2593" s="5">
        <v>2532</v>
      </c>
      <c r="B2593" s="138">
        <f>'Acct Summary 7-8'!F6</f>
        <v>67735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179331</v>
      </c>
      <c r="C2595" s="2" t="s">
        <v>594</v>
      </c>
      <c r="D2595" s="2" t="str">
        <f t="shared" si="39"/>
        <v>Error?</v>
      </c>
    </row>
    <row r="2596" spans="1:4" x14ac:dyDescent="0.2">
      <c r="A2596" s="5">
        <v>2535</v>
      </c>
      <c r="B2596" s="138">
        <f>'Acct Summary 7-8'!F13</f>
        <v>148449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25775</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174224</v>
      </c>
      <c r="C2600" s="2" t="s">
        <v>594</v>
      </c>
      <c r="D2600" s="2" t="str">
        <f t="shared" si="39"/>
        <v>Error?</v>
      </c>
    </row>
    <row r="2601" spans="1:4" x14ac:dyDescent="0.2">
      <c r="A2601" s="5">
        <v>2540</v>
      </c>
      <c r="B2601" s="138">
        <f>'Acct Summary 7-8'!F20</f>
        <v>5107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133480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133480</v>
      </c>
      <c r="C2606" s="2" t="s">
        <v>594</v>
      </c>
      <c r="D2606" s="2" t="str">
        <f t="shared" si="39"/>
        <v>Error?</v>
      </c>
    </row>
    <row r="2607" spans="1:4" x14ac:dyDescent="0.2">
      <c r="A2607" s="5">
        <v>2546</v>
      </c>
      <c r="B2607" s="138">
        <f>'Acct Summary 7-8'!G12</f>
        <v>37807</v>
      </c>
      <c r="C2607" s="2" t="s">
        <v>594</v>
      </c>
      <c r="D2607" s="2" t="str">
        <f t="shared" si="39"/>
        <v>Error?</v>
      </c>
    </row>
    <row r="2608" spans="1:4" x14ac:dyDescent="0.2">
      <c r="A2608" s="5">
        <v>2547</v>
      </c>
      <c r="B2608" s="138">
        <f>'Acct Summary 7-8'!G13</f>
        <v>72145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109952</v>
      </c>
      <c r="C2612" s="2" t="s">
        <v>594</v>
      </c>
      <c r="D2612" s="2" t="str">
        <f t="shared" si="39"/>
        <v>Error?</v>
      </c>
    </row>
    <row r="2613" spans="1:4" x14ac:dyDescent="0.2">
      <c r="A2613" s="5">
        <v>2552</v>
      </c>
      <c r="B2613" s="138">
        <f>'Acct Summary 7-8'!G20</f>
        <v>23528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191049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191049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174367</v>
      </c>
      <c r="C2634" s="2" t="s">
        <v>594</v>
      </c>
      <c r="D2634" s="2" t="str">
        <f t="shared" si="40"/>
        <v>Error?</v>
      </c>
    </row>
    <row r="2635" spans="1:4" x14ac:dyDescent="0.2">
      <c r="A2635" s="5">
        <v>2574</v>
      </c>
      <c r="B2635" s="138">
        <f>'Acct Summary 7-8'!E17</f>
        <v>174367</v>
      </c>
      <c r="C2635" s="2" t="s">
        <v>594</v>
      </c>
      <c r="D2635" s="2" t="str">
        <f t="shared" si="40"/>
        <v>Error?</v>
      </c>
    </row>
    <row r="2636" spans="1:4" x14ac:dyDescent="0.2">
      <c r="A2636" s="5">
        <v>2575</v>
      </c>
      <c r="B2636" s="138">
        <f>'Acct Summary 7-8'!E20</f>
        <v>16682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120254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120254</v>
      </c>
      <c r="C2658" s="2" t="s">
        <v>594</v>
      </c>
      <c r="D2658" s="2" t="str">
        <f t="shared" si="40"/>
        <v>Error?</v>
      </c>
    </row>
    <row r="2659" spans="1:4" x14ac:dyDescent="0.2">
      <c r="A2659" s="5">
        <v>2598</v>
      </c>
      <c r="B2659" s="138">
        <f>'Acct Summary 7-8'!H13</f>
        <v>8999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8999</v>
      </c>
      <c r="C2661" s="2" t="s">
        <v>594</v>
      </c>
      <c r="D2661" s="2" t="str">
        <f t="shared" si="40"/>
        <v>Error?</v>
      </c>
    </row>
    <row r="2662" spans="1:4" x14ac:dyDescent="0.2">
      <c r="A2662" s="5">
        <v>2601</v>
      </c>
      <c r="B2662" s="138">
        <f>'Acct Summary 7-8'!H20</f>
        <v>111255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37816</v>
      </c>
      <c r="C2789" s="2" t="s">
        <v>594</v>
      </c>
      <c r="D2789" s="2" t="str">
        <f t="shared" si="42"/>
        <v>Error?</v>
      </c>
    </row>
    <row r="2790" spans="1:4" x14ac:dyDescent="0.2">
      <c r="A2790" s="5">
        <v>2729</v>
      </c>
      <c r="B2790" s="138">
        <f>'Expenditures 15-22'!E102</f>
        <v>37816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25775</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25775</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25775</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111310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112310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50883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112310</v>
      </c>
      <c r="D2912" s="2" t="str">
        <f t="shared" si="44"/>
        <v>Error?</v>
      </c>
    </row>
    <row r="2913" spans="1:4" x14ac:dyDescent="0.2">
      <c r="A2913" s="5">
        <v>2852</v>
      </c>
      <c r="B2913" s="138">
        <f>'Assets-Liab 5-6'!I41</f>
        <v>112310</v>
      </c>
      <c r="C2913" s="2" t="s">
        <v>594</v>
      </c>
      <c r="D2913" s="2" t="str">
        <f t="shared" si="44"/>
        <v>Error?</v>
      </c>
    </row>
    <row r="2914" spans="1:4" x14ac:dyDescent="0.2">
      <c r="A2914" s="5">
        <v>2853</v>
      </c>
      <c r="B2914" s="138">
        <f>'Assets-Liab 5-6'!L33</f>
        <v>50883</v>
      </c>
      <c r="D2914" s="2" t="str">
        <f t="shared" si="44"/>
        <v>Error?</v>
      </c>
    </row>
    <row r="2915" spans="1:4" x14ac:dyDescent="0.2">
      <c r="A2915" s="10">
        <v>2854</v>
      </c>
      <c r="D2915" s="2" t="str">
        <f t="shared" si="44"/>
        <v>OK</v>
      </c>
    </row>
    <row r="2916" spans="1:4" x14ac:dyDescent="0.2">
      <c r="A2916" s="5">
        <v>2855</v>
      </c>
      <c r="B2916" s="138">
        <f>'Assets-Liab 5-6'!L34</f>
        <v>50883</v>
      </c>
      <c r="C2916" s="2" t="s">
        <v>594</v>
      </c>
      <c r="D2916" s="2" t="str">
        <f t="shared" si="44"/>
        <v>Error?</v>
      </c>
    </row>
    <row r="2917" spans="1:4" x14ac:dyDescent="0.2">
      <c r="A2917" s="5">
        <v>2856</v>
      </c>
      <c r="B2917" s="138">
        <f>'Assets-Liab 5-6'!L41</f>
        <v>50883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37816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8073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37816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8073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25775</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25775</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52683</v>
      </c>
      <c r="D3055" s="2" t="str">
        <f t="shared" si="46"/>
        <v>Error?</v>
      </c>
    </row>
    <row r="3056" spans="1:4" x14ac:dyDescent="0.2">
      <c r="A3056" s="5">
        <v>2995</v>
      </c>
      <c r="B3056" s="138">
        <f>'Expenditures 15-22'!D10</f>
        <v>11354</v>
      </c>
      <c r="D3056" s="2" t="str">
        <f t="shared" si="46"/>
        <v>Error?</v>
      </c>
    </row>
    <row r="3057" spans="1:4" x14ac:dyDescent="0.2">
      <c r="A3057" s="5">
        <v>2996</v>
      </c>
      <c r="B3057" s="138">
        <f>'Expenditures 15-22'!E10</f>
        <v>6077</v>
      </c>
      <c r="D3057" s="2" t="str">
        <f t="shared" si="46"/>
        <v>Error?</v>
      </c>
    </row>
    <row r="3058" spans="1:4" x14ac:dyDescent="0.2">
      <c r="A3058" s="5">
        <v>2997</v>
      </c>
      <c r="B3058" s="138">
        <f>'Expenditures 15-22'!F10</f>
        <v>2000</v>
      </c>
      <c r="D3058" s="2" t="str">
        <f t="shared" si="46"/>
        <v>Error?</v>
      </c>
    </row>
    <row r="3059" spans="1:4" x14ac:dyDescent="0.2">
      <c r="A3059" s="5">
        <v>2998</v>
      </c>
      <c r="B3059" s="138">
        <f>'Expenditures 15-22'!G10</f>
        <v>16505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88619</v>
      </c>
      <c r="C3062" s="2" t="s">
        <v>594</v>
      </c>
      <c r="D3062" s="2" t="str">
        <f t="shared" si="46"/>
        <v>Error?</v>
      </c>
    </row>
    <row r="3063" spans="1:4" x14ac:dyDescent="0.2">
      <c r="A3063" s="10">
        <v>3002</v>
      </c>
      <c r="D3063" s="2" t="str">
        <f t="shared" si="46"/>
        <v>OK</v>
      </c>
    </row>
    <row r="3064" spans="1:4" x14ac:dyDescent="0.2">
      <c r="A3064" s="5">
        <v>3003</v>
      </c>
      <c r="B3064" s="138">
        <f>'Expenditures 15-22'!D219</f>
        <v>1171</v>
      </c>
      <c r="D3064" s="2" t="str">
        <f t="shared" si="46"/>
        <v>Error?</v>
      </c>
    </row>
    <row r="3065" spans="1:4" x14ac:dyDescent="0.2">
      <c r="A3065" s="5">
        <v>3004</v>
      </c>
      <c r="B3065" s="138">
        <f>'Expenditures 15-22'!K219</f>
        <v>1171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30000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30000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14636</v>
      </c>
      <c r="C3225" s="2" t="s">
        <v>594</v>
      </c>
      <c r="D3225" s="2" t="str">
        <f t="shared" si="49"/>
        <v>Error?</v>
      </c>
    </row>
    <row r="3226" spans="1:4" x14ac:dyDescent="0.2">
      <c r="A3226" s="5">
        <v>3165</v>
      </c>
      <c r="B3226" s="138">
        <f>'Acct Summary 7-8'!I8</f>
        <v>14636</v>
      </c>
      <c r="C3226" s="2" t="s">
        <v>594</v>
      </c>
      <c r="D3226" s="2" t="str">
        <f t="shared" si="49"/>
        <v>Error?</v>
      </c>
    </row>
    <row r="3227" spans="1:4" x14ac:dyDescent="0.2">
      <c r="A3227" s="5">
        <v>3166</v>
      </c>
      <c r="B3227" s="138">
        <f>'Acct Summary 7-8'!I20</f>
        <v>14636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65257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6223</v>
      </c>
      <c r="C3231" s="2" t="s">
        <v>594</v>
      </c>
      <c r="D3231" s="2" t="str">
        <f t="shared" si="49"/>
        <v>Error?</v>
      </c>
    </row>
    <row r="3232" spans="1:4" x14ac:dyDescent="0.2">
      <c r="A3232" s="5">
        <v>3171</v>
      </c>
      <c r="B3232" s="138">
        <f>'Acct Summary 7-8'!C77</f>
        <v>59034</v>
      </c>
      <c r="C3232" s="2" t="s">
        <v>594</v>
      </c>
      <c r="D3232" s="2" t="str">
        <f t="shared" si="49"/>
        <v>Error?</v>
      </c>
    </row>
    <row r="3233" spans="1:4" x14ac:dyDescent="0.2">
      <c r="A3233" s="5">
        <v>3172</v>
      </c>
      <c r="B3233" s="138">
        <f>'Acct Summary 7-8'!C78</f>
        <v>-84832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40000</v>
      </c>
      <c r="C3238" s="2" t="s">
        <v>594</v>
      </c>
      <c r="D3238" s="2" t="str">
        <f t="shared" si="49"/>
        <v>Error?</v>
      </c>
    </row>
    <row r="3239" spans="1:4" x14ac:dyDescent="0.2">
      <c r="A3239" s="5">
        <v>3178</v>
      </c>
      <c r="B3239" s="138">
        <f>'Acct Summary 7-8'!D78</f>
        <v>12047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9000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9000</v>
      </c>
      <c r="C3255" s="2" t="s">
        <v>594</v>
      </c>
      <c r="D3255" s="2" t="str">
        <f t="shared" si="49"/>
        <v>Error?</v>
      </c>
    </row>
    <row r="3256" spans="1:4" x14ac:dyDescent="0.2">
      <c r="A3256" s="5">
        <v>3195</v>
      </c>
      <c r="B3256" s="138">
        <f>'Acct Summary 7-8'!F78</f>
        <v>14107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23528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6223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6223</v>
      </c>
      <c r="C3277" s="2" t="s">
        <v>594</v>
      </c>
      <c r="D3277" s="2" t="str">
        <f t="shared" si="50"/>
        <v>Error?</v>
      </c>
    </row>
    <row r="3278" spans="1:4" x14ac:dyDescent="0.2">
      <c r="A3278" s="5">
        <v>3217</v>
      </c>
      <c r="B3278" s="138">
        <f>'Acct Summary 7-8'!E78</f>
        <v>22905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30000</v>
      </c>
      <c r="C3298" s="2" t="s">
        <v>594</v>
      </c>
      <c r="D3298" s="2" t="str">
        <f t="shared" si="50"/>
        <v>Error?</v>
      </c>
    </row>
    <row r="3299" spans="1:4" x14ac:dyDescent="0.2">
      <c r="A3299" s="5">
        <v>3238</v>
      </c>
      <c r="B3299" s="138">
        <f>'Acct Summary 7-8'!H77</f>
        <v>-30000</v>
      </c>
      <c r="C3299" s="2" t="s">
        <v>594</v>
      </c>
      <c r="D3299" s="2" t="str">
        <f t="shared" si="50"/>
        <v>Error?</v>
      </c>
    </row>
    <row r="3300" spans="1:4" x14ac:dyDescent="0.2">
      <c r="A3300" s="5">
        <v>3239</v>
      </c>
      <c r="B3300" s="138">
        <f>'Acct Summary 7-8'!H78</f>
        <v>81255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65588</v>
      </c>
      <c r="C3318" s="2" t="s">
        <v>594</v>
      </c>
      <c r="D3318" s="2" t="str">
        <f t="shared" si="50"/>
        <v>Error?</v>
      </c>
    </row>
    <row r="3319" spans="1:4" x14ac:dyDescent="0.2">
      <c r="A3319" s="5">
        <v>3258</v>
      </c>
      <c r="B3319" s="138">
        <f>'Acct Summary 7-8'!I77</f>
        <v>-65588</v>
      </c>
      <c r="C3319" s="2" t="s">
        <v>594</v>
      </c>
      <c r="D3319" s="2" t="str">
        <f t="shared" si="50"/>
        <v>Error?</v>
      </c>
    </row>
    <row r="3320" spans="1:4" x14ac:dyDescent="0.2">
      <c r="A3320" s="5">
        <v>3259</v>
      </c>
      <c r="B3320" s="138">
        <f>'Acct Summary 7-8'!I78</f>
        <v>-50952</v>
      </c>
      <c r="C3320" s="2" t="s">
        <v>594</v>
      </c>
      <c r="D3320" s="2" t="str">
        <f t="shared" si="50"/>
        <v>Error?</v>
      </c>
    </row>
    <row r="3321" spans="1:4" x14ac:dyDescent="0.2">
      <c r="A3321" s="5">
        <v>3260</v>
      </c>
      <c r="B3321" s="138">
        <f>'Acct Summary 7-8'!I79</f>
        <v>163262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112310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244544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48857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1824</v>
      </c>
      <c r="D3370" s="2" t="str">
        <f t="shared" si="51"/>
        <v>Error?</v>
      </c>
    </row>
    <row r="3371" spans="1:4" x14ac:dyDescent="0.2">
      <c r="A3371" s="5">
        <v>3310</v>
      </c>
      <c r="B3371" s="138">
        <f>'Expenditures 15-22'!E19</f>
        <v>1362</v>
      </c>
      <c r="D3371" s="2" t="str">
        <f t="shared" si="51"/>
        <v>Error?</v>
      </c>
    </row>
    <row r="3372" spans="1:4" x14ac:dyDescent="0.2">
      <c r="A3372" s="5">
        <v>3311</v>
      </c>
      <c r="B3372" s="138">
        <f>'Expenditures 15-22'!F8</f>
        <v>1340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296565</v>
      </c>
      <c r="C3380" s="2" t="s">
        <v>594</v>
      </c>
      <c r="D3380" s="2" t="str">
        <f t="shared" si="51"/>
        <v>Error?</v>
      </c>
    </row>
    <row r="3381" spans="1:4" x14ac:dyDescent="0.2">
      <c r="A3381" s="5">
        <v>3320</v>
      </c>
      <c r="B3381" s="138">
        <f>'Expenditures 15-22'!K19</f>
        <v>1362</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13847</v>
      </c>
      <c r="D3387" s="2" t="str">
        <f t="shared" si="51"/>
        <v>Error?</v>
      </c>
    </row>
    <row r="3388" spans="1:4" x14ac:dyDescent="0.2">
      <c r="A3388" s="5">
        <v>3327</v>
      </c>
      <c r="B3388" s="138">
        <f>'Expenditures 15-22'!D217</f>
        <v>16623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13847</v>
      </c>
      <c r="C3390" s="2" t="s">
        <v>594</v>
      </c>
      <c r="D3390" s="2" t="str">
        <f t="shared" si="51"/>
        <v>Error?</v>
      </c>
    </row>
    <row r="3391" spans="1:4" x14ac:dyDescent="0.2">
      <c r="A3391" s="5">
        <v>3330</v>
      </c>
      <c r="B3391" s="138">
        <f>'Expenditures 15-22'!K217</f>
        <v>16623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541675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87697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140589</v>
      </c>
      <c r="D3417" s="2" t="str">
        <f t="shared" si="52"/>
        <v>Error?</v>
      </c>
    </row>
    <row r="3418" spans="1:4" x14ac:dyDescent="0.2">
      <c r="A3418" s="10">
        <v>3357</v>
      </c>
      <c r="D3418" s="2" t="str">
        <f t="shared" si="52"/>
        <v>OK</v>
      </c>
    </row>
    <row r="3419" spans="1:4" x14ac:dyDescent="0.2">
      <c r="A3419" s="5">
        <v>3358</v>
      </c>
      <c r="B3419" s="138">
        <f>'Assets-Liab 5-6'!F4</f>
        <v>258803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213545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86598</v>
      </c>
      <c r="D3425" s="2" t="str">
        <f t="shared" si="52"/>
        <v>Error?</v>
      </c>
    </row>
    <row r="3426" spans="1:4" x14ac:dyDescent="0.2">
      <c r="A3426" s="10">
        <v>3365</v>
      </c>
      <c r="D3426" s="2" t="str">
        <f t="shared" si="52"/>
        <v>OK</v>
      </c>
    </row>
    <row r="3427" spans="1:4" x14ac:dyDescent="0.2">
      <c r="A3427" s="5">
        <v>3366</v>
      </c>
      <c r="B3427" s="138">
        <f>'Assets-Liab 5-6'!I4</f>
        <v>1000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50883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65887</v>
      </c>
      <c r="C3446" s="2" t="s">
        <v>594</v>
      </c>
      <c r="D3446" s="2" t="str">
        <f t="shared" si="52"/>
        <v>Error?</v>
      </c>
    </row>
    <row r="3447" spans="1:4" x14ac:dyDescent="0.2">
      <c r="A3447" s="5">
        <v>3386</v>
      </c>
      <c r="B3447" s="138">
        <f>'Tax Sched 23'!D16</f>
        <v>65887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61000</v>
      </c>
      <c r="C3449" s="2" t="s">
        <v>594</v>
      </c>
      <c r="D3449" s="2" t="str">
        <f t="shared" si="52"/>
        <v>Error?</v>
      </c>
    </row>
    <row r="3450" spans="1:4" x14ac:dyDescent="0.2">
      <c r="A3450" s="5">
        <v>3389</v>
      </c>
      <c r="B3450" s="138">
        <f>'Tax Sched 23'!E16</f>
        <v>61000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9382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9382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9382</v>
      </c>
      <c r="D3567" s="2" t="str">
        <f t="shared" si="54"/>
        <v>Error?</v>
      </c>
    </row>
    <row r="3568" spans="1:4" x14ac:dyDescent="0.2">
      <c r="A3568" s="5">
        <v>3507</v>
      </c>
      <c r="B3568" s="138">
        <f>'Assets-Liab 5-6'!K41</f>
        <v>9382</v>
      </c>
      <c r="C3568" s="2" t="s">
        <v>594</v>
      </c>
      <c r="D3568" s="2" t="str">
        <f t="shared" si="54"/>
        <v>Error?</v>
      </c>
    </row>
    <row r="3569" spans="1:4" x14ac:dyDescent="0.2">
      <c r="A3569" s="5">
        <v>3508</v>
      </c>
      <c r="B3569" s="138">
        <f>'Acct Summary 7-8'!K4</f>
        <v>14637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14637</v>
      </c>
      <c r="C3571" s="2" t="s">
        <v>594</v>
      </c>
      <c r="D3571" s="2" t="str">
        <f t="shared" si="54"/>
        <v>Error?</v>
      </c>
    </row>
    <row r="3572" spans="1:4" x14ac:dyDescent="0.2">
      <c r="A3572" s="5">
        <v>3511</v>
      </c>
      <c r="B3572" s="138">
        <f>'Acct Summary 7-8'!K13</f>
        <v>14436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14436</v>
      </c>
      <c r="C3575" s="2" t="s">
        <v>594</v>
      </c>
      <c r="D3575" s="2" t="str">
        <f t="shared" si="54"/>
        <v>Error?</v>
      </c>
    </row>
    <row r="3576" spans="1:4" x14ac:dyDescent="0.2">
      <c r="A3576" s="5">
        <v>3515</v>
      </c>
      <c r="B3576" s="138">
        <f>'Acct Summary 7-8'!K20</f>
        <v>201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201</v>
      </c>
      <c r="C3588" s="2" t="s">
        <v>594</v>
      </c>
      <c r="D3588" s="2" t="str">
        <f t="shared" si="55"/>
        <v>Error?</v>
      </c>
    </row>
    <row r="3589" spans="1:4" x14ac:dyDescent="0.2">
      <c r="A3589" s="5">
        <v>3528</v>
      </c>
      <c r="B3589" s="138">
        <f>'Acct Summary 7-8'!K79</f>
        <v>9181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9382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5363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5363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5363</v>
      </c>
      <c r="C3635" s="2" t="s">
        <v>594</v>
      </c>
      <c r="D3635" s="2" t="str">
        <f t="shared" si="55"/>
        <v>Error?</v>
      </c>
    </row>
    <row r="3636" spans="1:4" x14ac:dyDescent="0.2">
      <c r="A3636" s="5">
        <v>3575</v>
      </c>
      <c r="B3636" s="138">
        <f>'Expenditures 15-22'!E367</f>
        <v>5363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9073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9073</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9073</v>
      </c>
      <c r="C3649" s="2" t="s">
        <v>594</v>
      </c>
      <c r="D3649" s="2" t="str">
        <f t="shared" si="56"/>
        <v>Error?</v>
      </c>
    </row>
    <row r="3650" spans="1:4" x14ac:dyDescent="0.2">
      <c r="A3650" s="5">
        <v>3589</v>
      </c>
      <c r="B3650" s="138">
        <f>'Expenditures 15-22'!G367</f>
        <v>9073</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14436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14436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14436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14436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14637</v>
      </c>
      <c r="C3725" s="2" t="s">
        <v>594</v>
      </c>
      <c r="D3725" s="2" t="str">
        <f t="shared" si="57"/>
        <v>Error?</v>
      </c>
    </row>
    <row r="3726" spans="1:4" x14ac:dyDescent="0.2">
      <c r="A3726" s="5">
        <v>3665</v>
      </c>
      <c r="B3726" s="138">
        <f>'Tax Sched 23'!D13</f>
        <v>14637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13431</v>
      </c>
      <c r="C3728" s="2" t="s">
        <v>594</v>
      </c>
      <c r="D3728" s="2" t="str">
        <f t="shared" si="57"/>
        <v>Error?</v>
      </c>
    </row>
    <row r="3729" spans="1:4" x14ac:dyDescent="0.2">
      <c r="A3729" s="5">
        <v>3668</v>
      </c>
      <c r="B3729" s="138">
        <f>'Tax Sched 23'!E13</f>
        <v>13431</v>
      </c>
      <c r="D3729" s="2" t="str">
        <f t="shared" si="57"/>
        <v>Error?</v>
      </c>
    </row>
    <row r="3730" spans="1:4" x14ac:dyDescent="0.2">
      <c r="A3730" s="5">
        <v>3669</v>
      </c>
      <c r="B3730" s="138">
        <f>'ICR Computation 30'!E10</f>
        <v>59954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1011307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3239822</v>
      </c>
      <c r="C4122" s="2" t="s">
        <v>594</v>
      </c>
      <c r="D4122" s="2" t="str">
        <f t="shared" si="63"/>
        <v>Error?</v>
      </c>
    </row>
    <row r="4123" spans="1:4" x14ac:dyDescent="0.2">
      <c r="A4123" s="5">
        <v>4062</v>
      </c>
      <c r="B4123" s="138">
        <f>'Acct Summary 7-8'!D10</f>
        <v>287810</v>
      </c>
      <c r="C4123" s="2" t="s">
        <v>594</v>
      </c>
      <c r="D4123" s="2" t="str">
        <f t="shared" si="63"/>
        <v>Error?</v>
      </c>
    </row>
    <row r="4124" spans="1:4" x14ac:dyDescent="0.2">
      <c r="A4124" s="5">
        <v>4063</v>
      </c>
      <c r="B4124" s="138">
        <f>'Acct Summary 7-8'!E10</f>
        <v>191049</v>
      </c>
      <c r="C4124" s="2" t="s">
        <v>594</v>
      </c>
      <c r="D4124" s="2" t="str">
        <f t="shared" si="63"/>
        <v>Error?</v>
      </c>
    </row>
    <row r="4125" spans="1:4" x14ac:dyDescent="0.2">
      <c r="A4125" s="5">
        <v>4064</v>
      </c>
      <c r="B4125" s="138">
        <f>'Acct Summary 7-8'!F10</f>
        <v>179331</v>
      </c>
      <c r="C4125" s="2" t="s">
        <v>594</v>
      </c>
      <c r="D4125" s="2" t="str">
        <f t="shared" si="63"/>
        <v>Error?</v>
      </c>
    </row>
    <row r="4126" spans="1:4" x14ac:dyDescent="0.2">
      <c r="A4126" s="5">
        <v>4065</v>
      </c>
      <c r="B4126" s="138">
        <f>'Acct Summary 7-8'!G10</f>
        <v>133480</v>
      </c>
      <c r="C4126" s="2" t="s">
        <v>594</v>
      </c>
      <c r="D4126" s="2" t="str">
        <f t="shared" si="63"/>
        <v>Error?</v>
      </c>
    </row>
    <row r="4127" spans="1:4" x14ac:dyDescent="0.2">
      <c r="A4127" s="5">
        <v>4066</v>
      </c>
      <c r="B4127" s="138">
        <f>'Acct Summary 7-8'!H10</f>
        <v>120254</v>
      </c>
      <c r="C4127" s="2" t="s">
        <v>594</v>
      </c>
      <c r="D4127" s="2" t="str">
        <f t="shared" si="63"/>
        <v>Error?</v>
      </c>
    </row>
    <row r="4128" spans="1:4" x14ac:dyDescent="0.2">
      <c r="A4128" s="5">
        <v>4067</v>
      </c>
      <c r="B4128" s="138">
        <f>'Acct Summary 7-8'!I10</f>
        <v>14636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14637</v>
      </c>
      <c r="C4130" s="2" t="s">
        <v>594</v>
      </c>
      <c r="D4130" s="2" t="str">
        <f t="shared" si="63"/>
        <v>Error?</v>
      </c>
    </row>
    <row r="4131" spans="1:4" x14ac:dyDescent="0.2">
      <c r="A4131" s="5">
        <v>4070</v>
      </c>
      <c r="B4131" s="138">
        <f>'Acct Summary 7-8'!C18</f>
        <v>1011307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3383688</v>
      </c>
      <c r="C4136" s="2" t="s">
        <v>594</v>
      </c>
      <c r="D4136" s="2" t="str">
        <f t="shared" si="63"/>
        <v>Error?</v>
      </c>
    </row>
    <row r="4137" spans="1:4" x14ac:dyDescent="0.2">
      <c r="A4137" s="5">
        <v>4076</v>
      </c>
      <c r="B4137" s="138">
        <f>'Acct Summary 7-8'!D19</f>
        <v>315763</v>
      </c>
      <c r="C4137" s="2" t="s">
        <v>594</v>
      </c>
      <c r="D4137" s="2" t="str">
        <f t="shared" si="63"/>
        <v>Error?</v>
      </c>
    </row>
    <row r="4138" spans="1:4" x14ac:dyDescent="0.2">
      <c r="A4138" s="5">
        <v>4077</v>
      </c>
      <c r="B4138" s="138">
        <f>'Acct Summary 7-8'!E19</f>
        <v>174367</v>
      </c>
      <c r="C4138" s="2" t="s">
        <v>594</v>
      </c>
      <c r="D4138" s="2" t="str">
        <f t="shared" si="63"/>
        <v>Error?</v>
      </c>
    </row>
    <row r="4139" spans="1:4" x14ac:dyDescent="0.2">
      <c r="A4139" s="5">
        <v>4078</v>
      </c>
      <c r="B4139" s="138">
        <f>'Acct Summary 7-8'!F19</f>
        <v>174224</v>
      </c>
      <c r="C4139" s="2" t="s">
        <v>594</v>
      </c>
      <c r="D4139" s="2" t="str">
        <f t="shared" si="63"/>
        <v>Error?</v>
      </c>
    </row>
    <row r="4140" spans="1:4" x14ac:dyDescent="0.2">
      <c r="A4140" s="5">
        <v>4079</v>
      </c>
      <c r="B4140" s="138">
        <f>'Acct Summary 7-8'!G19</f>
        <v>109952</v>
      </c>
      <c r="C4140" s="2" t="s">
        <v>594</v>
      </c>
      <c r="D4140" s="2" t="str">
        <f t="shared" si="63"/>
        <v>Error?</v>
      </c>
    </row>
    <row r="4141" spans="1:4" x14ac:dyDescent="0.2">
      <c r="A4141" s="5">
        <v>4080</v>
      </c>
      <c r="B4141" s="138">
        <f>'Acct Summary 7-8'!H19</f>
        <v>8999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14436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232446</v>
      </c>
      <c r="C4171" s="2" t="s">
        <v>594</v>
      </c>
      <c r="D4171" s="2" t="str">
        <f t="shared" si="64"/>
        <v>Error?</v>
      </c>
    </row>
    <row r="4172" spans="1:4" x14ac:dyDescent="0.2">
      <c r="A4172" s="5">
        <v>4111</v>
      </c>
      <c r="B4172" s="138">
        <f>'Short-Term Long-Term Debt 24'!J49</f>
        <v>91857</v>
      </c>
      <c r="C4172" s="2" t="s">
        <v>594</v>
      </c>
      <c r="D4172" s="2" t="str">
        <f t="shared" si="64"/>
        <v>Error?</v>
      </c>
    </row>
    <row r="4173" spans="1:4" x14ac:dyDescent="0.2">
      <c r="A4173" s="5">
        <v>4112</v>
      </c>
      <c r="B4173" s="138">
        <f>'Short-Term Long-Term Debt 24'!H49</f>
        <v>161223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2750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3450.0000000000005</v>
      </c>
      <c r="C4268" s="2" t="s">
        <v>594</v>
      </c>
      <c r="D4268" s="2" t="str">
        <f t="shared" si="65"/>
        <v>Error?</v>
      </c>
    </row>
    <row r="4269" spans="1:5" x14ac:dyDescent="0.2">
      <c r="A4269" s="12">
        <v>4208</v>
      </c>
      <c r="B4269" s="138">
        <f>'FP Info 3'!J16</f>
        <v>1061870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8865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23324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16722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16722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4148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8657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27735889</v>
      </c>
      <c r="D4995" s="2" t="str">
        <f t="shared" si="77"/>
        <v>Error?</v>
      </c>
    </row>
    <row r="4996" spans="1:4" x14ac:dyDescent="0.2">
      <c r="A4996" s="12">
        <v>4935</v>
      </c>
      <c r="B4996" s="138">
        <f>'FP Info 3'!H31</f>
        <v>3827552.6820000005</v>
      </c>
      <c r="D4996" s="2" t="str">
        <f t="shared" si="77"/>
        <v>Error?</v>
      </c>
    </row>
    <row r="4997" spans="1:4" x14ac:dyDescent="0.2">
      <c r="A4997" s="12">
        <v>4936</v>
      </c>
      <c r="B4997" s="138">
        <f>'FP Info 3'!H37</f>
        <v>232446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14637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805563</v>
      </c>
      <c r="D5061" s="2" t="str">
        <f t="shared" si="78"/>
        <v>Error?</v>
      </c>
    </row>
    <row r="5062" spans="1:4" x14ac:dyDescent="0.2">
      <c r="A5062" s="10">
        <v>5001</v>
      </c>
      <c r="D5062" s="2" t="str">
        <f t="shared" si="78"/>
        <v>OK</v>
      </c>
    </row>
    <row r="5063" spans="1:4" x14ac:dyDescent="0.2">
      <c r="A5063" s="5">
        <v>5002</v>
      </c>
      <c r="B5063" s="138">
        <f>'Revenues 9-14'!C7</f>
        <v>11712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831912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592257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592257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3132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3132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7088</v>
      </c>
      <c r="D5094" s="2" t="str">
        <f t="shared" si="78"/>
        <v>Error?</v>
      </c>
    </row>
    <row r="5095" spans="1:4" x14ac:dyDescent="0.2">
      <c r="A5095" s="5">
        <v>5034</v>
      </c>
      <c r="B5095" s="138">
        <f>'Revenues 9-14'!C74</f>
        <v>104</v>
      </c>
      <c r="D5095" s="2" t="str">
        <f t="shared" si="78"/>
        <v>Error?</v>
      </c>
    </row>
    <row r="5096" spans="1:4" x14ac:dyDescent="0.2">
      <c r="A5096" s="5">
        <v>5035</v>
      </c>
      <c r="B5096" s="138">
        <f>'Revenues 9-14'!C75</f>
        <v>7192</v>
      </c>
      <c r="C5096" s="2" t="s">
        <v>594</v>
      </c>
      <c r="D5096" s="2" t="str">
        <f t="shared" si="78"/>
        <v>Error?</v>
      </c>
    </row>
    <row r="5097" spans="1:4" x14ac:dyDescent="0.2">
      <c r="A5097" s="5">
        <v>5036</v>
      </c>
      <c r="B5097" s="138">
        <f>'Revenues 9-14'!C77</f>
        <v>4928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2659</v>
      </c>
      <c r="D5099" s="2" t="str">
        <f t="shared" si="78"/>
        <v>Error?</v>
      </c>
    </row>
    <row r="5100" spans="1:4" x14ac:dyDescent="0.2">
      <c r="A5100" s="5">
        <v>5039</v>
      </c>
      <c r="B5100" s="138">
        <f>'Revenues 9-14'!C80</f>
        <v>2234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9821</v>
      </c>
      <c r="C5102" s="2" t="s">
        <v>594</v>
      </c>
      <c r="D5102" s="2" t="str">
        <f t="shared" si="78"/>
        <v>Error?</v>
      </c>
    </row>
    <row r="5103" spans="1:4" x14ac:dyDescent="0.2">
      <c r="A5103" s="5">
        <v>5042</v>
      </c>
      <c r="B5103" s="138">
        <f>'Revenues 9-14'!C84</f>
        <v>5275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5275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2583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14071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50</v>
      </c>
      <c r="D5118" s="2" t="str">
        <f t="shared" si="78"/>
        <v>Error?</v>
      </c>
    </row>
    <row r="5119" spans="1:4" x14ac:dyDescent="0.2">
      <c r="A5119" s="5">
        <v>5058</v>
      </c>
      <c r="B5119" s="138">
        <f>'Revenues 9-14'!C107</f>
        <v>33969</v>
      </c>
      <c r="D5119" s="2" t="str">
        <f t="shared" ref="D5119:D5182" si="79">IF(ISBLANK(B5119),"OK",IF(A5119-B5119=0,"OK","Error?"))</f>
        <v>Error?</v>
      </c>
    </row>
    <row r="5120" spans="1:4" x14ac:dyDescent="0.2">
      <c r="A5120" s="5">
        <v>5059</v>
      </c>
      <c r="B5120" s="138">
        <f>'Revenues 9-14'!C108</f>
        <v>52548</v>
      </c>
      <c r="C5120" s="2" t="s">
        <v>594</v>
      </c>
      <c r="D5120" s="2" t="str">
        <f t="shared" si="79"/>
        <v>Error?</v>
      </c>
    </row>
    <row r="5121" spans="1:4" x14ac:dyDescent="0.2">
      <c r="A5121" s="5">
        <v>5060</v>
      </c>
      <c r="B5121" s="138">
        <f>'Revenues 9-14'!C109</f>
        <v>1502137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341906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341906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13248</v>
      </c>
      <c r="D5134" s="2" t="str">
        <f t="shared" si="79"/>
        <v>Error?</v>
      </c>
    </row>
    <row r="5135" spans="1:4" x14ac:dyDescent="0.2">
      <c r="A5135" s="5">
        <v>5074</v>
      </c>
      <c r="B5135" s="138">
        <f>'Revenues 9-14'!C126</f>
        <v>22250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137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35635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1368</v>
      </c>
      <c r="D5167" s="2" t="str">
        <f t="shared" si="79"/>
        <v>Error?</v>
      </c>
    </row>
    <row r="5168" spans="1:4" x14ac:dyDescent="0.2">
      <c r="A5168" s="5">
        <v>5107</v>
      </c>
      <c r="B5168" s="138">
        <f>'Revenues 9-14'!C147</f>
        <v>2741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106678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146422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488328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82534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26774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109308</v>
      </c>
      <c r="C5246" s="2" t="s">
        <v>594</v>
      </c>
      <c r="D5246" s="2" t="str">
        <f t="shared" si="80"/>
        <v>Error?</v>
      </c>
    </row>
    <row r="5247" spans="1:4" x14ac:dyDescent="0.2">
      <c r="A5247" s="5">
        <v>5186</v>
      </c>
      <c r="B5247" s="138">
        <f>'Revenues 9-14'!C203</f>
        <v>67026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4148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67026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238050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238050</v>
      </c>
      <c r="C5326" s="2" t="s">
        <v>594</v>
      </c>
      <c r="D5326" s="2" t="str">
        <f t="shared" si="82"/>
        <v>Error?</v>
      </c>
    </row>
    <row r="5327" spans="1:4" x14ac:dyDescent="0.2">
      <c r="A5327" s="5">
        <v>5266</v>
      </c>
      <c r="B5327" s="138">
        <f>'Revenues 9-14'!C275</f>
        <v>2228515</v>
      </c>
      <c r="C5327" s="2" t="s">
        <v>594</v>
      </c>
      <c r="D5327" s="2" t="str">
        <f t="shared" si="82"/>
        <v>Error?</v>
      </c>
    </row>
    <row r="5328" spans="1:4" x14ac:dyDescent="0.2">
      <c r="A5328" s="5">
        <v>5267</v>
      </c>
      <c r="B5328" s="138">
        <f>'Revenues 9-14'!D5</f>
        <v>149593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149593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138023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138023</v>
      </c>
      <c r="C5339" s="2" t="s">
        <v>594</v>
      </c>
      <c r="D5339" s="2" t="str">
        <f t="shared" si="82"/>
        <v>Error?</v>
      </c>
    </row>
    <row r="5340" spans="1:4" x14ac:dyDescent="0.2">
      <c r="A5340" s="5">
        <v>5279</v>
      </c>
      <c r="B5340" s="138">
        <f>'Revenues 9-14'!D65</f>
        <v>194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287810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287810</v>
      </c>
      <c r="C5508" s="2" t="s">
        <v>594</v>
      </c>
      <c r="D5508" s="2" t="str">
        <f t="shared" si="85"/>
        <v>Error?</v>
      </c>
    </row>
    <row r="5509" spans="1:4" x14ac:dyDescent="0.2">
      <c r="A5509" s="5">
        <v>5448</v>
      </c>
      <c r="B5509" s="138">
        <f>'Revenues 9-14'!E5</f>
        <v>180399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180399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10650</v>
      </c>
      <c r="C5526" s="2" t="s">
        <v>594</v>
      </c>
      <c r="D5526" s="2" t="str">
        <f t="shared" si="85"/>
        <v>Error?</v>
      </c>
    </row>
    <row r="5527" spans="1:4" x14ac:dyDescent="0.2">
      <c r="A5527" s="5">
        <v>5466</v>
      </c>
      <c r="B5527" s="138">
        <f>'Revenues 9-14'!E109</f>
        <v>191049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191049</v>
      </c>
      <c r="C5552" s="2" t="s">
        <v>594</v>
      </c>
      <c r="D5552" s="2" t="str">
        <f t="shared" si="85"/>
        <v>Error?</v>
      </c>
    </row>
    <row r="5553" spans="1:4" x14ac:dyDescent="0.2">
      <c r="A5553" s="5">
        <v>5492</v>
      </c>
      <c r="B5553" s="138">
        <f>'Revenues 9-14'!F5</f>
        <v>58596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58596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53000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53000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111596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18218</v>
      </c>
      <c r="D5615" s="2" t="str">
        <f t="shared" si="86"/>
        <v>Error?</v>
      </c>
    </row>
    <row r="5616" spans="1:4" x14ac:dyDescent="0.2">
      <c r="A5616" s="10">
        <v>5555</v>
      </c>
      <c r="D5616" s="2" t="str">
        <f t="shared" si="86"/>
        <v>OK</v>
      </c>
    </row>
    <row r="5617" spans="1:4" x14ac:dyDescent="0.2">
      <c r="A5617" s="5">
        <v>5556</v>
      </c>
      <c r="B5617" s="138">
        <f>'Revenues 9-14'!F152</f>
        <v>49517</v>
      </c>
      <c r="D5617" s="2" t="str">
        <f t="shared" si="86"/>
        <v>Error?</v>
      </c>
    </row>
    <row r="5618" spans="1:4" x14ac:dyDescent="0.2">
      <c r="A5618" s="5">
        <v>5557</v>
      </c>
      <c r="B5618" s="138">
        <f>'Revenues 9-14'!F154</f>
        <v>67735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67735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67735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179331</v>
      </c>
      <c r="C5720" s="2" t="s">
        <v>594</v>
      </c>
      <c r="D5720" s="2" t="str">
        <f t="shared" si="88"/>
        <v>Error?</v>
      </c>
    </row>
    <row r="5721" spans="1:4" x14ac:dyDescent="0.2">
      <c r="A5721" s="5">
        <v>5660</v>
      </c>
      <c r="B5721" s="138">
        <f>'Revenues 9-14'!G5</f>
        <v>51843</v>
      </c>
      <c r="D5721" s="2" t="str">
        <f t="shared" si="88"/>
        <v>Error?</v>
      </c>
    </row>
    <row r="5722" spans="1:4" x14ac:dyDescent="0.2">
      <c r="A5722" s="5">
        <v>5661</v>
      </c>
      <c r="B5722" s="138">
        <f>'Revenues 9-14'!G7</f>
        <v>0</v>
      </c>
      <c r="D5722" s="2" t="str">
        <f t="shared" si="88"/>
        <v>Error?</v>
      </c>
    </row>
    <row r="5723" spans="1:4" x14ac:dyDescent="0.2">
      <c r="A5723" s="5">
        <v>5662</v>
      </c>
      <c r="B5723" s="138">
        <f>'Revenues 9-14'!G8</f>
        <v>65887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117730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15750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15750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133480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120254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120254</v>
      </c>
      <c r="C5915" s="2" t="s">
        <v>594</v>
      </c>
      <c r="D5915" s="2" t="str">
        <f t="shared" si="91"/>
        <v>Error?</v>
      </c>
    </row>
    <row r="5916" spans="1:4" x14ac:dyDescent="0.2">
      <c r="A5916" s="5">
        <v>5855</v>
      </c>
      <c r="B5916" s="138">
        <f>'Revenues 9-14'!I5</f>
        <v>14636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14636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14636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14637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14637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14637</v>
      </c>
      <c r="C6023" s="2" t="s">
        <v>594</v>
      </c>
      <c r="D6023" s="2" t="str">
        <f t="shared" si="93"/>
        <v>Error?</v>
      </c>
    </row>
    <row r="6024" spans="1:5" x14ac:dyDescent="0.2">
      <c r="A6024" s="5">
        <v>5963</v>
      </c>
      <c r="B6024" s="138">
        <f>'Revenues 9-14'!G109</f>
        <v>133480</v>
      </c>
      <c r="C6024" s="2" t="s">
        <v>594</v>
      </c>
      <c r="D6024" s="2" t="str">
        <f t="shared" si="93"/>
        <v>Error?</v>
      </c>
    </row>
    <row r="6025" spans="1:5" x14ac:dyDescent="0.2">
      <c r="A6025" s="5">
        <v>5964</v>
      </c>
      <c r="B6025" s="138">
        <f>'Revenues 9-14'!H109</f>
        <v>120254</v>
      </c>
      <c r="C6025" s="2" t="s">
        <v>594</v>
      </c>
      <c r="D6025" s="2" t="str">
        <f t="shared" si="93"/>
        <v>Error?</v>
      </c>
    </row>
    <row r="6026" spans="1:5" x14ac:dyDescent="0.2">
      <c r="A6026" s="5">
        <v>5965</v>
      </c>
      <c r="B6026" s="138">
        <f>'Revenues 9-14'!I109</f>
        <v>14636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14637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5741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169.69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196875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196875</v>
      </c>
      <c r="D6215" s="2" t="str">
        <f t="shared" si="96"/>
        <v>Error?</v>
      </c>
      <c r="E6215" s="2" t="s">
        <v>199</v>
      </c>
    </row>
    <row r="6216" spans="1:5" x14ac:dyDescent="0.2">
      <c r="A6216">
        <v>6155</v>
      </c>
      <c r="B6216" s="138">
        <f>'Assets-Liab 5-6'!J41</f>
        <v>196875</v>
      </c>
      <c r="D6216" s="2" t="str">
        <f t="shared" si="96"/>
        <v>Error?</v>
      </c>
      <c r="E6216" s="2" t="s">
        <v>199</v>
      </c>
    </row>
    <row r="6217" spans="1:5" x14ac:dyDescent="0.2">
      <c r="A6217">
        <v>6156</v>
      </c>
      <c r="B6217" s="138">
        <f>'Assets-Liab 5-6'!J4</f>
        <v>196875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295137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295137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295137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210237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210237</v>
      </c>
      <c r="D6229" s="2" t="str">
        <f t="shared" si="96"/>
        <v>Error?</v>
      </c>
      <c r="E6229" s="2" t="s">
        <v>199</v>
      </c>
    </row>
    <row r="6230" spans="1:5" x14ac:dyDescent="0.2">
      <c r="A6230">
        <v>6169</v>
      </c>
      <c r="B6230" s="138">
        <f>'Acct Summary 7-8'!J20</f>
        <v>84900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84900</v>
      </c>
      <c r="D6263" s="2" t="str">
        <f t="shared" si="96"/>
        <v>Error?</v>
      </c>
      <c r="E6263" s="2" t="s">
        <v>199</v>
      </c>
    </row>
    <row r="6264" spans="1:5" x14ac:dyDescent="0.2">
      <c r="A6264">
        <v>6203</v>
      </c>
      <c r="B6264" s="138">
        <f>'Acct Summary 7-8'!J79</f>
        <v>111975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196875</v>
      </c>
      <c r="D6266" s="2" t="str">
        <f t="shared" si="96"/>
        <v>Error?</v>
      </c>
      <c r="E6266" s="2" t="s">
        <v>199</v>
      </c>
    </row>
    <row r="6267" spans="1:5" x14ac:dyDescent="0.2">
      <c r="A6267">
        <v>6206</v>
      </c>
      <c r="B6267" s="138">
        <f>'Acct Summary 7-8'!C82</f>
        <v>-84832</v>
      </c>
      <c r="D6267" s="2" t="str">
        <f t="shared" si="96"/>
        <v>Error?</v>
      </c>
      <c r="E6267" s="2" t="s">
        <v>199</v>
      </c>
    </row>
    <row r="6268" spans="1:5" x14ac:dyDescent="0.2">
      <c r="A6268">
        <v>6207</v>
      </c>
      <c r="B6268" s="138">
        <f>'Acct Summary 7-8'!D82</f>
        <v>12047</v>
      </c>
      <c r="D6268" s="2" t="str">
        <f t="shared" si="96"/>
        <v>Error?</v>
      </c>
      <c r="E6268" s="2" t="s">
        <v>199</v>
      </c>
    </row>
    <row r="6269" spans="1:5" x14ac:dyDescent="0.2">
      <c r="A6269">
        <v>6208</v>
      </c>
      <c r="B6269" s="138">
        <f>'Acct Summary 7-8'!E82</f>
        <v>22905</v>
      </c>
      <c r="D6269" s="2" t="str">
        <f t="shared" si="96"/>
        <v>Error?</v>
      </c>
      <c r="E6269" s="2" t="s">
        <v>199</v>
      </c>
    </row>
    <row r="6270" spans="1:5" x14ac:dyDescent="0.2">
      <c r="A6270">
        <v>6209</v>
      </c>
      <c r="B6270" s="138">
        <f>'Acct Summary 7-8'!F82</f>
        <v>14107</v>
      </c>
      <c r="D6270" s="2" t="str">
        <f t="shared" si="96"/>
        <v>Error?</v>
      </c>
      <c r="E6270" s="2" t="s">
        <v>199</v>
      </c>
    </row>
    <row r="6271" spans="1:5" x14ac:dyDescent="0.2">
      <c r="A6271">
        <v>6210</v>
      </c>
      <c r="B6271" s="138">
        <f>'Acct Summary 7-8'!G82</f>
        <v>23528</v>
      </c>
      <c r="D6271" s="2" t="str">
        <f t="shared" ref="D6271:D6334" si="97">IF(ISBLANK(B6271),"OK",IF(A6271-B6271=0,"OK","Error?"))</f>
        <v>Error?</v>
      </c>
      <c r="E6271" s="2" t="s">
        <v>199</v>
      </c>
    </row>
    <row r="6272" spans="1:5" x14ac:dyDescent="0.2">
      <c r="A6272">
        <v>6211</v>
      </c>
      <c r="B6272" s="138">
        <f>'Acct Summary 7-8'!H82</f>
        <v>81255</v>
      </c>
      <c r="D6272" s="2" t="str">
        <f t="shared" si="97"/>
        <v>Error?</v>
      </c>
      <c r="E6272" s="2" t="s">
        <v>199</v>
      </c>
    </row>
    <row r="6273" spans="1:5" x14ac:dyDescent="0.2">
      <c r="A6273">
        <v>6212</v>
      </c>
      <c r="B6273" s="138">
        <f>'Acct Summary 7-8'!I82</f>
        <v>-50952</v>
      </c>
      <c r="D6273" s="2" t="str">
        <f t="shared" si="97"/>
        <v>Error?</v>
      </c>
      <c r="E6273" s="2" t="s">
        <v>199</v>
      </c>
    </row>
    <row r="6274" spans="1:5" x14ac:dyDescent="0.2">
      <c r="A6274">
        <v>6213</v>
      </c>
      <c r="B6274" s="138">
        <f>'Acct Summary 7-8'!J82</f>
        <v>84900</v>
      </c>
      <c r="D6274" s="2" t="str">
        <f t="shared" si="97"/>
        <v>Error?</v>
      </c>
      <c r="E6274" s="2" t="s">
        <v>199</v>
      </c>
    </row>
    <row r="6275" spans="1:5" x14ac:dyDescent="0.2">
      <c r="A6275">
        <v>6214</v>
      </c>
      <c r="B6275" s="138">
        <f>'Acct Summary 7-8'!K82</f>
        <v>201</v>
      </c>
      <c r="D6275" s="2" t="str">
        <f t="shared" si="97"/>
        <v>Error?</v>
      </c>
      <c r="E6275" s="2" t="s">
        <v>199</v>
      </c>
    </row>
    <row r="6276" spans="1:5" x14ac:dyDescent="0.2">
      <c r="A6276">
        <v>6215</v>
      </c>
      <c r="B6276" s="138">
        <f>'Acct Summary 7-8'!C83</f>
        <v>-0.14066925347394951</v>
      </c>
      <c r="D6276" s="2" t="str">
        <f t="shared" si="97"/>
        <v>Error?</v>
      </c>
      <c r="E6276" s="2" t="s">
        <v>199</v>
      </c>
    </row>
    <row r="6277" spans="1:5" x14ac:dyDescent="0.2">
      <c r="A6277">
        <v>6216</v>
      </c>
      <c r="B6277" s="138">
        <f>'Acct Summary 7-8'!D83</f>
        <v>0.1373707196369317</v>
      </c>
      <c r="D6277" s="2" t="str">
        <f t="shared" si="97"/>
        <v>Error?</v>
      </c>
      <c r="E6277" s="2" t="s">
        <v>199</v>
      </c>
    </row>
    <row r="6278" spans="1:5" x14ac:dyDescent="0.2">
      <c r="A6278">
        <v>6217</v>
      </c>
      <c r="B6278" s="138">
        <f>'Acct Summary 7-8'!E83</f>
        <v>0.16292170795723707</v>
      </c>
      <c r="D6278" s="2" t="str">
        <f t="shared" si="97"/>
        <v>Error?</v>
      </c>
      <c r="E6278" s="2" t="s">
        <v>199</v>
      </c>
    </row>
    <row r="6279" spans="1:5" x14ac:dyDescent="0.2">
      <c r="A6279">
        <v>6218</v>
      </c>
      <c r="B6279" s="138">
        <f>'Acct Summary 7-8'!F83</f>
        <v>5.4508641708171851E-2</v>
      </c>
      <c r="D6279" s="2" t="str">
        <f t="shared" si="97"/>
        <v>Error?</v>
      </c>
      <c r="E6279" s="2" t="s">
        <v>199</v>
      </c>
    </row>
    <row r="6280" spans="1:5" x14ac:dyDescent="0.2">
      <c r="A6280">
        <v>6219</v>
      </c>
      <c r="B6280" s="138">
        <f>'Acct Summary 7-8'!G83</f>
        <v>7.5582982906449672E-2</v>
      </c>
      <c r="D6280" s="2" t="str">
        <f t="shared" si="97"/>
        <v>Error?</v>
      </c>
      <c r="E6280" s="2" t="s">
        <v>199</v>
      </c>
    </row>
    <row r="6281" spans="1:5" x14ac:dyDescent="0.2">
      <c r="A6281">
        <v>6220</v>
      </c>
      <c r="B6281" s="138">
        <f>'Acct Summary 7-8'!H83</f>
        <v>0.93830111549920325</v>
      </c>
      <c r="D6281" s="2" t="str">
        <f t="shared" si="97"/>
        <v>Error?</v>
      </c>
      <c r="E6281" s="2" t="s">
        <v>199</v>
      </c>
    </row>
    <row r="6282" spans="1:5" x14ac:dyDescent="0.2">
      <c r="A6282">
        <v>6221</v>
      </c>
      <c r="B6282" s="138">
        <f>'Acct Summary 7-8'!I83</f>
        <v>-0.45367286973555337</v>
      </c>
      <c r="D6282" s="2" t="str">
        <f t="shared" si="97"/>
        <v>Error?</v>
      </c>
      <c r="E6282" s="2" t="s">
        <v>199</v>
      </c>
    </row>
    <row r="6283" spans="1:5" x14ac:dyDescent="0.2">
      <c r="A6283">
        <v>6222</v>
      </c>
      <c r="B6283" s="138">
        <f>'Acct Summary 7-8'!J83</f>
        <v>0.43123809523809525</v>
      </c>
      <c r="D6283" s="2" t="str">
        <f t="shared" si="97"/>
        <v>Error?</v>
      </c>
      <c r="E6283" s="2" t="s">
        <v>199</v>
      </c>
    </row>
    <row r="6284" spans="1:5" x14ac:dyDescent="0.2">
      <c r="A6284">
        <v>6223</v>
      </c>
      <c r="B6284" s="138">
        <f>'Acct Summary 7-8'!K83</f>
        <v>2.1424003410786614E-2</v>
      </c>
      <c r="D6284" s="2" t="str">
        <f t="shared" si="97"/>
        <v>Error?</v>
      </c>
      <c r="E6284" s="2" t="s">
        <v>199</v>
      </c>
    </row>
    <row r="6285" spans="1:5" x14ac:dyDescent="0.2">
      <c r="A6285">
        <v>6224</v>
      </c>
      <c r="B6285" s="138">
        <f>'Acct Summary 7-8'!E37</f>
        <v>6223</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295137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295137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1875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295137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40862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63642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14883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210237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295137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4314</v>
      </c>
      <c r="D7073" s="2" t="str">
        <f t="shared" si="109"/>
        <v>Error?</v>
      </c>
    </row>
    <row r="7074" spans="1:4" x14ac:dyDescent="0.2">
      <c r="A7074">
        <v>7013</v>
      </c>
      <c r="B7074" s="138">
        <f>'Expenditures 15-22'!K216</f>
        <v>4314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v>
      </c>
      <c r="D7079" s="2" t="str">
        <f t="shared" si="109"/>
        <v>Error?</v>
      </c>
    </row>
    <row r="7080" spans="1:4" x14ac:dyDescent="0.2">
      <c r="A7080">
        <v>7019</v>
      </c>
      <c r="B7080" s="138">
        <f>'Expenditures 15-22'!K226</f>
        <v>20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9625</v>
      </c>
      <c r="D7093" s="2" t="str">
        <f t="shared" si="109"/>
        <v>Error?</v>
      </c>
    </row>
    <row r="7094" spans="1:4" x14ac:dyDescent="0.2">
      <c r="A7094">
        <v>7033</v>
      </c>
      <c r="B7094" s="138">
        <f>'Expenditures 15-22'!K254</f>
        <v>9625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19069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19069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6320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6320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28535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28535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2329</v>
      </c>
      <c r="D7157" s="2" t="str">
        <f t="shared" si="110"/>
        <v>Error?</v>
      </c>
    </row>
    <row r="7158" spans="1:4" x14ac:dyDescent="0.2">
      <c r="A7158">
        <v>7097</v>
      </c>
      <c r="B7158" s="138">
        <f>'Expenditures 15-22'!G323</f>
        <v>46454</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48783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86203</v>
      </c>
      <c r="D7172" s="2" t="str">
        <f t="shared" si="111"/>
        <v>Error?</v>
      </c>
    </row>
    <row r="7173" spans="1:4" x14ac:dyDescent="0.2">
      <c r="A7173">
        <v>7112</v>
      </c>
      <c r="B7173" s="138">
        <f>'Expenditures 15-22'!D325</f>
        <v>15121</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101324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6206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6206</v>
      </c>
      <c r="D7198" s="2" t="str">
        <f t="shared" si="111"/>
        <v>Error?</v>
      </c>
    </row>
    <row r="7199" spans="1:4" x14ac:dyDescent="0.2">
      <c r="A7199">
        <v>7138</v>
      </c>
      <c r="B7199" s="138">
        <f>'Expenditures 15-22'!C330</f>
        <v>86203</v>
      </c>
      <c r="D7199" s="2" t="str">
        <f t="shared" si="111"/>
        <v>Error?</v>
      </c>
    </row>
    <row r="7200" spans="1:4" x14ac:dyDescent="0.2">
      <c r="A7200">
        <v>7139</v>
      </c>
      <c r="B7200" s="138">
        <f>'Expenditures 15-22'!D330</f>
        <v>15121</v>
      </c>
      <c r="D7200" s="2" t="str">
        <f t="shared" si="111"/>
        <v>Error?</v>
      </c>
    </row>
    <row r="7201" spans="1:4" x14ac:dyDescent="0.2">
      <c r="A7201">
        <v>7140</v>
      </c>
      <c r="B7201" s="138">
        <f>'Expenditures 15-22'!E330</f>
        <v>60130</v>
      </c>
      <c r="D7201" s="2" t="str">
        <f t="shared" si="111"/>
        <v>Error?</v>
      </c>
    </row>
    <row r="7202" spans="1:4" x14ac:dyDescent="0.2">
      <c r="A7202">
        <v>7141</v>
      </c>
      <c r="B7202" s="138">
        <f>'Expenditures 15-22'!F330</f>
        <v>2329</v>
      </c>
      <c r="D7202" s="2" t="str">
        <f t="shared" si="111"/>
        <v>Error?</v>
      </c>
    </row>
    <row r="7203" spans="1:4" x14ac:dyDescent="0.2">
      <c r="A7203">
        <v>7142</v>
      </c>
      <c r="B7203" s="138">
        <f>'Expenditures 15-22'!G330</f>
        <v>46454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210237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86203</v>
      </c>
      <c r="D7216" s="2" t="str">
        <f t="shared" si="111"/>
        <v>Error?</v>
      </c>
    </row>
    <row r="7217" spans="1:4" x14ac:dyDescent="0.2">
      <c r="A7217">
        <v>7156</v>
      </c>
      <c r="B7217" s="138">
        <f>'Expenditures 15-22'!D342</f>
        <v>15121</v>
      </c>
      <c r="D7217" s="2" t="str">
        <f t="shared" si="111"/>
        <v>Error?</v>
      </c>
    </row>
    <row r="7218" spans="1:4" x14ac:dyDescent="0.2">
      <c r="A7218">
        <v>7157</v>
      </c>
      <c r="B7218" s="138">
        <f>'Expenditures 15-22'!E342</f>
        <v>60130</v>
      </c>
      <c r="D7218" s="2" t="str">
        <f t="shared" si="111"/>
        <v>Error?</v>
      </c>
    </row>
    <row r="7219" spans="1:4" x14ac:dyDescent="0.2">
      <c r="A7219">
        <v>7158</v>
      </c>
      <c r="B7219" s="138">
        <f>'Expenditures 15-22'!F342</f>
        <v>2329</v>
      </c>
      <c r="D7219" s="2" t="str">
        <f t="shared" si="111"/>
        <v>Error?</v>
      </c>
    </row>
    <row r="7220" spans="1:4" x14ac:dyDescent="0.2">
      <c r="A7220">
        <v>7159</v>
      </c>
      <c r="B7220" s="138">
        <f>'Expenditures 15-22'!G342</f>
        <v>46454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210237</v>
      </c>
      <c r="D7224" s="2" t="str">
        <f t="shared" si="111"/>
        <v>Error?</v>
      </c>
    </row>
    <row r="7225" spans="1:4" x14ac:dyDescent="0.2">
      <c r="A7225">
        <v>7164</v>
      </c>
      <c r="B7225" s="138">
        <f>'Expenditures 15-22'!K343</f>
        <v>84900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6809</v>
      </c>
      <c r="D7246" s="2" t="str">
        <f t="shared" si="112"/>
        <v>Error?</v>
      </c>
    </row>
    <row r="7247" spans="1:4" x14ac:dyDescent="0.2">
      <c r="A7247">
        <f t="shared" si="113"/>
        <v>7186</v>
      </c>
      <c r="B7247" s="138">
        <f>'Expenditures 15-22'!E7</f>
        <v>253</v>
      </c>
      <c r="D7247" s="2" t="str">
        <f t="shared" si="112"/>
        <v>Error?</v>
      </c>
    </row>
    <row r="7248" spans="1:4" x14ac:dyDescent="0.2">
      <c r="A7248">
        <f t="shared" si="113"/>
        <v>7187</v>
      </c>
      <c r="B7248" s="138">
        <f>'Expenditures 15-22'!F7</f>
        <v>6832</v>
      </c>
      <c r="D7248" s="2" t="str">
        <f t="shared" si="112"/>
        <v>Error?</v>
      </c>
    </row>
    <row r="7249" spans="1:4" x14ac:dyDescent="0.2">
      <c r="A7249">
        <f t="shared" si="113"/>
        <v>7188</v>
      </c>
      <c r="B7249" s="138">
        <f>'Expenditures 15-22'!G7</f>
        <v>8886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12303</v>
      </c>
      <c r="D7263" s="2" t="str">
        <f t="shared" si="112"/>
        <v>Error?</v>
      </c>
    </row>
    <row r="7264" spans="1:4" x14ac:dyDescent="0.2">
      <c r="A7264">
        <f t="shared" si="113"/>
        <v>7203</v>
      </c>
      <c r="B7264" s="138">
        <f>'Expenditures 15-22'!D17</f>
        <v>138</v>
      </c>
      <c r="D7264" s="2" t="str">
        <f t="shared" si="112"/>
        <v>Error?</v>
      </c>
    </row>
    <row r="7265" spans="1:5" x14ac:dyDescent="0.2">
      <c r="A7265">
        <f t="shared" si="113"/>
        <v>7204</v>
      </c>
      <c r="B7265" s="138">
        <f>'Expenditures 15-22'!E17</f>
        <v>2442</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87742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6223</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5343</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1875</v>
      </c>
      <c r="D7712" s="2" t="str">
        <f t="shared" si="126"/>
        <v>Error?</v>
      </c>
      <c r="E7712" s="2" t="s">
        <v>881</v>
      </c>
    </row>
    <row r="7713" spans="1:6" x14ac:dyDescent="0.2">
      <c r="A7713">
        <v>7652</v>
      </c>
      <c r="B7713" s="138">
        <f>'Rest Tax Levies-Tort Im 25'!J8</f>
        <v>130904</v>
      </c>
      <c r="D7713" s="2" t="str">
        <f t="shared" si="126"/>
        <v>Error?</v>
      </c>
      <c r="E7713" s="2" t="s">
        <v>881</v>
      </c>
    </row>
    <row r="7714" spans="1:6" x14ac:dyDescent="0.2">
      <c r="A7714">
        <v>7653</v>
      </c>
      <c r="B7714" s="138">
        <f>'Rest Tax Levies-Tort Im 25'!K9</f>
        <v>2741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130904</v>
      </c>
      <c r="D7718" s="2" t="str">
        <f t="shared" si="126"/>
        <v>Error?</v>
      </c>
      <c r="E7718" s="2" t="s">
        <v>881</v>
      </c>
    </row>
    <row r="7719" spans="1:6" x14ac:dyDescent="0.2">
      <c r="A7719">
        <v>7658</v>
      </c>
      <c r="B7719" s="138">
        <f>'Rest Tax Levies-Tort Im 25'!K12</f>
        <v>4616</v>
      </c>
      <c r="D7719" s="2" t="str">
        <f t="shared" si="126"/>
        <v>Error?</v>
      </c>
      <c r="E7719" s="2" t="s">
        <v>881</v>
      </c>
    </row>
    <row r="7720" spans="1:6" x14ac:dyDescent="0.2">
      <c r="A7720">
        <v>7659</v>
      </c>
      <c r="B7720" s="138">
        <f>'Rest Tax Levies-Tort Im 25'!H14</f>
        <v>11712</v>
      </c>
      <c r="D7720" s="2" t="str">
        <f t="shared" si="126"/>
        <v>Error?</v>
      </c>
      <c r="E7720" s="2" t="s">
        <v>881</v>
      </c>
    </row>
    <row r="7721" spans="1:6" x14ac:dyDescent="0.2">
      <c r="A7721">
        <v>7660</v>
      </c>
      <c r="B7721" s="138">
        <f>'Rest Tax Levies-Tort Im 25'!K14</f>
        <v>4616</v>
      </c>
      <c r="D7721" s="2" t="str">
        <f t="shared" si="126"/>
        <v>Error?</v>
      </c>
      <c r="E7721" s="2" t="s">
        <v>881</v>
      </c>
    </row>
    <row r="7722" spans="1:6" x14ac:dyDescent="0.2">
      <c r="A7722">
        <v>7661</v>
      </c>
      <c r="B7722" s="138">
        <f>'Rest Tax Levies-Tort Im 25'!J15</f>
        <v>49649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10650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49649</v>
      </c>
      <c r="D7730" s="2" t="str">
        <f t="shared" si="126"/>
        <v>Error?</v>
      </c>
      <c r="E7730" s="2" t="s">
        <v>881</v>
      </c>
    </row>
    <row r="7731" spans="1:6" x14ac:dyDescent="0.2">
      <c r="A7731">
        <v>7670</v>
      </c>
      <c r="B7731" s="138">
        <f>'Revenues 9-14'!H103</f>
        <v>120254</v>
      </c>
      <c r="D7731" s="2" t="str">
        <f t="shared" si="126"/>
        <v>Error?</v>
      </c>
      <c r="E7731" s="2" t="s">
        <v>881</v>
      </c>
    </row>
    <row r="7732" spans="1:6" x14ac:dyDescent="0.2">
      <c r="A7732">
        <v>7671</v>
      </c>
      <c r="B7732" s="138">
        <f>'Rest Tax Levies-Tort Im 25'!J24</f>
        <v>86598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86598</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9000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24788</v>
      </c>
      <c r="D7797" s="2" t="str">
        <f t="shared" si="127"/>
        <v>Error?</v>
      </c>
      <c r="E7797" s="4" t="s">
        <v>2020</v>
      </c>
    </row>
    <row r="7798" spans="1:5" x14ac:dyDescent="0.2">
      <c r="A7798">
        <v>7737</v>
      </c>
      <c r="B7798" s="138">
        <f>'Contracts Paid in CY 29'!F141</f>
        <v>24788</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Meredosia- Chambersburg Community Unit District 11</v>
      </c>
      <c r="B7" s="2422"/>
      <c r="C7" s="2422"/>
      <c r="D7" s="2423"/>
      <c r="E7" s="2424">
        <f>COVER!A13</f>
        <v>1069011026</v>
      </c>
      <c r="F7" s="2425"/>
      <c r="G7" s="2431" t="str">
        <f>COVER!T23</f>
        <v>066-004993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Zumbahlen, Eyth, Surratt, Foote &amp; Flynn, Ltd.</v>
      </c>
      <c r="H9" s="2437"/>
      <c r="I9" s="2437"/>
      <c r="J9" s="2437"/>
      <c r="K9" s="2437"/>
      <c r="L9" s="2438"/>
    </row>
    <row r="10" spans="1:29" ht="13.5" customHeight="1" x14ac:dyDescent="0.2">
      <c r="A10" s="2411" t="str">
        <f>COVER!A38</f>
        <v>Thad Walker</v>
      </c>
      <c r="B10" s="2412"/>
      <c r="C10" s="2412"/>
      <c r="D10" s="2412"/>
      <c r="E10" s="2412"/>
      <c r="F10" s="2413"/>
      <c r="G10" s="2405" t="str">
        <f>COVER!T17</f>
        <v>1395 Lincoln Ave</v>
      </c>
      <c r="H10" s="2406"/>
      <c r="I10" s="2406"/>
      <c r="J10" s="2406"/>
      <c r="K10" s="2406"/>
      <c r="L10" s="2407"/>
    </row>
    <row r="11" spans="1:29" ht="13.5" customHeight="1" x14ac:dyDescent="0.2">
      <c r="A11" s="1185" t="s">
        <v>1599</v>
      </c>
      <c r="B11" s="1186"/>
      <c r="C11" s="1187"/>
      <c r="D11" s="1192"/>
      <c r="E11" s="1187"/>
      <c r="F11" s="1191"/>
      <c r="G11" s="2405" t="str">
        <f>COVER!T19</f>
        <v>Jacksonville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awithee@zescpa.com</v>
      </c>
      <c r="J13" s="2418"/>
      <c r="K13" s="2418"/>
      <c r="L13" s="2419"/>
    </row>
    <row r="14" spans="1:29" ht="13.5" customHeight="1" x14ac:dyDescent="0.2">
      <c r="A14" s="2405" t="str">
        <f>COVER!A19</f>
        <v>830 Main Street</v>
      </c>
      <c r="B14" s="2406"/>
      <c r="C14" s="2406"/>
      <c r="D14" s="2406"/>
      <c r="E14" s="2406"/>
      <c r="F14" s="2407"/>
      <c r="G14" s="1196" t="s">
        <v>1247</v>
      </c>
      <c r="H14" s="1194"/>
      <c r="I14" s="1194"/>
      <c r="J14" s="1194"/>
      <c r="K14" s="1194"/>
      <c r="L14" s="1195"/>
    </row>
    <row r="15" spans="1:29" ht="13.5" customHeight="1" x14ac:dyDescent="0.2">
      <c r="A15" s="2405" t="str">
        <f>COVER!A21</f>
        <v>Meredosia</v>
      </c>
      <c r="B15" s="2406"/>
      <c r="C15" s="2406"/>
      <c r="D15" s="2406"/>
      <c r="E15" s="2406"/>
      <c r="F15" s="2407"/>
      <c r="G15" s="2402" t="str">
        <f>COVER!T15</f>
        <v>Adam R. Withee</v>
      </c>
      <c r="H15" s="2403"/>
      <c r="I15" s="2403"/>
      <c r="J15" s="2403"/>
      <c r="K15" s="2403"/>
      <c r="L15" s="2404"/>
    </row>
    <row r="16" spans="1:29" ht="12.2" customHeight="1" x14ac:dyDescent="0.2">
      <c r="A16" s="2427">
        <f>COVER!A25</f>
        <v>62665</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217-245-5121</v>
      </c>
      <c r="H18" s="2422"/>
      <c r="I18" s="2422"/>
      <c r="J18" s="2422"/>
      <c r="K18" s="2421" t="str">
        <f>COVER!X21</f>
        <v>217-243-3356</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Meredosia- Chambersburg Community Unit District 11</v>
      </c>
      <c r="B1" s="2420"/>
      <c r="C1" s="2420"/>
      <c r="D1" s="2420"/>
    </row>
    <row r="2" spans="1:11" s="1215" customFormat="1" ht="12.75" x14ac:dyDescent="0.2">
      <c r="A2" s="2444">
        <f>'Single Audit Cover'!E7</f>
        <v>1069011026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6"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Meredosia- Chambersburg Community Unit District 11</v>
      </c>
      <c r="B1" s="2447"/>
      <c r="C1" s="2447"/>
      <c r="D1" s="2447"/>
      <c r="E1" s="2447"/>
    </row>
    <row r="2" spans="1:5" x14ac:dyDescent="0.2">
      <c r="A2" s="2448">
        <f>'Single Audit Cover'!E7</f>
        <v>1069011026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238050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5741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-23324</v>
      </c>
    </row>
    <row r="19" spans="1:4" ht="13.5" thickBot="1" x14ac:dyDescent="0.25">
      <c r="A19" s="1265" t="s">
        <v>1297</v>
      </c>
      <c r="D19" s="1266">
        <f>SUM(D10:D17)</f>
        <v>220467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220467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220467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Meredosia- Chambersburg Community Unit District 11</v>
      </c>
      <c r="B1" s="2460"/>
      <c r="C1" s="2460"/>
      <c r="D1" s="2460"/>
      <c r="E1" s="2460"/>
      <c r="F1" s="2460"/>
    </row>
    <row r="2" spans="1:7" ht="13.5" customHeight="1" x14ac:dyDescent="0.2">
      <c r="A2" s="2461">
        <f>'Single Audit Cover'!E7</f>
        <v>1069011026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Meredosia- Chambersburg Community Unit District 11</v>
      </c>
      <c r="C1" s="2464"/>
      <c r="D1" s="2464"/>
      <c r="E1" s="2464"/>
      <c r="F1" s="2464"/>
      <c r="G1" s="2464"/>
      <c r="H1" s="2464"/>
      <c r="I1" s="2464"/>
      <c r="J1" s="2464"/>
      <c r="K1" s="2464"/>
      <c r="L1" s="2464"/>
      <c r="M1" s="2464"/>
    </row>
    <row r="2" spans="2:14" ht="15" x14ac:dyDescent="0.2">
      <c r="B2" s="2461">
        <f>'Single Audit Cover'!E7</f>
        <v>1069011026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1" colorId="8" zoomScale="110" zoomScaleNormal="110" workbookViewId="0">
      <selection activeCell="H67" sqref="H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2082</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Meredosia- Chambersburg Community Unit District 11</v>
      </c>
      <c r="C1" s="2479"/>
      <c r="D1" s="2479"/>
      <c r="E1" s="2479"/>
      <c r="F1" s="2479"/>
      <c r="G1" s="2479"/>
      <c r="H1" s="2479"/>
      <c r="I1" s="2479"/>
      <c r="J1" s="1422"/>
    </row>
    <row r="2" spans="2:10" s="317" customFormat="1" ht="12.75" customHeight="1" x14ac:dyDescent="0.2">
      <c r="B2" s="2480">
        <f>'Single Audit Cover'!E7</f>
        <v>1069011026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Meredosia- Chambersburg Community Unit District 11</v>
      </c>
      <c r="C1" s="2478"/>
      <c r="D1" s="2478"/>
      <c r="E1" s="2478"/>
      <c r="F1" s="2478"/>
      <c r="G1" s="2478"/>
      <c r="H1" s="2478"/>
      <c r="I1" s="2478"/>
      <c r="J1" s="2478"/>
      <c r="K1" s="2478"/>
      <c r="L1" s="1374"/>
      <c r="M1" s="1374"/>
    </row>
    <row r="2" spans="1:13" ht="12" customHeight="1" x14ac:dyDescent="0.2">
      <c r="B2" s="2480">
        <f>'Single Audit Cover'!E7</f>
        <v>1069011026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Meredosia- Chambersburg Community Unit District 11</v>
      </c>
      <c r="C1" s="2501"/>
      <c r="D1" s="2501"/>
      <c r="E1" s="2501"/>
      <c r="F1" s="2501"/>
      <c r="G1" s="2501"/>
      <c r="H1" s="2501"/>
      <c r="I1" s="2501"/>
      <c r="J1" s="2501"/>
      <c r="K1" s="2501"/>
      <c r="L1" s="1465"/>
    </row>
    <row r="2" spans="1:12" ht="12.75" customHeight="1" x14ac:dyDescent="0.2">
      <c r="B2" s="2502">
        <f>'Single Audit Cover'!E7</f>
        <v>1069011026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Meredosia- Chambersburg Community Unit District 11</v>
      </c>
      <c r="C1" s="2478"/>
      <c r="D1" s="2478"/>
      <c r="E1" s="1491"/>
    </row>
    <row r="2" spans="2:5" s="1282" customFormat="1" ht="12.75" customHeight="1" x14ac:dyDescent="0.2">
      <c r="B2" s="2480">
        <f>'Single Audit Cover'!E7</f>
        <v>1069011026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67" sqref="H6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27735889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2.75E-2</v>
      </c>
      <c r="E10" s="356" t="s">
        <v>1062</v>
      </c>
      <c r="F10" s="355">
        <v>5.0000000000000001E-3</v>
      </c>
      <c r="G10" s="356" t="s">
        <v>1062</v>
      </c>
      <c r="H10" s="355">
        <v>2E-3</v>
      </c>
      <c r="I10" s="356" t="s">
        <v>1063</v>
      </c>
      <c r="J10" s="1754">
        <f>ROUND(D10+F10+H10,5)</f>
        <v>3.4500000000000003E-2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2710292</v>
      </c>
      <c r="E16" s="356"/>
      <c r="F16" s="1755">
        <f>SUM('Acct Summary 7-8'!C17,'Acct Summary 7-8'!D17,'Acct Summary 7-8'!F17)</f>
        <v>2862368</v>
      </c>
      <c r="G16" s="356"/>
      <c r="H16" s="1755">
        <f>SUM(D16-F16)</f>
        <v>-152076</v>
      </c>
      <c r="I16" s="222"/>
      <c r="J16" s="1755">
        <f>SUM('Acct Summary 7-8'!C81,'Acct Summary 7-8'!D81,'Acct Summary 7-8'!F81,'Acct Summary 7-8'!I81)</f>
        <v>1061870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3827552.6820000005</v>
      </c>
      <c r="I31" s="368"/>
      <c r="J31" s="222"/>
      <c r="K31" s="222"/>
      <c r="L31" s="222"/>
      <c r="M31" s="222"/>
    </row>
    <row r="32" spans="1:13" ht="13.35" customHeight="1" x14ac:dyDescent="0.2">
      <c r="B32" s="369" t="s">
        <v>2095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232446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H67" sqref="H6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Meredosia- Chambersburg Community Unit District 11</v>
      </c>
      <c r="E7" s="391"/>
      <c r="G7" s="252"/>
      <c r="H7" s="387"/>
      <c r="I7" s="387"/>
      <c r="J7" s="387"/>
      <c r="K7" s="387"/>
      <c r="L7" s="329"/>
      <c r="M7" s="329"/>
      <c r="N7" s="329"/>
      <c r="O7" s="329"/>
      <c r="P7" s="329"/>
    </row>
    <row r="8" spans="1:18" ht="12.75" x14ac:dyDescent="0.2">
      <c r="A8" s="329"/>
      <c r="B8" s="329"/>
      <c r="C8" s="389" t="s">
        <v>1187</v>
      </c>
      <c r="D8" s="392">
        <f>COVER!A13</f>
        <v>1069011026</v>
      </c>
      <c r="E8" s="393"/>
      <c r="G8" s="329"/>
      <c r="H8" s="329"/>
      <c r="I8" s="329"/>
      <c r="J8" s="329"/>
      <c r="K8" s="329"/>
      <c r="L8" s="329"/>
      <c r="M8" s="329"/>
      <c r="N8" s="329"/>
      <c r="O8" s="329"/>
      <c r="P8" s="329"/>
    </row>
    <row r="9" spans="1:18" ht="12.75" x14ac:dyDescent="0.2">
      <c r="A9" s="329"/>
      <c r="B9" s="329"/>
      <c r="C9" s="389" t="s">
        <v>737</v>
      </c>
      <c r="D9" s="394" t="str">
        <f>COVER!A15</f>
        <v>Morgan, Cass, Brown, Pike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1061870</v>
      </c>
      <c r="I12" s="404"/>
      <c r="J12" s="404"/>
      <c r="K12" s="405">
        <f>TRUNC((H12/H13*100000),5)/100000</f>
        <v>0.39179173309999998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2710292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2862368</v>
      </c>
      <c r="I17" s="404"/>
      <c r="J17" s="416"/>
      <c r="K17" s="405">
        <f>TRUNC((H17/H18*100000),5)/100000</f>
        <v>1.0561105593</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2710292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5.2002997999999998</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1061870</v>
      </c>
      <c r="I24" s="422"/>
      <c r="J24" s="422"/>
      <c r="K24" s="423">
        <f>TRUNC(((H24/H25*100000)/100000),2)</f>
        <v>133.55000000000001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7951.0222199999998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813354.94493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232446</v>
      </c>
      <c r="I32" s="420"/>
      <c r="J32" s="420"/>
      <c r="K32" s="423">
        <f>TRUNC(100-((((H32/H33*100))*100)/100),2)</f>
        <v>93.92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3827552.6820000005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2" activePane="bottomLeft" state="frozen"/>
      <selection activeCell="H67" sqref="H67"/>
      <selection pane="bottomLeft" activeCell="H67" sqref="H6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541675</v>
      </c>
      <c r="D4" s="466">
        <v>87697</v>
      </c>
      <c r="E4" s="466">
        <v>140589</v>
      </c>
      <c r="F4" s="466">
        <v>258803</v>
      </c>
      <c r="G4" s="466">
        <v>213545</v>
      </c>
      <c r="H4" s="466">
        <v>86598</v>
      </c>
      <c r="I4" s="466">
        <v>1000</v>
      </c>
      <c r="J4" s="467">
        <v>196875</v>
      </c>
      <c r="K4" s="466">
        <v>9382</v>
      </c>
      <c r="L4" s="466">
        <v>50883</v>
      </c>
      <c r="M4" s="468"/>
      <c r="N4" s="469"/>
    </row>
    <row r="5" spans="1:14" x14ac:dyDescent="0.2">
      <c r="A5" s="463" t="s">
        <v>1049</v>
      </c>
      <c r="B5" s="470">
        <v>120</v>
      </c>
      <c r="C5" s="465">
        <v>61385</v>
      </c>
      <c r="D5" s="466"/>
      <c r="E5" s="466"/>
      <c r="F5" s="466"/>
      <c r="G5" s="466">
        <v>97742</v>
      </c>
      <c r="H5" s="466"/>
      <c r="I5" s="466">
        <v>111310</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603060</v>
      </c>
      <c r="D13" s="1759">
        <f t="shared" ref="D13:L13" si="0">SUM(D4:D12)</f>
        <v>87697</v>
      </c>
      <c r="E13" s="1759">
        <f t="shared" si="0"/>
        <v>140589</v>
      </c>
      <c r="F13" s="1759">
        <f t="shared" si="0"/>
        <v>258803</v>
      </c>
      <c r="G13" s="1759">
        <f t="shared" si="0"/>
        <v>311287</v>
      </c>
      <c r="H13" s="1759">
        <f t="shared" si="0"/>
        <v>86598</v>
      </c>
      <c r="I13" s="1759">
        <f t="shared" si="0"/>
        <v>112310</v>
      </c>
      <c r="J13" s="1759">
        <f t="shared" si="0"/>
        <v>196875</v>
      </c>
      <c r="K13" s="1759">
        <f t="shared" si="0"/>
        <v>9382</v>
      </c>
      <c r="L13" s="1759">
        <f t="shared" si="0"/>
        <v>50883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4500</v>
      </c>
      <c r="N16" s="484"/>
    </row>
    <row r="17" spans="1:14" s="485" customFormat="1" ht="12.75" customHeight="1" x14ac:dyDescent="0.2">
      <c r="A17" s="482" t="s">
        <v>1470</v>
      </c>
      <c r="B17" s="483">
        <v>230</v>
      </c>
      <c r="C17" s="477"/>
      <c r="D17" s="477"/>
      <c r="E17" s="477"/>
      <c r="F17" s="477"/>
      <c r="G17" s="477"/>
      <c r="H17" s="477"/>
      <c r="I17" s="477"/>
      <c r="J17" s="477"/>
      <c r="K17" s="477"/>
      <c r="L17" s="477"/>
      <c r="M17" s="467">
        <v>3061806</v>
      </c>
      <c r="N17" s="484"/>
    </row>
    <row r="18" spans="1:14" s="485" customFormat="1" ht="12.75" customHeight="1" x14ac:dyDescent="0.2">
      <c r="A18" s="482" t="s">
        <v>1471</v>
      </c>
      <c r="B18" s="483">
        <v>240</v>
      </c>
      <c r="C18" s="477"/>
      <c r="D18" s="477"/>
      <c r="E18" s="477"/>
      <c r="F18" s="477"/>
      <c r="G18" s="477"/>
      <c r="H18" s="477"/>
      <c r="I18" s="477"/>
      <c r="J18" s="477"/>
      <c r="K18" s="477"/>
      <c r="L18" s="477"/>
      <c r="M18" s="467">
        <v>1096931</v>
      </c>
      <c r="N18" s="484"/>
    </row>
    <row r="19" spans="1:14" s="485" customFormat="1" ht="12.75" customHeight="1" x14ac:dyDescent="0.2">
      <c r="A19" s="482" t="s">
        <v>1472</v>
      </c>
      <c r="B19" s="483">
        <v>250</v>
      </c>
      <c r="C19" s="477"/>
      <c r="D19" s="477"/>
      <c r="E19" s="477"/>
      <c r="F19" s="477"/>
      <c r="G19" s="477"/>
      <c r="H19" s="477"/>
      <c r="I19" s="477"/>
      <c r="J19" s="477"/>
      <c r="K19" s="477"/>
      <c r="L19" s="477"/>
      <c r="M19" s="467">
        <v>376551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140589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91857</v>
      </c>
    </row>
    <row r="23" spans="1:14" ht="13.5" customHeight="1" thickBot="1" x14ac:dyDescent="0.25">
      <c r="A23" s="1758" t="s">
        <v>664</v>
      </c>
      <c r="B23" s="1763"/>
      <c r="C23" s="468"/>
      <c r="D23" s="468"/>
      <c r="E23" s="468"/>
      <c r="F23" s="468"/>
      <c r="G23" s="468"/>
      <c r="H23" s="468"/>
      <c r="I23" s="468"/>
      <c r="J23" s="468"/>
      <c r="K23" s="468"/>
      <c r="L23" s="468"/>
      <c r="M23" s="1710">
        <f>SUM(M15:M22)</f>
        <v>4539788</v>
      </c>
      <c r="N23" s="1710">
        <f>SUM(N21:N22)</f>
        <v>232446</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50883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50883</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232446</v>
      </c>
    </row>
    <row r="37" spans="1:14" ht="13.5" thickBot="1" x14ac:dyDescent="0.25">
      <c r="A37" s="1758" t="s">
        <v>674</v>
      </c>
      <c r="B37" s="1763"/>
      <c r="C37" s="477"/>
      <c r="D37" s="477"/>
      <c r="E37" s="477"/>
      <c r="F37" s="477"/>
      <c r="G37" s="477"/>
      <c r="H37" s="477"/>
      <c r="I37" s="477"/>
      <c r="J37" s="477"/>
      <c r="K37" s="477"/>
      <c r="L37" s="480"/>
      <c r="M37" s="468"/>
      <c r="N37" s="1710">
        <f>SUM(N36:N36)</f>
        <v>232446</v>
      </c>
    </row>
    <row r="38" spans="1:14" s="329" customFormat="1" ht="13.5" customHeight="1" thickTop="1" x14ac:dyDescent="0.2">
      <c r="A38" s="496" t="s">
        <v>440</v>
      </c>
      <c r="B38" s="483">
        <v>714</v>
      </c>
      <c r="C38" s="466">
        <f>1214+61385</f>
        <v>62599</v>
      </c>
      <c r="D38" s="466"/>
      <c r="E38" s="466"/>
      <c r="F38" s="466"/>
      <c r="G38" s="466">
        <v>78840</v>
      </c>
      <c r="H38" s="466">
        <v>86598</v>
      </c>
      <c r="I38" s="466"/>
      <c r="J38" s="467"/>
      <c r="K38" s="466"/>
      <c r="L38" s="481"/>
      <c r="M38" s="497"/>
      <c r="N38" s="497"/>
    </row>
    <row r="39" spans="1:14" s="329" customFormat="1" ht="13.5" customHeight="1" x14ac:dyDescent="0.2">
      <c r="A39" s="496" t="s">
        <v>360</v>
      </c>
      <c r="B39" s="483">
        <v>730</v>
      </c>
      <c r="C39" s="466">
        <f>601846-61385</f>
        <v>540461</v>
      </c>
      <c r="D39" s="466">
        <v>87697</v>
      </c>
      <c r="E39" s="466">
        <v>140589</v>
      </c>
      <c r="F39" s="466">
        <v>258803</v>
      </c>
      <c r="G39" s="466">
        <f>311287-78840</f>
        <v>232447</v>
      </c>
      <c r="H39" s="466"/>
      <c r="I39" s="466">
        <v>112310</v>
      </c>
      <c r="J39" s="467">
        <v>196875</v>
      </c>
      <c r="K39" s="466">
        <v>9382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4539788</v>
      </c>
      <c r="N40" s="497"/>
    </row>
    <row r="41" spans="1:14" ht="13.5" customHeight="1" thickBot="1" x14ac:dyDescent="0.25">
      <c r="A41" s="1758" t="s">
        <v>676</v>
      </c>
      <c r="B41" s="1728"/>
      <c r="C41" s="1710">
        <f>(SUM(C34,C37,C38,C39))</f>
        <v>603060</v>
      </c>
      <c r="D41" s="1710">
        <f t="shared" ref="D41:L41" si="2">SUM(D34,D37,D38:D39)</f>
        <v>87697</v>
      </c>
      <c r="E41" s="1710">
        <f t="shared" si="2"/>
        <v>140589</v>
      </c>
      <c r="F41" s="1710">
        <f t="shared" si="2"/>
        <v>258803</v>
      </c>
      <c r="G41" s="1710">
        <f t="shared" si="2"/>
        <v>311287</v>
      </c>
      <c r="H41" s="1710">
        <f t="shared" si="2"/>
        <v>86598</v>
      </c>
      <c r="I41" s="1710">
        <f t="shared" si="2"/>
        <v>112310</v>
      </c>
      <c r="J41" s="1710">
        <f t="shared" si="2"/>
        <v>196875</v>
      </c>
      <c r="K41" s="1710">
        <f t="shared" si="2"/>
        <v>9382</v>
      </c>
      <c r="L41" s="1710">
        <f t="shared" si="2"/>
        <v>50883</v>
      </c>
      <c r="M41" s="1710">
        <f>SUM(M40)</f>
        <v>4539788</v>
      </c>
      <c r="N41" s="1710">
        <f>SUM(N37)</f>
        <v>232446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H67" sqref="H67"/>
      <selection pane="bottomLeft" activeCell="H67" sqref="H6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1502137</v>
      </c>
      <c r="D4" s="1764">
        <f>'Revenues 9-14'!D109</f>
        <v>287810</v>
      </c>
      <c r="E4" s="1764">
        <f>'Revenues 9-14'!E109</f>
        <v>191049</v>
      </c>
      <c r="F4" s="1764">
        <f>'Revenues 9-14'!F109</f>
        <v>111596</v>
      </c>
      <c r="G4" s="1764">
        <f>'Revenues 9-14'!G109</f>
        <v>133480</v>
      </c>
      <c r="H4" s="1764">
        <f>'Revenues 9-14'!H109</f>
        <v>120254</v>
      </c>
      <c r="I4" s="1764">
        <f>'Revenues 9-14'!I109</f>
        <v>14636</v>
      </c>
      <c r="J4" s="1764">
        <f>'Revenues 9-14'!J109</f>
        <v>295137</v>
      </c>
      <c r="K4" s="1764">
        <f>'Revenues 9-14'!K109</f>
        <v>14637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488328</v>
      </c>
      <c r="D6" s="1765">
        <f>'Revenues 9-14'!D173</f>
        <v>0</v>
      </c>
      <c r="E6" s="1765">
        <f>'Revenues 9-14'!E173</f>
        <v>0</v>
      </c>
      <c r="F6" s="1765">
        <f>'Revenues 9-14'!F173</f>
        <v>67735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238050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2228515</v>
      </c>
      <c r="D8" s="1710">
        <f t="shared" ref="D8:K8" si="0">SUM(D4:D7)</f>
        <v>287810</v>
      </c>
      <c r="E8" s="1710">
        <f t="shared" si="0"/>
        <v>191049</v>
      </c>
      <c r="F8" s="1710">
        <f t="shared" si="0"/>
        <v>179331</v>
      </c>
      <c r="G8" s="1710">
        <f t="shared" si="0"/>
        <v>133480</v>
      </c>
      <c r="H8" s="1710">
        <f t="shared" si="0"/>
        <v>120254</v>
      </c>
      <c r="I8" s="1710">
        <f t="shared" si="0"/>
        <v>14636</v>
      </c>
      <c r="J8" s="1710">
        <f t="shared" si="0"/>
        <v>295137</v>
      </c>
      <c r="K8" s="1710">
        <f t="shared" si="0"/>
        <v>14637</v>
      </c>
      <c r="L8" s="347"/>
    </row>
    <row r="9" spans="1:13" ht="15.75" thickTop="1" x14ac:dyDescent="0.2">
      <c r="A9" s="514" t="s">
        <v>1752</v>
      </c>
      <c r="B9" s="515">
        <v>3998</v>
      </c>
      <c r="C9" s="481">
        <v>1011307</v>
      </c>
      <c r="D9" s="516"/>
      <c r="E9" s="481"/>
      <c r="F9" s="481"/>
      <c r="G9" s="517"/>
      <c r="H9" s="481"/>
      <c r="I9" s="509" t="s">
        <v>1231</v>
      </c>
      <c r="J9" s="478"/>
      <c r="K9" s="481"/>
      <c r="L9" s="347"/>
    </row>
    <row r="10" spans="1:13" s="519" customFormat="1" ht="13.5" thickBot="1" x14ac:dyDescent="0.25">
      <c r="A10" s="1758" t="s">
        <v>1235</v>
      </c>
      <c r="B10" s="1731"/>
      <c r="C10" s="1710">
        <f>SUM(C8:C9)</f>
        <v>3239822</v>
      </c>
      <c r="D10" s="1710">
        <f t="shared" ref="D10:K10" si="1">SUM(D8:D9)</f>
        <v>287810</v>
      </c>
      <c r="E10" s="1710">
        <f t="shared" si="1"/>
        <v>191049</v>
      </c>
      <c r="F10" s="1710">
        <f t="shared" si="1"/>
        <v>179331</v>
      </c>
      <c r="G10" s="1710">
        <f t="shared" si="1"/>
        <v>133480</v>
      </c>
      <c r="H10" s="1710">
        <f t="shared" si="1"/>
        <v>120254</v>
      </c>
      <c r="I10" s="1710">
        <f t="shared" si="1"/>
        <v>14636</v>
      </c>
      <c r="J10" s="1710">
        <f t="shared" si="1"/>
        <v>295137</v>
      </c>
      <c r="K10" s="1710">
        <f t="shared" si="1"/>
        <v>14637</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1687293</v>
      </c>
      <c r="D12" s="520" t="s">
        <v>1231</v>
      </c>
      <c r="E12" s="468" t="s">
        <v>1231</v>
      </c>
      <c r="F12" s="468" t="s">
        <v>1231</v>
      </c>
      <c r="G12" s="1764">
        <f>'Expenditures 15-22'!K229</f>
        <v>37807</v>
      </c>
      <c r="H12" s="521"/>
      <c r="I12" s="468" t="s">
        <v>1231</v>
      </c>
      <c r="J12" s="468" t="s">
        <v>1231</v>
      </c>
      <c r="K12" s="521" t="s">
        <v>1231</v>
      </c>
      <c r="L12" s="347"/>
    </row>
    <row r="13" spans="1:13" ht="15.75" customHeight="1" x14ac:dyDescent="0.2">
      <c r="A13" s="1598" t="s">
        <v>477</v>
      </c>
      <c r="B13" s="1600">
        <v>2000</v>
      </c>
      <c r="C13" s="1765">
        <f>'Expenditures 15-22'!K74</f>
        <v>639199</v>
      </c>
      <c r="D13" s="1765">
        <f>'Expenditures 15-22'!K129</f>
        <v>315763</v>
      </c>
      <c r="E13" s="469" t="s">
        <v>1231</v>
      </c>
      <c r="F13" s="1765">
        <f>'Expenditures 15-22'!K184</f>
        <v>148449</v>
      </c>
      <c r="G13" s="1765">
        <f>'Expenditures 15-22'!K279</f>
        <v>72145</v>
      </c>
      <c r="H13" s="1765">
        <f>'Expenditures 15-22'!K303</f>
        <v>8999</v>
      </c>
      <c r="I13" s="468" t="s">
        <v>1231</v>
      </c>
      <c r="J13" s="1765">
        <f>'Expenditures 15-22'!K330</f>
        <v>210237</v>
      </c>
      <c r="K13" s="1769">
        <f>'Expenditures 15-22'!K352</f>
        <v>14436</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45889</v>
      </c>
      <c r="D15" s="1765">
        <f>'Expenditures 15-22'!K139</f>
        <v>0</v>
      </c>
      <c r="E15" s="1765">
        <f>'Expenditures 15-22'!K160</f>
        <v>0</v>
      </c>
      <c r="F15" s="1765">
        <f>'Expenditures 15-22'!K196</f>
        <v>25775</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174367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2372381</v>
      </c>
      <c r="D17" s="1710">
        <f t="shared" si="2"/>
        <v>315763</v>
      </c>
      <c r="E17" s="1710">
        <f t="shared" si="2"/>
        <v>174367</v>
      </c>
      <c r="F17" s="1710">
        <f t="shared" si="2"/>
        <v>174224</v>
      </c>
      <c r="G17" s="1710">
        <f t="shared" si="2"/>
        <v>109952</v>
      </c>
      <c r="H17" s="1710">
        <f t="shared" si="2"/>
        <v>8999</v>
      </c>
      <c r="I17" s="468"/>
      <c r="J17" s="1710">
        <f>SUM(J12:J16)</f>
        <v>210237</v>
      </c>
      <c r="K17" s="1710">
        <f>SUM(K12:K16)</f>
        <v>14436</v>
      </c>
      <c r="L17" s="347"/>
    </row>
    <row r="18" spans="1:12" ht="15" customHeight="1" thickTop="1" x14ac:dyDescent="0.2">
      <c r="A18" s="1766" t="s">
        <v>1753</v>
      </c>
      <c r="B18" s="1767">
        <v>4180</v>
      </c>
      <c r="C18" s="1764">
        <f t="shared" ref="C18:H18" si="3">C9</f>
        <v>1011307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3383688</v>
      </c>
      <c r="D19" s="1710">
        <f t="shared" si="4"/>
        <v>315763</v>
      </c>
      <c r="E19" s="1710">
        <f t="shared" si="4"/>
        <v>174367</v>
      </c>
      <c r="F19" s="1710">
        <f t="shared" si="4"/>
        <v>174224</v>
      </c>
      <c r="G19" s="1710">
        <f t="shared" si="4"/>
        <v>109952</v>
      </c>
      <c r="H19" s="1710">
        <f t="shared" si="4"/>
        <v>8999</v>
      </c>
      <c r="I19" s="468"/>
      <c r="J19" s="1710">
        <f>SUM(J17:J18)</f>
        <v>210237</v>
      </c>
      <c r="K19" s="1710">
        <f>SUM(K17:K18)</f>
        <v>14436</v>
      </c>
      <c r="L19" s="347"/>
    </row>
    <row r="20" spans="1:12" ht="16.5" thickTop="1" thickBot="1" x14ac:dyDescent="0.25">
      <c r="A20" s="2144" t="s">
        <v>1754</v>
      </c>
      <c r="B20" s="2145"/>
      <c r="C20" s="1768">
        <f>C8-C17</f>
        <v>-143866</v>
      </c>
      <c r="D20" s="1768">
        <f t="shared" ref="D20:K20" si="5">D8-D17</f>
        <v>-27953</v>
      </c>
      <c r="E20" s="1768">
        <f t="shared" si="5"/>
        <v>16682</v>
      </c>
      <c r="F20" s="1768">
        <f t="shared" si="5"/>
        <v>5107</v>
      </c>
      <c r="G20" s="1768">
        <f t="shared" si="5"/>
        <v>23528</v>
      </c>
      <c r="H20" s="1768">
        <f t="shared" si="5"/>
        <v>111255</v>
      </c>
      <c r="I20" s="1768">
        <f t="shared" si="5"/>
        <v>14636</v>
      </c>
      <c r="J20" s="1768">
        <f t="shared" si="5"/>
        <v>84900</v>
      </c>
      <c r="K20" s="1768">
        <f t="shared" si="5"/>
        <v>201</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46588</v>
      </c>
      <c r="D24" s="477"/>
      <c r="E24" s="477"/>
      <c r="F24" s="477"/>
      <c r="G24" s="477"/>
      <c r="H24" s="477"/>
      <c r="I24" s="477"/>
      <c r="J24" s="477"/>
      <c r="K24" s="477"/>
      <c r="L24" s="524"/>
    </row>
    <row r="25" spans="1:12" s="485" customFormat="1" ht="13.5" customHeight="1" x14ac:dyDescent="0.2">
      <c r="A25" s="1511" t="s">
        <v>1756</v>
      </c>
      <c r="B25" s="525">
        <v>7110</v>
      </c>
      <c r="C25" s="467"/>
      <c r="D25" s="467">
        <v>10000</v>
      </c>
      <c r="E25" s="467"/>
      <c r="F25" s="467">
        <v>9000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v>30000</v>
      </c>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18669</v>
      </c>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6223</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65257</v>
      </c>
      <c r="D44" s="1725">
        <f t="shared" ref="D44:K44" si="6">SUM(D24:D43)</f>
        <v>40000</v>
      </c>
      <c r="E44" s="1725">
        <f t="shared" si="6"/>
        <v>6223</v>
      </c>
      <c r="F44" s="1725">
        <f t="shared" si="6"/>
        <v>9000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65588</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30000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v>6223</v>
      </c>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6223</v>
      </c>
      <c r="D76" s="1725">
        <f t="shared" si="7"/>
        <v>0</v>
      </c>
      <c r="E76" s="1725">
        <f t="shared" si="7"/>
        <v>0</v>
      </c>
      <c r="F76" s="1725">
        <f t="shared" si="7"/>
        <v>0</v>
      </c>
      <c r="G76" s="1725">
        <f t="shared" si="7"/>
        <v>0</v>
      </c>
      <c r="H76" s="1725">
        <f t="shared" si="7"/>
        <v>30000</v>
      </c>
      <c r="I76" s="1725">
        <f t="shared" si="7"/>
        <v>65588</v>
      </c>
      <c r="J76" s="1725">
        <f t="shared" si="7"/>
        <v>0</v>
      </c>
      <c r="K76" s="1725">
        <f t="shared" si="7"/>
        <v>0</v>
      </c>
      <c r="L76" s="524"/>
    </row>
    <row r="77" spans="1:12" ht="14.25" thickTop="1" thickBot="1" x14ac:dyDescent="0.25">
      <c r="A77" s="2136" t="s">
        <v>1239</v>
      </c>
      <c r="B77" s="2137"/>
      <c r="C77" s="1725">
        <f t="shared" ref="C77:K77" si="8">C44-C76</f>
        <v>59034</v>
      </c>
      <c r="D77" s="1725">
        <f t="shared" si="8"/>
        <v>40000</v>
      </c>
      <c r="E77" s="1725">
        <f t="shared" si="8"/>
        <v>6223</v>
      </c>
      <c r="F77" s="1725">
        <f t="shared" si="8"/>
        <v>9000</v>
      </c>
      <c r="G77" s="1725">
        <f t="shared" si="8"/>
        <v>0</v>
      </c>
      <c r="H77" s="1725">
        <f t="shared" si="8"/>
        <v>-30000</v>
      </c>
      <c r="I77" s="1725">
        <f t="shared" si="8"/>
        <v>-65588</v>
      </c>
      <c r="J77" s="1725">
        <f t="shared" si="8"/>
        <v>0</v>
      </c>
      <c r="K77" s="1725">
        <f t="shared" si="8"/>
        <v>0</v>
      </c>
      <c r="L77" s="347"/>
    </row>
    <row r="78" spans="1:12" ht="21.75" customHeight="1" thickTop="1" thickBot="1" x14ac:dyDescent="0.25">
      <c r="A78" s="2140" t="s">
        <v>618</v>
      </c>
      <c r="B78" s="2141"/>
      <c r="C78" s="1724">
        <f t="shared" ref="C78:K78" si="9">C20+C77</f>
        <v>-84832</v>
      </c>
      <c r="D78" s="1724">
        <f t="shared" si="9"/>
        <v>12047</v>
      </c>
      <c r="E78" s="1724">
        <f t="shared" si="9"/>
        <v>22905</v>
      </c>
      <c r="F78" s="1724">
        <f t="shared" si="9"/>
        <v>14107</v>
      </c>
      <c r="G78" s="1724">
        <f t="shared" si="9"/>
        <v>23528</v>
      </c>
      <c r="H78" s="1724">
        <f t="shared" si="9"/>
        <v>81255</v>
      </c>
      <c r="I78" s="1724">
        <f t="shared" si="9"/>
        <v>-50952</v>
      </c>
      <c r="J78" s="1724">
        <f t="shared" si="9"/>
        <v>84900</v>
      </c>
      <c r="K78" s="1724">
        <f t="shared" si="9"/>
        <v>201</v>
      </c>
      <c r="L78" s="533"/>
    </row>
    <row r="79" spans="1:12" ht="13.5" thickTop="1" x14ac:dyDescent="0.2">
      <c r="A79" s="1516" t="s">
        <v>2073</v>
      </c>
      <c r="B79" s="534"/>
      <c r="C79" s="478">
        <v>687892</v>
      </c>
      <c r="D79" s="535">
        <v>75650</v>
      </c>
      <c r="E79" s="535">
        <v>117684</v>
      </c>
      <c r="F79" s="535">
        <v>244696</v>
      </c>
      <c r="G79" s="535">
        <v>287759</v>
      </c>
      <c r="H79" s="535">
        <v>5343</v>
      </c>
      <c r="I79" s="535">
        <v>163262</v>
      </c>
      <c r="J79" s="535">
        <v>111975</v>
      </c>
      <c r="K79" s="535">
        <v>9181</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603060</v>
      </c>
      <c r="D81" s="1710">
        <f>SUM(D78:D80)</f>
        <v>87697</v>
      </c>
      <c r="E81" s="1710">
        <f t="shared" ref="E81:K81" si="10">SUM(E78:E80)</f>
        <v>140589</v>
      </c>
      <c r="F81" s="1710">
        <f t="shared" si="10"/>
        <v>258803</v>
      </c>
      <c r="G81" s="1710">
        <f t="shared" si="10"/>
        <v>311287</v>
      </c>
      <c r="H81" s="1710">
        <f t="shared" si="10"/>
        <v>86598</v>
      </c>
      <c r="I81" s="1710">
        <f t="shared" si="10"/>
        <v>112310</v>
      </c>
      <c r="J81" s="1710">
        <f t="shared" si="10"/>
        <v>196875</v>
      </c>
      <c r="K81" s="1710">
        <f t="shared" si="10"/>
        <v>9382</v>
      </c>
      <c r="L81" s="347"/>
    </row>
    <row r="82" spans="1:12" ht="0.75" customHeight="1" thickTop="1" thickBot="1" x14ac:dyDescent="0.25">
      <c r="A82" s="536" t="s">
        <v>361</v>
      </c>
      <c r="B82" s="537"/>
      <c r="C82" s="538">
        <f>(C81-C79)</f>
        <v>-84832</v>
      </c>
      <c r="D82" s="538">
        <f t="shared" ref="D82:K82" si="11">(D81-D79)</f>
        <v>12047</v>
      </c>
      <c r="E82" s="538">
        <f t="shared" si="11"/>
        <v>22905</v>
      </c>
      <c r="F82" s="538">
        <f t="shared" si="11"/>
        <v>14107</v>
      </c>
      <c r="G82" s="538">
        <f t="shared" si="11"/>
        <v>23528</v>
      </c>
      <c r="H82" s="538">
        <f t="shared" si="11"/>
        <v>81255</v>
      </c>
      <c r="I82" s="538">
        <f t="shared" si="11"/>
        <v>-50952</v>
      </c>
      <c r="J82" s="538">
        <f t="shared" si="11"/>
        <v>84900</v>
      </c>
      <c r="K82" s="538">
        <f t="shared" si="11"/>
        <v>201</v>
      </c>
    </row>
    <row r="83" spans="1:12" ht="14.25" hidden="1" thickTop="1" thickBot="1" x14ac:dyDescent="0.25">
      <c r="A83" s="539" t="s">
        <v>362</v>
      </c>
      <c r="B83" s="464"/>
      <c r="C83" s="540">
        <f>C82/C81</f>
        <v>-0.14066925347394951</v>
      </c>
      <c r="D83" s="540">
        <f t="shared" ref="D83:K83" si="12">D82/D81</f>
        <v>0.1373707196369317</v>
      </c>
      <c r="E83" s="540">
        <f t="shared" si="12"/>
        <v>0.16292170795723707</v>
      </c>
      <c r="F83" s="540">
        <f t="shared" si="12"/>
        <v>5.4508641708171851E-2</v>
      </c>
      <c r="G83" s="540">
        <f t="shared" si="12"/>
        <v>7.5582982906449672E-2</v>
      </c>
      <c r="H83" s="540">
        <f t="shared" si="12"/>
        <v>0.93830111549920325</v>
      </c>
      <c r="I83" s="540">
        <f t="shared" si="12"/>
        <v>-0.45367286973555337</v>
      </c>
      <c r="J83" s="540">
        <f t="shared" si="12"/>
        <v>0.43123809523809525</v>
      </c>
      <c r="K83" s="540">
        <f t="shared" si="12"/>
        <v>2.1424003410786614E-2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89" activePane="bottomLeft" state="frozen"/>
      <selection activeCell="H67" sqref="H67"/>
      <selection pane="bottomLeft" activeCell="H67" sqref="H6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805563</v>
      </c>
      <c r="D5" s="481">
        <v>149593</v>
      </c>
      <c r="E5" s="466">
        <v>180399</v>
      </c>
      <c r="F5" s="548">
        <v>58596</v>
      </c>
      <c r="G5" s="466">
        <v>51843</v>
      </c>
      <c r="H5" s="466"/>
      <c r="I5" s="466">
        <v>14636</v>
      </c>
      <c r="J5" s="467">
        <v>295137</v>
      </c>
      <c r="K5" s="466">
        <v>14637</v>
      </c>
    </row>
    <row r="6" spans="1:12" ht="15" x14ac:dyDescent="0.2">
      <c r="A6" s="463" t="s">
        <v>1761</v>
      </c>
      <c r="B6" s="470">
        <v>1130</v>
      </c>
      <c r="C6" s="466">
        <v>14637</v>
      </c>
      <c r="D6" s="466"/>
      <c r="E6" s="475"/>
      <c r="F6" s="475"/>
      <c r="G6" s="468"/>
      <c r="H6" s="468"/>
      <c r="I6" s="468"/>
      <c r="J6" s="468"/>
      <c r="K6" s="468"/>
    </row>
    <row r="7" spans="1:12" x14ac:dyDescent="0.2">
      <c r="A7" s="463" t="s">
        <v>112</v>
      </c>
      <c r="B7" s="549">
        <v>1140</v>
      </c>
      <c r="C7" s="466">
        <v>11712</v>
      </c>
      <c r="D7" s="466"/>
      <c r="E7" s="468"/>
      <c r="F7" s="467"/>
      <c r="G7" s="467"/>
      <c r="H7" s="467"/>
      <c r="I7" s="468"/>
      <c r="J7" s="468"/>
      <c r="K7" s="468"/>
    </row>
    <row r="8" spans="1:12" x14ac:dyDescent="0.2">
      <c r="A8" s="463" t="s">
        <v>433</v>
      </c>
      <c r="B8" s="470">
        <v>1150</v>
      </c>
      <c r="C8" s="475"/>
      <c r="D8" s="475"/>
      <c r="E8" s="477"/>
      <c r="F8" s="477"/>
      <c r="G8" s="481">
        <v>65887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831912</v>
      </c>
      <c r="D12" s="1729">
        <f t="shared" si="0"/>
        <v>149593</v>
      </c>
      <c r="E12" s="1729">
        <f t="shared" si="0"/>
        <v>180399</v>
      </c>
      <c r="F12" s="1729">
        <f t="shared" si="0"/>
        <v>58596</v>
      </c>
      <c r="G12" s="1729">
        <f t="shared" si="0"/>
        <v>117730</v>
      </c>
      <c r="H12" s="1729">
        <f t="shared" si="0"/>
        <v>0</v>
      </c>
      <c r="I12" s="1729">
        <f t="shared" si="0"/>
        <v>14636</v>
      </c>
      <c r="J12" s="1729">
        <f t="shared" si="0"/>
        <v>295137</v>
      </c>
      <c r="K12" s="1710">
        <f t="shared" si="0"/>
        <v>14637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592257</v>
      </c>
      <c r="D16" s="466">
        <v>138023</v>
      </c>
      <c r="E16" s="466"/>
      <c r="F16" s="466">
        <v>53000</v>
      </c>
      <c r="G16" s="466">
        <v>15750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592257</v>
      </c>
      <c r="D18" s="1732">
        <f t="shared" ref="D18:K18" si="1">SUM(D14:D17)</f>
        <v>138023</v>
      </c>
      <c r="E18" s="1732">
        <f t="shared" si="1"/>
        <v>0</v>
      </c>
      <c r="F18" s="1732">
        <f t="shared" si="1"/>
        <v>53000</v>
      </c>
      <c r="G18" s="1732">
        <f t="shared" si="1"/>
        <v>15750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3132</v>
      </c>
      <c r="D65" s="466">
        <v>194</v>
      </c>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3132</v>
      </c>
      <c r="D67" s="1710">
        <f t="shared" ref="D67:K67" si="2">SUM(D65:D66)</f>
        <v>194</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7088</v>
      </c>
      <c r="D73" s="468"/>
      <c r="E73" s="468"/>
      <c r="F73" s="468"/>
      <c r="G73" s="468"/>
      <c r="H73" s="468"/>
      <c r="I73" s="468"/>
      <c r="J73" s="468"/>
      <c r="K73" s="468"/>
    </row>
    <row r="74" spans="1:11" ht="12.75" customHeight="1" x14ac:dyDescent="0.2">
      <c r="A74" s="463" t="s">
        <v>25</v>
      </c>
      <c r="B74" s="470">
        <v>1690</v>
      </c>
      <c r="C74" s="551">
        <v>104</v>
      </c>
      <c r="D74" s="468"/>
      <c r="E74" s="468"/>
      <c r="F74" s="468"/>
      <c r="G74" s="468"/>
      <c r="H74" s="468"/>
      <c r="I74" s="468"/>
      <c r="J74" s="468"/>
      <c r="K74" s="468"/>
    </row>
    <row r="75" spans="1:11" ht="12.75" customHeight="1" thickBot="1" x14ac:dyDescent="0.25">
      <c r="A75" s="1730" t="s">
        <v>569</v>
      </c>
      <c r="B75" s="1731"/>
      <c r="C75" s="1710">
        <f>SUM(C69:C74)</f>
        <v>7192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4928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2659</v>
      </c>
      <c r="D79" s="466"/>
      <c r="E79" s="468"/>
      <c r="F79" s="468"/>
      <c r="G79" s="468"/>
      <c r="H79" s="468"/>
      <c r="I79" s="468"/>
      <c r="J79" s="468"/>
      <c r="K79" s="468"/>
    </row>
    <row r="80" spans="1:11" ht="12.75" customHeight="1" x14ac:dyDescent="0.2">
      <c r="A80" s="463" t="s">
        <v>572</v>
      </c>
      <c r="B80" s="470">
        <v>1730</v>
      </c>
      <c r="C80" s="551">
        <v>2234</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9821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5275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5275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2583</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14071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1875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10650</v>
      </c>
      <c r="F103" s="468"/>
      <c r="G103" s="468"/>
      <c r="H103" s="489">
        <v>120254</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50</v>
      </c>
      <c r="D106" s="489"/>
      <c r="E106" s="467"/>
      <c r="F106" s="467"/>
      <c r="G106" s="467"/>
      <c r="H106" s="467"/>
      <c r="I106" s="521"/>
      <c r="J106" s="467"/>
      <c r="K106" s="467"/>
    </row>
    <row r="107" spans="1:12" ht="12.75" customHeight="1" x14ac:dyDescent="0.2">
      <c r="A107" s="463" t="s">
        <v>80</v>
      </c>
      <c r="B107" s="470">
        <v>1999</v>
      </c>
      <c r="C107" s="551">
        <v>33969</v>
      </c>
      <c r="D107" s="466"/>
      <c r="E107" s="466"/>
      <c r="F107" s="466"/>
      <c r="G107" s="466"/>
      <c r="H107" s="466"/>
      <c r="I107" s="466"/>
      <c r="J107" s="467"/>
      <c r="K107" s="466"/>
    </row>
    <row r="108" spans="1:12" ht="12.75" customHeight="1" thickBot="1" x14ac:dyDescent="0.25">
      <c r="A108" s="1730" t="s">
        <v>508</v>
      </c>
      <c r="B108" s="1734"/>
      <c r="C108" s="1729">
        <f>SUM(C95:C107)</f>
        <v>52548</v>
      </c>
      <c r="D108" s="1729">
        <f t="shared" ref="D108:K108" si="3">SUM(D95:D107)</f>
        <v>0</v>
      </c>
      <c r="E108" s="1729">
        <f t="shared" si="3"/>
        <v>10650</v>
      </c>
      <c r="F108" s="1729">
        <f t="shared" si="3"/>
        <v>0</v>
      </c>
      <c r="G108" s="1729">
        <f t="shared" si="3"/>
        <v>0</v>
      </c>
      <c r="H108" s="1729">
        <f t="shared" si="3"/>
        <v>120254</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1502137</v>
      </c>
      <c r="D109" s="1737">
        <f t="shared" si="4"/>
        <v>287810</v>
      </c>
      <c r="E109" s="1737">
        <f t="shared" si="4"/>
        <v>191049</v>
      </c>
      <c r="F109" s="1737">
        <f t="shared" si="4"/>
        <v>111596</v>
      </c>
      <c r="G109" s="1737">
        <f t="shared" si="4"/>
        <v>133480</v>
      </c>
      <c r="H109" s="1737">
        <f t="shared" si="4"/>
        <v>120254</v>
      </c>
      <c r="I109" s="1737">
        <f t="shared" si="4"/>
        <v>14636</v>
      </c>
      <c r="J109" s="1737">
        <f t="shared" si="4"/>
        <v>295137</v>
      </c>
      <c r="K109" s="1724">
        <f t="shared" si="4"/>
        <v>14637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341906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341906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13248</v>
      </c>
      <c r="D125" s="561"/>
      <c r="E125" s="468"/>
      <c r="F125" s="466"/>
      <c r="G125" s="468"/>
      <c r="H125" s="468"/>
      <c r="I125" s="468"/>
      <c r="J125" s="468"/>
      <c r="K125" s="468"/>
    </row>
    <row r="126" spans="1:11" ht="12.75" customHeight="1" x14ac:dyDescent="0.2">
      <c r="A126" s="463" t="s">
        <v>922</v>
      </c>
      <c r="B126" s="562">
        <v>3110</v>
      </c>
      <c r="C126" s="551">
        <v>22250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137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35635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1368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2741</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18218</v>
      </c>
      <c r="G151" s="467"/>
      <c r="H151" s="468"/>
      <c r="I151" s="468"/>
      <c r="J151" s="468"/>
      <c r="K151" s="468"/>
    </row>
    <row r="152" spans="1:11" ht="12.75" customHeight="1" x14ac:dyDescent="0.2">
      <c r="A152" s="463" t="s">
        <v>1117</v>
      </c>
      <c r="B152" s="562">
        <v>3510</v>
      </c>
      <c r="C152" s="551"/>
      <c r="D152" s="466"/>
      <c r="E152" s="561"/>
      <c r="F152" s="466">
        <v>49517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67735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106678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146422</v>
      </c>
      <c r="D172" s="1744">
        <f t="shared" si="6"/>
        <v>0</v>
      </c>
      <c r="E172" s="1744">
        <f t="shared" si="6"/>
        <v>0</v>
      </c>
      <c r="F172" s="1744">
        <f t="shared" si="6"/>
        <v>67735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488328</v>
      </c>
      <c r="D173" s="1737">
        <f>SUM(D121,D172)</f>
        <v>0</v>
      </c>
      <c r="E173" s="1737">
        <f>SUM(E121,E172)</f>
        <v>0</v>
      </c>
      <c r="F173" s="1737">
        <f t="shared" ref="F173:K173" si="7">SUM(F121,F172)</f>
        <v>67735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16722</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16722</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82534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26774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109308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67026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67026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4148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4148</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8657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8865</v>
      </c>
      <c r="D270" s="576"/>
      <c r="E270" s="468"/>
      <c r="F270" s="576"/>
      <c r="G270" s="576"/>
      <c r="H270" s="468"/>
      <c r="I270" s="468"/>
      <c r="J270" s="468"/>
      <c r="K270" s="468"/>
    </row>
    <row r="271" spans="1:11" ht="12.75" customHeight="1" thickTop="1" thickBot="1" x14ac:dyDescent="0.25">
      <c r="A271" s="463" t="s">
        <v>395</v>
      </c>
      <c r="B271" s="470">
        <v>4992</v>
      </c>
      <c r="C271" s="575">
        <v>23324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238050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238050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2228515</v>
      </c>
      <c r="D275" s="1737">
        <f t="shared" si="12"/>
        <v>287810</v>
      </c>
      <c r="E275" s="1737">
        <f t="shared" si="12"/>
        <v>191049</v>
      </c>
      <c r="F275" s="1737">
        <f t="shared" si="12"/>
        <v>179331</v>
      </c>
      <c r="G275" s="1737">
        <f t="shared" si="12"/>
        <v>133480</v>
      </c>
      <c r="H275" s="1737">
        <f t="shared" si="12"/>
        <v>120254</v>
      </c>
      <c r="I275" s="1737">
        <f t="shared" si="12"/>
        <v>14636</v>
      </c>
      <c r="J275" s="1737">
        <f t="shared" si="12"/>
        <v>295137</v>
      </c>
      <c r="K275" s="1724">
        <f t="shared" si="12"/>
        <v>14637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H67" sqref="H67"/>
      <selection pane="bottomLeft" activeCell="H67" sqref="H6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734505</v>
      </c>
      <c r="D5" s="466">
        <v>153052</v>
      </c>
      <c r="E5" s="466">
        <v>45530</v>
      </c>
      <c r="F5" s="466">
        <v>46815</v>
      </c>
      <c r="G5" s="466">
        <v>95159</v>
      </c>
      <c r="H5" s="466"/>
      <c r="I5" s="467"/>
      <c r="J5" s="467"/>
      <c r="K5" s="1693">
        <f>SUM(C5:J5)</f>
        <v>1075061</v>
      </c>
      <c r="L5" s="466">
        <v>997214</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40862</v>
      </c>
      <c r="D7" s="467">
        <v>6809</v>
      </c>
      <c r="E7" s="467">
        <v>253</v>
      </c>
      <c r="F7" s="467">
        <v>6832</v>
      </c>
      <c r="G7" s="467">
        <v>8886</v>
      </c>
      <c r="H7" s="467"/>
      <c r="I7" s="467"/>
      <c r="J7" s="467"/>
      <c r="K7" s="1693">
        <f t="shared" ref="K7:K32" si="0">SUM(C7:J7)</f>
        <v>63642</v>
      </c>
      <c r="L7" s="466">
        <v>76194</v>
      </c>
    </row>
    <row r="8" spans="1:14" x14ac:dyDescent="0.2">
      <c r="A8" s="1526" t="s">
        <v>166</v>
      </c>
      <c r="B8" s="615">
        <v>1200</v>
      </c>
      <c r="C8" s="466">
        <v>244544</v>
      </c>
      <c r="D8" s="466">
        <v>48857</v>
      </c>
      <c r="E8" s="466">
        <v>1824</v>
      </c>
      <c r="F8" s="466">
        <v>1340</v>
      </c>
      <c r="G8" s="466"/>
      <c r="H8" s="466"/>
      <c r="I8" s="467"/>
      <c r="J8" s="467"/>
      <c r="K8" s="1693">
        <f t="shared" si="0"/>
        <v>296565</v>
      </c>
      <c r="L8" s="466">
        <v>290393</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52683</v>
      </c>
      <c r="D10" s="466">
        <v>11354</v>
      </c>
      <c r="E10" s="466">
        <v>6077</v>
      </c>
      <c r="F10" s="466">
        <v>2000</v>
      </c>
      <c r="G10" s="466">
        <v>16505</v>
      </c>
      <c r="H10" s="466"/>
      <c r="I10" s="467"/>
      <c r="J10" s="467"/>
      <c r="K10" s="1693">
        <f t="shared" si="0"/>
        <v>88619</v>
      </c>
      <c r="L10" s="466">
        <v>57843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81597</v>
      </c>
      <c r="D13" s="466">
        <v>16694</v>
      </c>
      <c r="E13" s="466">
        <v>988</v>
      </c>
      <c r="F13" s="466">
        <v>2484</v>
      </c>
      <c r="G13" s="466">
        <v>1300</v>
      </c>
      <c r="H13" s="466"/>
      <c r="I13" s="467"/>
      <c r="J13" s="467"/>
      <c r="K13" s="1693">
        <f t="shared" si="0"/>
        <v>103063</v>
      </c>
      <c r="L13" s="466">
        <v>91087</v>
      </c>
    </row>
    <row r="14" spans="1:14" x14ac:dyDescent="0.2">
      <c r="A14" s="1526" t="s">
        <v>1020</v>
      </c>
      <c r="B14" s="615">
        <v>1500</v>
      </c>
      <c r="C14" s="466">
        <v>24788</v>
      </c>
      <c r="D14" s="466">
        <v>4577</v>
      </c>
      <c r="E14" s="466">
        <v>11631</v>
      </c>
      <c r="F14" s="466">
        <v>3102</v>
      </c>
      <c r="G14" s="466"/>
      <c r="H14" s="466"/>
      <c r="I14" s="467"/>
      <c r="J14" s="467"/>
      <c r="K14" s="1693">
        <f t="shared" si="0"/>
        <v>44098</v>
      </c>
      <c r="L14" s="466">
        <v>30397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12303</v>
      </c>
      <c r="D17" s="467">
        <v>138</v>
      </c>
      <c r="E17" s="467">
        <v>2442</v>
      </c>
      <c r="F17" s="467"/>
      <c r="G17" s="467"/>
      <c r="H17" s="467"/>
      <c r="I17" s="467"/>
      <c r="J17" s="467"/>
      <c r="K17" s="1693">
        <f t="shared" si="0"/>
        <v>14883</v>
      </c>
      <c r="L17" s="466">
        <v>12469</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v>1362</v>
      </c>
      <c r="F19" s="466"/>
      <c r="G19" s="466"/>
      <c r="H19" s="466"/>
      <c r="I19" s="467"/>
      <c r="J19" s="467"/>
      <c r="K19" s="1693">
        <f t="shared" si="0"/>
        <v>1362</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1191282</v>
      </c>
      <c r="D33" s="1692">
        <f t="shared" ref="D33:L33" si="1">SUM(D5:D32)</f>
        <v>241481</v>
      </c>
      <c r="E33" s="1692">
        <f t="shared" si="1"/>
        <v>70107</v>
      </c>
      <c r="F33" s="1692">
        <f t="shared" si="1"/>
        <v>62573</v>
      </c>
      <c r="G33" s="1692">
        <f t="shared" si="1"/>
        <v>121850</v>
      </c>
      <c r="H33" s="1692">
        <f t="shared" si="1"/>
        <v>0</v>
      </c>
      <c r="I33" s="1692">
        <f t="shared" si="1"/>
        <v>0</v>
      </c>
      <c r="J33" s="1692">
        <f t="shared" si="1"/>
        <v>0</v>
      </c>
      <c r="K33" s="1692">
        <f t="shared" si="1"/>
        <v>1687293</v>
      </c>
      <c r="L33" s="1692">
        <f t="shared" si="1"/>
        <v>1555597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28691</v>
      </c>
      <c r="F36" s="481"/>
      <c r="G36" s="481"/>
      <c r="H36" s="481"/>
      <c r="I36" s="467"/>
      <c r="J36" s="467"/>
      <c r="K36" s="1693">
        <f t="shared" ref="K36:K41" si="2">SUM(C36:J36)</f>
        <v>28691</v>
      </c>
      <c r="L36" s="466">
        <v>28695</v>
      </c>
    </row>
    <row r="37" spans="1:14" x14ac:dyDescent="0.2">
      <c r="A37" s="1526" t="s">
        <v>1151</v>
      </c>
      <c r="B37" s="615">
        <v>2120</v>
      </c>
      <c r="C37" s="466">
        <v>31123</v>
      </c>
      <c r="D37" s="466">
        <v>3953</v>
      </c>
      <c r="E37" s="466"/>
      <c r="F37" s="466"/>
      <c r="G37" s="466"/>
      <c r="H37" s="466"/>
      <c r="I37" s="467"/>
      <c r="J37" s="467"/>
      <c r="K37" s="1693">
        <f t="shared" si="2"/>
        <v>35076</v>
      </c>
      <c r="L37" s="466">
        <v>29837</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34320</v>
      </c>
      <c r="D40" s="466">
        <v>4390</v>
      </c>
      <c r="E40" s="466">
        <v>65</v>
      </c>
      <c r="F40" s="466">
        <v>449</v>
      </c>
      <c r="G40" s="466"/>
      <c r="H40" s="466"/>
      <c r="I40" s="467"/>
      <c r="J40" s="467"/>
      <c r="K40" s="1693">
        <f t="shared" si="2"/>
        <v>39224</v>
      </c>
      <c r="L40" s="466">
        <v>34273</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65443</v>
      </c>
      <c r="D42" s="1692">
        <f t="shared" ref="D42:L42" si="3">SUM(D36:D41)</f>
        <v>8343</v>
      </c>
      <c r="E42" s="1692">
        <f t="shared" si="3"/>
        <v>28756</v>
      </c>
      <c r="F42" s="1692">
        <f t="shared" si="3"/>
        <v>449</v>
      </c>
      <c r="G42" s="1692">
        <f t="shared" si="3"/>
        <v>0</v>
      </c>
      <c r="H42" s="1692">
        <f t="shared" si="3"/>
        <v>0</v>
      </c>
      <c r="I42" s="1692">
        <f t="shared" si="3"/>
        <v>0</v>
      </c>
      <c r="J42" s="1692">
        <f t="shared" si="3"/>
        <v>0</v>
      </c>
      <c r="K42" s="1692">
        <f t="shared" si="3"/>
        <v>102991</v>
      </c>
      <c r="L42" s="1692">
        <f t="shared" si="3"/>
        <v>92805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9259</v>
      </c>
      <c r="F44" s="481"/>
      <c r="G44" s="481"/>
      <c r="H44" s="481"/>
      <c r="I44" s="467"/>
      <c r="J44" s="467"/>
      <c r="K44" s="1694">
        <f>SUM(C44:J44)</f>
        <v>9259</v>
      </c>
      <c r="L44" s="481"/>
    </row>
    <row r="45" spans="1:14" x14ac:dyDescent="0.2">
      <c r="A45" s="1526" t="s">
        <v>869</v>
      </c>
      <c r="B45" s="615">
        <v>2220</v>
      </c>
      <c r="C45" s="466">
        <v>22112</v>
      </c>
      <c r="D45" s="466">
        <v>24</v>
      </c>
      <c r="E45" s="466"/>
      <c r="F45" s="466">
        <v>461</v>
      </c>
      <c r="G45" s="466">
        <v>1500</v>
      </c>
      <c r="H45" s="466"/>
      <c r="I45" s="467"/>
      <c r="J45" s="467"/>
      <c r="K45" s="1694">
        <f>SUM(C45:J45)</f>
        <v>24097</v>
      </c>
      <c r="L45" s="466">
        <v>22920</v>
      </c>
    </row>
    <row r="46" spans="1:14" x14ac:dyDescent="0.2">
      <c r="A46" s="1526" t="s">
        <v>870</v>
      </c>
      <c r="B46" s="615">
        <v>2230</v>
      </c>
      <c r="C46" s="466"/>
      <c r="D46" s="466"/>
      <c r="E46" s="466">
        <v>159</v>
      </c>
      <c r="F46" s="466">
        <v>3000</v>
      </c>
      <c r="G46" s="466"/>
      <c r="H46" s="466"/>
      <c r="I46" s="467"/>
      <c r="J46" s="467"/>
      <c r="K46" s="1694">
        <f>SUM(C46:J46)</f>
        <v>3159</v>
      </c>
      <c r="L46" s="466"/>
    </row>
    <row r="47" spans="1:14" ht="12.75" customHeight="1" thickBot="1" x14ac:dyDescent="0.25">
      <c r="A47" s="1690" t="s">
        <v>582</v>
      </c>
      <c r="B47" s="1691" t="s">
        <v>32</v>
      </c>
      <c r="C47" s="1692">
        <f>SUM(C44:C46)</f>
        <v>22112</v>
      </c>
      <c r="D47" s="1692">
        <f t="shared" ref="D47:K47" si="4">SUM(D44:D46)</f>
        <v>24</v>
      </c>
      <c r="E47" s="1692">
        <f t="shared" si="4"/>
        <v>9418</v>
      </c>
      <c r="F47" s="1692">
        <f t="shared" si="4"/>
        <v>3461</v>
      </c>
      <c r="G47" s="1692">
        <f t="shared" si="4"/>
        <v>1500</v>
      </c>
      <c r="H47" s="1692">
        <f t="shared" si="4"/>
        <v>0</v>
      </c>
      <c r="I47" s="1692">
        <f t="shared" si="4"/>
        <v>0</v>
      </c>
      <c r="J47" s="1692">
        <f t="shared" si="4"/>
        <v>0</v>
      </c>
      <c r="K47" s="1692">
        <f t="shared" si="4"/>
        <v>36515</v>
      </c>
      <c r="L47" s="1692">
        <f>SUM(L44:L46)</f>
        <v>22920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25575</v>
      </c>
      <c r="F49" s="481">
        <v>10218</v>
      </c>
      <c r="G49" s="481"/>
      <c r="H49" s="481"/>
      <c r="I49" s="467"/>
      <c r="J49" s="467"/>
      <c r="K49" s="1694">
        <f>SUM(C49:J49)</f>
        <v>35793</v>
      </c>
      <c r="L49" s="481">
        <v>10500</v>
      </c>
    </row>
    <row r="50" spans="1:14" x14ac:dyDescent="0.2">
      <c r="A50" s="1526" t="s">
        <v>872</v>
      </c>
      <c r="B50" s="615">
        <v>2320</v>
      </c>
      <c r="C50" s="466">
        <v>83173</v>
      </c>
      <c r="D50" s="466">
        <v>45141</v>
      </c>
      <c r="E50" s="466">
        <v>611</v>
      </c>
      <c r="F50" s="466">
        <v>2326</v>
      </c>
      <c r="G50" s="466"/>
      <c r="H50" s="466"/>
      <c r="I50" s="467"/>
      <c r="J50" s="467"/>
      <c r="K50" s="1694">
        <f>SUM(C50:J50)</f>
        <v>131251</v>
      </c>
      <c r="L50" s="466">
        <v>102575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83173</v>
      </c>
      <c r="D53" s="1692">
        <f t="shared" ref="D53:L53" si="5">SUM(D49:D52)</f>
        <v>45141</v>
      </c>
      <c r="E53" s="1692">
        <f t="shared" si="5"/>
        <v>26186</v>
      </c>
      <c r="F53" s="1692">
        <f t="shared" si="5"/>
        <v>12544</v>
      </c>
      <c r="G53" s="1692">
        <f t="shared" si="5"/>
        <v>0</v>
      </c>
      <c r="H53" s="1692">
        <f t="shared" si="5"/>
        <v>0</v>
      </c>
      <c r="I53" s="1692">
        <f t="shared" si="5"/>
        <v>0</v>
      </c>
      <c r="J53" s="1692">
        <f t="shared" si="5"/>
        <v>0</v>
      </c>
      <c r="K53" s="1692">
        <f t="shared" si="5"/>
        <v>167044</v>
      </c>
      <c r="L53" s="1692">
        <f t="shared" si="5"/>
        <v>113075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122043</v>
      </c>
      <c r="D55" s="481">
        <v>20349</v>
      </c>
      <c r="E55" s="481">
        <v>3405</v>
      </c>
      <c r="F55" s="481">
        <v>1023</v>
      </c>
      <c r="G55" s="481"/>
      <c r="H55" s="481"/>
      <c r="I55" s="467"/>
      <c r="J55" s="467"/>
      <c r="K55" s="1694">
        <f>SUM(C55:J55)</f>
        <v>146820</v>
      </c>
      <c r="L55" s="481">
        <v>141537</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122043</v>
      </c>
      <c r="D57" s="1696">
        <f t="shared" ref="D57:K57" si="6">SUM(D55:D56)</f>
        <v>20349</v>
      </c>
      <c r="E57" s="1696">
        <f t="shared" si="6"/>
        <v>3405</v>
      </c>
      <c r="F57" s="1696">
        <f t="shared" si="6"/>
        <v>1023</v>
      </c>
      <c r="G57" s="1696">
        <f t="shared" si="6"/>
        <v>0</v>
      </c>
      <c r="H57" s="1696">
        <f t="shared" si="6"/>
        <v>0</v>
      </c>
      <c r="I57" s="1696">
        <f t="shared" si="6"/>
        <v>0</v>
      </c>
      <c r="J57" s="1696">
        <f t="shared" si="6"/>
        <v>0</v>
      </c>
      <c r="K57" s="1696">
        <f t="shared" si="6"/>
        <v>146820</v>
      </c>
      <c r="L57" s="1692">
        <f>SUM(L55:L56)</f>
        <v>141537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37592</v>
      </c>
      <c r="D60" s="466">
        <v>20</v>
      </c>
      <c r="E60" s="466">
        <v>5335</v>
      </c>
      <c r="F60" s="466">
        <v>392</v>
      </c>
      <c r="G60" s="466"/>
      <c r="H60" s="466"/>
      <c r="I60" s="467"/>
      <c r="J60" s="467"/>
      <c r="K60" s="1694">
        <f t="shared" si="7"/>
        <v>43339</v>
      </c>
      <c r="L60" s="466">
        <v>72646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v>1420</v>
      </c>
      <c r="F62" s="466"/>
      <c r="G62" s="466"/>
      <c r="H62" s="466"/>
      <c r="I62" s="467"/>
      <c r="J62" s="467"/>
      <c r="K62" s="1694">
        <f t="shared" si="7"/>
        <v>1420</v>
      </c>
      <c r="L62" s="466"/>
      <c r="M62" s="610"/>
      <c r="N62" s="610"/>
    </row>
    <row r="63" spans="1:14" s="610" customFormat="1" x14ac:dyDescent="0.2">
      <c r="A63" s="1526" t="s">
        <v>102</v>
      </c>
      <c r="B63" s="615">
        <v>2560</v>
      </c>
      <c r="C63" s="466">
        <v>67229</v>
      </c>
      <c r="D63" s="466">
        <v>6084</v>
      </c>
      <c r="E63" s="466">
        <v>787</v>
      </c>
      <c r="F63" s="466">
        <v>64763</v>
      </c>
      <c r="G63" s="466">
        <v>1558</v>
      </c>
      <c r="H63" s="466"/>
      <c r="I63" s="467"/>
      <c r="J63" s="467"/>
      <c r="K63" s="1694">
        <f t="shared" si="7"/>
        <v>140421</v>
      </c>
      <c r="L63" s="466">
        <v>127385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104821</v>
      </c>
      <c r="D65" s="1692">
        <f t="shared" ref="D65:L65" si="8">SUM(D59:D64)</f>
        <v>6104</v>
      </c>
      <c r="E65" s="1692">
        <f t="shared" si="8"/>
        <v>7542</v>
      </c>
      <c r="F65" s="1692">
        <f t="shared" si="8"/>
        <v>65155</v>
      </c>
      <c r="G65" s="1692">
        <f t="shared" si="8"/>
        <v>1558</v>
      </c>
      <c r="H65" s="1692">
        <f t="shared" si="8"/>
        <v>0</v>
      </c>
      <c r="I65" s="1692">
        <f t="shared" si="8"/>
        <v>0</v>
      </c>
      <c r="J65" s="1692">
        <f t="shared" si="8"/>
        <v>0</v>
      </c>
      <c r="K65" s="1692">
        <f t="shared" si="8"/>
        <v>185180</v>
      </c>
      <c r="L65" s="1692">
        <f t="shared" si="8"/>
        <v>200031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649</v>
      </c>
      <c r="G73" s="573"/>
      <c r="H73" s="573"/>
      <c r="I73" s="531"/>
      <c r="J73" s="531"/>
      <c r="K73" s="1692">
        <f>SUM(C73:J73)</f>
        <v>649</v>
      </c>
      <c r="L73" s="576"/>
      <c r="M73" s="610"/>
      <c r="N73" s="610"/>
    </row>
    <row r="74" spans="1:14" ht="12.75" customHeight="1" thickTop="1" thickBot="1" x14ac:dyDescent="0.25">
      <c r="A74" s="1690" t="s">
        <v>865</v>
      </c>
      <c r="B74" s="1698">
        <v>2000</v>
      </c>
      <c r="C74" s="1699">
        <f>SUM(C42,C47,C53,C57,C65,C72,C73)</f>
        <v>397592</v>
      </c>
      <c r="D74" s="1699">
        <f t="shared" ref="D74:K74" si="10">SUM(D42,D47,D53,D57,D65,D72,D73)</f>
        <v>79961</v>
      </c>
      <c r="E74" s="1699">
        <f t="shared" si="10"/>
        <v>75307</v>
      </c>
      <c r="F74" s="1699">
        <f t="shared" si="10"/>
        <v>83281</v>
      </c>
      <c r="G74" s="1699">
        <f t="shared" si="10"/>
        <v>3058</v>
      </c>
      <c r="H74" s="1699">
        <f t="shared" si="10"/>
        <v>0</v>
      </c>
      <c r="I74" s="1699">
        <f t="shared" si="10"/>
        <v>0</v>
      </c>
      <c r="J74" s="1699">
        <f t="shared" si="10"/>
        <v>0</v>
      </c>
      <c r="K74" s="1699">
        <f t="shared" si="10"/>
        <v>639199</v>
      </c>
      <c r="L74" s="1699">
        <f>SUM(L42,L47,L53,L57,L65,L72,L73)</f>
        <v>570368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37816</v>
      </c>
      <c r="F79" s="617"/>
      <c r="G79" s="617"/>
      <c r="H79" s="466"/>
      <c r="I79" s="477"/>
      <c r="J79" s="477"/>
      <c r="K79" s="1693">
        <f t="shared" si="11"/>
        <v>37816</v>
      </c>
      <c r="L79" s="466">
        <v>26000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8073</v>
      </c>
      <c r="I83" s="477"/>
      <c r="J83" s="477"/>
      <c r="K83" s="1693">
        <f t="shared" si="11"/>
        <v>8073</v>
      </c>
      <c r="L83" s="466"/>
    </row>
    <row r="84" spans="1:12" ht="13.5" thickBot="1" x14ac:dyDescent="0.25">
      <c r="A84" s="1690" t="s">
        <v>1565</v>
      </c>
      <c r="B84" s="1700">
        <v>4100</v>
      </c>
      <c r="C84" s="617"/>
      <c r="D84" s="617"/>
      <c r="E84" s="1692">
        <f>SUM(E78:E83)</f>
        <v>37816</v>
      </c>
      <c r="F84" s="617"/>
      <c r="G84" s="617"/>
      <c r="H84" s="1692">
        <f>SUM(H78:H83)</f>
        <v>8073</v>
      </c>
      <c r="I84" s="477"/>
      <c r="J84" s="477"/>
      <c r="K84" s="1692">
        <f>SUM(K78:K83)</f>
        <v>45889</v>
      </c>
      <c r="L84" s="1692">
        <f>SUM(L78:L83)</f>
        <v>26000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37816</v>
      </c>
      <c r="F102" s="617"/>
      <c r="G102" s="617"/>
      <c r="H102" s="1699">
        <f>SUM(H84,H92,H100,H101)</f>
        <v>8073</v>
      </c>
      <c r="I102" s="477"/>
      <c r="J102" s="477"/>
      <c r="K102" s="1699">
        <f>SUM(K84,K92,K100,K101)</f>
        <v>45889</v>
      </c>
      <c r="L102" s="1699">
        <f>SUM(L84,L92,L100,L101)</f>
        <v>26000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1588874</v>
      </c>
      <c r="D114" s="1692">
        <f t="shared" ref="D114:K114" si="13">SUM(D33,D74,D75,D102,D112,D113)</f>
        <v>321442</v>
      </c>
      <c r="E114" s="1692">
        <f t="shared" si="13"/>
        <v>183230</v>
      </c>
      <c r="F114" s="1692">
        <f t="shared" si="13"/>
        <v>145854</v>
      </c>
      <c r="G114" s="1692">
        <f t="shared" si="13"/>
        <v>124908</v>
      </c>
      <c r="H114" s="1692">
        <f>SUM(H33,H74,H75,H102,H112,H113)</f>
        <v>8073</v>
      </c>
      <c r="I114" s="1692">
        <f t="shared" si="13"/>
        <v>0</v>
      </c>
      <c r="J114" s="1692">
        <f t="shared" si="13"/>
        <v>0</v>
      </c>
      <c r="K114" s="1692">
        <f t="shared" si="13"/>
        <v>2372381</v>
      </c>
      <c r="L114" s="1692">
        <f>SUM(L33,L74,L75,L102,L112,L113)</f>
        <v>2151965</v>
      </c>
    </row>
    <row r="115" spans="1:14" ht="13.5" thickTop="1" x14ac:dyDescent="0.2">
      <c r="A115" s="2199" t="s">
        <v>1053</v>
      </c>
      <c r="B115" s="2200"/>
      <c r="C115" s="619"/>
      <c r="D115" s="619"/>
      <c r="E115" s="619"/>
      <c r="F115" s="619"/>
      <c r="G115" s="619"/>
      <c r="H115" s="619"/>
      <c r="I115" s="619"/>
      <c r="J115" s="619"/>
      <c r="K115" s="1706">
        <f>'Revenues 9-14'!C275-'Expenditures 15-22'!K114</f>
        <v>-143866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109917</v>
      </c>
      <c r="D124" s="466">
        <v>17384</v>
      </c>
      <c r="E124" s="466">
        <v>108156</v>
      </c>
      <c r="F124" s="466">
        <v>33317</v>
      </c>
      <c r="G124" s="466">
        <v>46989</v>
      </c>
      <c r="H124" s="466"/>
      <c r="I124" s="467"/>
      <c r="J124" s="467"/>
      <c r="K124" s="1692">
        <f>SUM(C124:J124)</f>
        <v>315763</v>
      </c>
      <c r="L124" s="466">
        <v>324230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109917</v>
      </c>
      <c r="D127" s="1692">
        <f t="shared" ref="D127:L127" si="14">SUM(D122:D126)</f>
        <v>17384</v>
      </c>
      <c r="E127" s="1692">
        <f t="shared" si="14"/>
        <v>108156</v>
      </c>
      <c r="F127" s="1692">
        <f t="shared" si="14"/>
        <v>33317</v>
      </c>
      <c r="G127" s="1692">
        <f t="shared" si="14"/>
        <v>46989</v>
      </c>
      <c r="H127" s="1692">
        <f t="shared" si="14"/>
        <v>0</v>
      </c>
      <c r="I127" s="1692">
        <f t="shared" si="14"/>
        <v>0</v>
      </c>
      <c r="J127" s="1692">
        <f t="shared" si="14"/>
        <v>0</v>
      </c>
      <c r="K127" s="1692">
        <f t="shared" si="14"/>
        <v>315763</v>
      </c>
      <c r="L127" s="1692">
        <f t="shared" si="14"/>
        <v>324230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109917</v>
      </c>
      <c r="D129" s="1699">
        <f t="shared" ref="D129:L129" si="15">SUM(D120,D127,D128)</f>
        <v>17384</v>
      </c>
      <c r="E129" s="1699">
        <f t="shared" si="15"/>
        <v>108156</v>
      </c>
      <c r="F129" s="1699">
        <f t="shared" si="15"/>
        <v>33317</v>
      </c>
      <c r="G129" s="1699">
        <f t="shared" si="15"/>
        <v>46989</v>
      </c>
      <c r="H129" s="1699">
        <f t="shared" si="15"/>
        <v>0</v>
      </c>
      <c r="I129" s="1699">
        <f t="shared" si="15"/>
        <v>0</v>
      </c>
      <c r="J129" s="1699">
        <f t="shared" si="15"/>
        <v>0</v>
      </c>
      <c r="K129" s="1699">
        <f t="shared" si="15"/>
        <v>315763</v>
      </c>
      <c r="L129" s="1699">
        <f t="shared" si="15"/>
        <v>324230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109917</v>
      </c>
      <c r="D151" s="1692">
        <f t="shared" ref="D151:K151" si="16">SUM(D129,D130,D139,D149,D150)</f>
        <v>17384</v>
      </c>
      <c r="E151" s="1692">
        <f t="shared" si="16"/>
        <v>108156</v>
      </c>
      <c r="F151" s="1692">
        <f t="shared" si="16"/>
        <v>33317</v>
      </c>
      <c r="G151" s="1692">
        <f t="shared" si="16"/>
        <v>46989</v>
      </c>
      <c r="H151" s="1692">
        <f t="shared" si="16"/>
        <v>0</v>
      </c>
      <c r="I151" s="1692">
        <f t="shared" si="16"/>
        <v>0</v>
      </c>
      <c r="J151" s="1692">
        <f t="shared" si="16"/>
        <v>0</v>
      </c>
      <c r="K151" s="1692">
        <f t="shared" si="16"/>
        <v>315763</v>
      </c>
      <c r="L151" s="1692">
        <f>SUM(L129,L130,L139,L149,L150)</f>
        <v>324230</v>
      </c>
    </row>
    <row r="152" spans="1:14" ht="12.75" customHeight="1" thickTop="1" x14ac:dyDescent="0.2">
      <c r="A152" s="2192" t="s">
        <v>1240</v>
      </c>
      <c r="B152" s="2193"/>
      <c r="C152" s="619"/>
      <c r="D152" s="619"/>
      <c r="E152" s="619"/>
      <c r="F152" s="619"/>
      <c r="G152" s="619"/>
      <c r="H152" s="619"/>
      <c r="I152" s="619"/>
      <c r="J152" s="617"/>
      <c r="K152" s="1706">
        <f>'Revenues 9-14'!D275-'Expenditures 15-22'!K151</f>
        <v>-27953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12644</v>
      </c>
      <c r="I169" s="617"/>
      <c r="J169" s="617"/>
      <c r="K169" s="1693">
        <f>SUM(C169:H169)</f>
        <v>12644</v>
      </c>
      <c r="L169" s="657">
        <v>500</v>
      </c>
    </row>
    <row r="170" spans="1:14" ht="33.75" customHeight="1" x14ac:dyDescent="0.2">
      <c r="A170" s="670" t="s">
        <v>1769</v>
      </c>
      <c r="B170" s="672" t="s">
        <v>31</v>
      </c>
      <c r="C170" s="617"/>
      <c r="D170" s="617"/>
      <c r="E170" s="617"/>
      <c r="F170" s="617"/>
      <c r="G170" s="617"/>
      <c r="H170" s="569">
        <v>161223</v>
      </c>
      <c r="I170" s="617"/>
      <c r="J170" s="617"/>
      <c r="K170" s="1693">
        <f>SUM(C170:J170)</f>
        <v>161223</v>
      </c>
      <c r="L170" s="569">
        <v>162588</v>
      </c>
    </row>
    <row r="171" spans="1:14" ht="15.75" customHeight="1" x14ac:dyDescent="0.2">
      <c r="A171" s="622" t="s">
        <v>790</v>
      </c>
      <c r="B171" s="673" t="s">
        <v>86</v>
      </c>
      <c r="C171" s="617"/>
      <c r="D171" s="617"/>
      <c r="E171" s="466"/>
      <c r="F171" s="617"/>
      <c r="G171" s="617"/>
      <c r="H171" s="569">
        <v>500</v>
      </c>
      <c r="I171" s="477"/>
      <c r="J171" s="617"/>
      <c r="K171" s="1693">
        <f>SUM(C171:J171)</f>
        <v>500</v>
      </c>
      <c r="L171" s="569"/>
    </row>
    <row r="172" spans="1:14" ht="12.75" customHeight="1" thickBot="1" x14ac:dyDescent="0.25">
      <c r="A172" s="1690" t="s">
        <v>659</v>
      </c>
      <c r="B172" s="1691" t="s">
        <v>513</v>
      </c>
      <c r="C172" s="617"/>
      <c r="D172" s="617"/>
      <c r="E172" s="1699">
        <f>SUM(E168,E169,E170,E171)</f>
        <v>0</v>
      </c>
      <c r="F172" s="617"/>
      <c r="G172" s="617"/>
      <c r="H172" s="1699">
        <f>SUM(H168,H169,H170,H171)</f>
        <v>174367</v>
      </c>
      <c r="I172" s="639"/>
      <c r="J172" s="617"/>
      <c r="K172" s="1699">
        <f>SUM(K168,K169,K170,K171)</f>
        <v>174367</v>
      </c>
      <c r="L172" s="1699">
        <f>SUM(L168,L169,L170,L171)</f>
        <v>163088</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174367</v>
      </c>
      <c r="I174" s="639"/>
      <c r="J174" s="617"/>
      <c r="K174" s="1699">
        <f>SUM(K160,K172,K173)</f>
        <v>174367</v>
      </c>
      <c r="L174" s="1699">
        <f>SUM(L160,L172,L173)</f>
        <v>163088</v>
      </c>
    </row>
    <row r="175" spans="1:14" ht="13.5" thickTop="1" x14ac:dyDescent="0.2">
      <c r="A175" s="2199" t="s">
        <v>1053</v>
      </c>
      <c r="B175" s="2200"/>
      <c r="C175" s="617"/>
      <c r="D175" s="617"/>
      <c r="E175" s="617"/>
      <c r="F175" s="617"/>
      <c r="G175" s="617"/>
      <c r="H175" s="619"/>
      <c r="I175" s="617"/>
      <c r="J175" s="617"/>
      <c r="K175" s="1706">
        <f>'Revenues 9-14'!E275-'Expenditures 15-22'!K174</f>
        <v>16682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79716</v>
      </c>
      <c r="D182" s="466">
        <v>6130</v>
      </c>
      <c r="E182" s="466">
        <v>44363</v>
      </c>
      <c r="F182" s="466">
        <v>18240</v>
      </c>
      <c r="G182" s="466"/>
      <c r="H182" s="466"/>
      <c r="I182" s="467"/>
      <c r="J182" s="467"/>
      <c r="K182" s="1693">
        <f>SUM(C182:J182)</f>
        <v>148449</v>
      </c>
      <c r="L182" s="466">
        <v>94047</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79716</v>
      </c>
      <c r="D184" s="1699">
        <f t="shared" ref="D184:J184" si="17">SUM(D180,D182,D183)</f>
        <v>6130</v>
      </c>
      <c r="E184" s="1699">
        <f t="shared" si="17"/>
        <v>44363</v>
      </c>
      <c r="F184" s="1699">
        <f t="shared" si="17"/>
        <v>18240</v>
      </c>
      <c r="G184" s="1699">
        <f t="shared" si="17"/>
        <v>0</v>
      </c>
      <c r="H184" s="1699">
        <f t="shared" si="17"/>
        <v>0</v>
      </c>
      <c r="I184" s="1699">
        <f t="shared" si="17"/>
        <v>0</v>
      </c>
      <c r="J184" s="1699">
        <f t="shared" si="17"/>
        <v>0</v>
      </c>
      <c r="K184" s="1699">
        <f>SUM(K180,K182,K183)</f>
        <v>148449</v>
      </c>
      <c r="L184" s="1699">
        <f>SUM(L180, L182:L183)</f>
        <v>94047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v>25775</v>
      </c>
      <c r="I193" s="477"/>
      <c r="J193" s="617"/>
      <c r="K193" s="1693">
        <f t="shared" si="18"/>
        <v>25775</v>
      </c>
      <c r="L193" s="466"/>
    </row>
    <row r="194" spans="1:14" ht="12.75" customHeight="1" thickBot="1" x14ac:dyDescent="0.25">
      <c r="A194" s="1690" t="s">
        <v>1202</v>
      </c>
      <c r="B194" s="1691" t="s">
        <v>580</v>
      </c>
      <c r="C194" s="617"/>
      <c r="D194" s="617"/>
      <c r="E194" s="1692">
        <f>SUM(E188:E193)</f>
        <v>0</v>
      </c>
      <c r="F194" s="617"/>
      <c r="G194" s="617"/>
      <c r="H194" s="1692">
        <f>SUM(H188:H193)</f>
        <v>25775</v>
      </c>
      <c r="I194" s="477"/>
      <c r="J194" s="617"/>
      <c r="K194" s="1692">
        <f>SUM(K188:K193)</f>
        <v>25775</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25775</v>
      </c>
      <c r="I196" s="477"/>
      <c r="J196" s="617"/>
      <c r="K196" s="1699">
        <f>SUM(K194,K195)</f>
        <v>25775</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79716</v>
      </c>
      <c r="D210" s="1692">
        <f>SUM(D184,D185)</f>
        <v>6130</v>
      </c>
      <c r="E210" s="1692">
        <f>SUM(E184,E185,E196)</f>
        <v>44363</v>
      </c>
      <c r="F210" s="1692">
        <f>SUM(F184,F185)</f>
        <v>18240</v>
      </c>
      <c r="G210" s="1692">
        <f>SUM(G184,G185)</f>
        <v>0</v>
      </c>
      <c r="H210" s="1692">
        <f>SUM(H184,H185,H196,H208,H209)</f>
        <v>25775</v>
      </c>
      <c r="I210" s="1692">
        <f>SUM(I184,I185)</f>
        <v>0</v>
      </c>
      <c r="J210" s="1692">
        <f>SUM(J184,J185)</f>
        <v>0</v>
      </c>
      <c r="K210" s="1693">
        <f>SUM(K184,K185,K196,K208,K209)</f>
        <v>174224</v>
      </c>
      <c r="L210" s="1692">
        <f>SUM(L184,L185,L196,L208,L209)</f>
        <v>94047</v>
      </c>
    </row>
    <row r="211" spans="1:14" ht="13.5" thickTop="1" x14ac:dyDescent="0.2">
      <c r="A211" s="2199" t="s">
        <v>1053</v>
      </c>
      <c r="B211" s="2200"/>
      <c r="C211" s="619"/>
      <c r="D211" s="619"/>
      <c r="E211" s="619"/>
      <c r="F211" s="619"/>
      <c r="G211" s="619"/>
      <c r="H211" s="619"/>
      <c r="I211" s="617"/>
      <c r="J211" s="617"/>
      <c r="K211" s="1706">
        <f>'Revenues 9-14'!F275-'Expenditures 15-22'!K210</f>
        <v>5107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13847</v>
      </c>
      <c r="E215" s="617"/>
      <c r="F215" s="617"/>
      <c r="G215" s="617"/>
      <c r="H215" s="617"/>
      <c r="I215" s="617"/>
      <c r="J215" s="617"/>
      <c r="K215" s="1693">
        <f>D215</f>
        <v>13847</v>
      </c>
      <c r="L215" s="466">
        <v>4611</v>
      </c>
    </row>
    <row r="216" spans="1:14" x14ac:dyDescent="0.2">
      <c r="A216" s="1526" t="s">
        <v>165</v>
      </c>
      <c r="B216" s="615" t="s">
        <v>1024</v>
      </c>
      <c r="C216" s="617"/>
      <c r="D216" s="467">
        <v>4314</v>
      </c>
      <c r="E216" s="617"/>
      <c r="F216" s="617"/>
      <c r="G216" s="617"/>
      <c r="H216" s="617"/>
      <c r="I216" s="617"/>
      <c r="J216" s="617"/>
      <c r="K216" s="1693">
        <f t="shared" ref="K216:K228" si="19">D216</f>
        <v>4314</v>
      </c>
      <c r="L216" s="466">
        <v>2740</v>
      </c>
    </row>
    <row r="217" spans="1:14" x14ac:dyDescent="0.2">
      <c r="A217" s="1526" t="s">
        <v>166</v>
      </c>
      <c r="B217" s="615">
        <v>1200</v>
      </c>
      <c r="C217" s="617"/>
      <c r="D217" s="466">
        <v>16623</v>
      </c>
      <c r="E217" s="617"/>
      <c r="F217" s="617"/>
      <c r="G217" s="617"/>
      <c r="H217" s="617"/>
      <c r="I217" s="617"/>
      <c r="J217" s="617"/>
      <c r="K217" s="1693">
        <f t="shared" si="19"/>
        <v>16623</v>
      </c>
      <c r="L217" s="466">
        <v>10714</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1171</v>
      </c>
      <c r="E219" s="617"/>
      <c r="F219" s="617"/>
      <c r="G219" s="617"/>
      <c r="H219" s="617"/>
      <c r="I219" s="617"/>
      <c r="J219" s="617"/>
      <c r="K219" s="1693">
        <f t="shared" si="19"/>
        <v>1171</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1167</v>
      </c>
      <c r="E222" s="617"/>
      <c r="F222" s="617"/>
      <c r="G222" s="617"/>
      <c r="H222" s="617"/>
      <c r="I222" s="617"/>
      <c r="J222" s="617"/>
      <c r="K222" s="1693">
        <f t="shared" si="19"/>
        <v>1167</v>
      </c>
      <c r="L222" s="466"/>
    </row>
    <row r="223" spans="1:14" x14ac:dyDescent="0.2">
      <c r="A223" s="1526" t="s">
        <v>1020</v>
      </c>
      <c r="B223" s="615">
        <v>1500</v>
      </c>
      <c r="C223" s="617"/>
      <c r="D223" s="466">
        <v>665</v>
      </c>
      <c r="E223" s="617"/>
      <c r="F223" s="617"/>
      <c r="G223" s="617"/>
      <c r="H223" s="617"/>
      <c r="I223" s="617"/>
      <c r="J223" s="617"/>
      <c r="K223" s="1693">
        <f t="shared" si="19"/>
        <v>665</v>
      </c>
      <c r="L223" s="466">
        <v>675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20</v>
      </c>
      <c r="E226" s="617"/>
      <c r="F226" s="617"/>
      <c r="G226" s="617"/>
      <c r="H226" s="617"/>
      <c r="I226" s="617"/>
      <c r="J226" s="617"/>
      <c r="K226" s="1693">
        <f t="shared" si="19"/>
        <v>20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37807</v>
      </c>
      <c r="E229" s="617"/>
      <c r="F229" s="617"/>
      <c r="G229" s="617"/>
      <c r="H229" s="617"/>
      <c r="I229" s="617"/>
      <c r="J229" s="617"/>
      <c r="K229" s="1692">
        <f>SUM(K215:K228)</f>
        <v>37807</v>
      </c>
      <c r="L229" s="1692">
        <f>SUM(L215:L228)</f>
        <v>18740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409</v>
      </c>
      <c r="E233" s="617"/>
      <c r="F233" s="617"/>
      <c r="G233" s="617"/>
      <c r="H233" s="617"/>
      <c r="I233" s="617"/>
      <c r="J233" s="617"/>
      <c r="K233" s="1693">
        <f t="shared" si="20"/>
        <v>409</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498</v>
      </c>
      <c r="E236" s="617"/>
      <c r="F236" s="617"/>
      <c r="G236" s="617"/>
      <c r="H236" s="617"/>
      <c r="I236" s="617"/>
      <c r="J236" s="617"/>
      <c r="K236" s="1693">
        <f t="shared" si="20"/>
        <v>498</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907</v>
      </c>
      <c r="E238" s="617"/>
      <c r="F238" s="617"/>
      <c r="G238" s="617"/>
      <c r="H238" s="617"/>
      <c r="I238" s="617"/>
      <c r="J238" s="617"/>
      <c r="K238" s="1692">
        <f>SUM(K232:K237)</f>
        <v>907</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3739</v>
      </c>
      <c r="E241" s="617"/>
      <c r="F241" s="617"/>
      <c r="G241" s="617"/>
      <c r="H241" s="617"/>
      <c r="I241" s="617"/>
      <c r="J241" s="617"/>
      <c r="K241" s="1694">
        <f>D241</f>
        <v>3739</v>
      </c>
      <c r="L241" s="466">
        <v>3668</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3739</v>
      </c>
      <c r="E243" s="617"/>
      <c r="F243" s="617"/>
      <c r="G243" s="617"/>
      <c r="H243" s="617"/>
      <c r="I243" s="617"/>
      <c r="J243" s="617"/>
      <c r="K243" s="1692">
        <f>SUM(K240:K242)</f>
        <v>3739</v>
      </c>
      <c r="L243" s="1692">
        <f>SUM(L240:L242)</f>
        <v>3668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1146</v>
      </c>
      <c r="E246" s="617"/>
      <c r="F246" s="617"/>
      <c r="G246" s="617"/>
      <c r="H246" s="617"/>
      <c r="I246" s="617"/>
      <c r="J246" s="617"/>
      <c r="K246" s="1694">
        <f t="shared" ref="K246:K256" si="21">D246</f>
        <v>1146</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9625</v>
      </c>
      <c r="E254" s="617"/>
      <c r="F254" s="617"/>
      <c r="G254" s="617"/>
      <c r="H254" s="617"/>
      <c r="I254" s="617"/>
      <c r="J254" s="617"/>
      <c r="K254" s="1694">
        <f t="shared" si="21"/>
        <v>9625</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10771</v>
      </c>
      <c r="E257" s="617"/>
      <c r="F257" s="617"/>
      <c r="G257" s="617"/>
      <c r="H257" s="617"/>
      <c r="I257" s="617"/>
      <c r="J257" s="617"/>
      <c r="K257" s="1692">
        <f>SUM(K245:K256)</f>
        <v>10771</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9199</v>
      </c>
      <c r="E259" s="617"/>
      <c r="F259" s="617"/>
      <c r="G259" s="617"/>
      <c r="H259" s="617"/>
      <c r="I259" s="617"/>
      <c r="J259" s="617"/>
      <c r="K259" s="1694">
        <f>D259</f>
        <v>9199</v>
      </c>
      <c r="L259" s="481">
        <v>8977</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9199</v>
      </c>
      <c r="E261" s="617"/>
      <c r="F261" s="617"/>
      <c r="G261" s="617"/>
      <c r="H261" s="617"/>
      <c r="I261" s="617"/>
      <c r="J261" s="617"/>
      <c r="K261" s="1692">
        <f>SUM(K259:K260)</f>
        <v>9199</v>
      </c>
      <c r="L261" s="1692">
        <f>SUM(L259:L260)</f>
        <v>8977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6460</v>
      </c>
      <c r="E264" s="617"/>
      <c r="F264" s="617"/>
      <c r="G264" s="617"/>
      <c r="H264" s="617"/>
      <c r="I264" s="617"/>
      <c r="J264" s="617"/>
      <c r="K264" s="1694">
        <f t="shared" ref="K264:K269" si="22">D264</f>
        <v>6460</v>
      </c>
      <c r="L264" s="466">
        <v>4504</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17977</v>
      </c>
      <c r="E266" s="617"/>
      <c r="F266" s="617"/>
      <c r="G266" s="617"/>
      <c r="H266" s="617"/>
      <c r="I266" s="617"/>
      <c r="J266" s="617"/>
      <c r="K266" s="1694">
        <f t="shared" si="22"/>
        <v>17977</v>
      </c>
      <c r="L266" s="466">
        <v>16753</v>
      </c>
    </row>
    <row r="267" spans="1:14" x14ac:dyDescent="0.2">
      <c r="A267" s="1526" t="s">
        <v>1010</v>
      </c>
      <c r="B267" s="615">
        <v>2550</v>
      </c>
      <c r="C267" s="617"/>
      <c r="D267" s="466">
        <v>12164</v>
      </c>
      <c r="E267" s="617"/>
      <c r="F267" s="617"/>
      <c r="G267" s="617"/>
      <c r="H267" s="617"/>
      <c r="I267" s="617"/>
      <c r="J267" s="617"/>
      <c r="K267" s="1694">
        <f t="shared" si="22"/>
        <v>12164</v>
      </c>
      <c r="L267" s="466">
        <v>12050</v>
      </c>
    </row>
    <row r="268" spans="1:14" x14ac:dyDescent="0.2">
      <c r="A268" s="1526" t="s">
        <v>102</v>
      </c>
      <c r="B268" s="615">
        <v>2560</v>
      </c>
      <c r="C268" s="617"/>
      <c r="D268" s="466">
        <v>10928</v>
      </c>
      <c r="E268" s="617"/>
      <c r="F268" s="617"/>
      <c r="G268" s="617"/>
      <c r="H268" s="617"/>
      <c r="I268" s="617"/>
      <c r="J268" s="617"/>
      <c r="K268" s="1694">
        <f t="shared" si="22"/>
        <v>10928</v>
      </c>
      <c r="L268" s="466">
        <v>7384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47529</v>
      </c>
      <c r="E270" s="617"/>
      <c r="F270" s="617"/>
      <c r="G270" s="617"/>
      <c r="H270" s="617"/>
      <c r="I270" s="617"/>
      <c r="J270" s="617"/>
      <c r="K270" s="1692">
        <f>SUM(K263:K269)</f>
        <v>47529</v>
      </c>
      <c r="L270" s="1692">
        <f>SUM(L263:L269)</f>
        <v>40691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72145</v>
      </c>
      <c r="E279" s="617"/>
      <c r="F279" s="617"/>
      <c r="G279" s="617"/>
      <c r="H279" s="617"/>
      <c r="I279" s="617"/>
      <c r="J279" s="617"/>
      <c r="K279" s="1699">
        <f>SUM(K238,K243,K257,K261,K270,K277,K278)</f>
        <v>72145</v>
      </c>
      <c r="L279" s="1699">
        <f>SUM(L238,L243,L257,L261,L270,L277,L278)</f>
        <v>53336</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109952</v>
      </c>
      <c r="E295" s="617"/>
      <c r="F295" s="617"/>
      <c r="G295" s="617"/>
      <c r="H295" s="1692">
        <f>H293</f>
        <v>0</v>
      </c>
      <c r="I295" s="617"/>
      <c r="J295" s="617"/>
      <c r="K295" s="1692">
        <f>SUM(K229,K279,K280,K285,K293,K294)</f>
        <v>109952</v>
      </c>
      <c r="L295" s="1692">
        <f>SUM(L229,L279,L280,L285,L293,L294)</f>
        <v>72076</v>
      </c>
    </row>
    <row r="296" spans="1:14" ht="13.5" thickTop="1" x14ac:dyDescent="0.2">
      <c r="A296" s="2199" t="s">
        <v>1053</v>
      </c>
      <c r="B296" s="2200"/>
      <c r="C296" s="617"/>
      <c r="D296" s="619"/>
      <c r="E296" s="617"/>
      <c r="F296" s="617"/>
      <c r="G296" s="617"/>
      <c r="H296" s="688"/>
      <c r="I296" s="617"/>
      <c r="J296" s="617"/>
      <c r="K296" s="1706">
        <f>'Revenues 9-14'!G275-'Expenditures 15-22'!K295</f>
        <v>23528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8999</v>
      </c>
      <c r="H301" s="466"/>
      <c r="I301" s="467"/>
      <c r="J301" s="467"/>
      <c r="K301" s="1693">
        <f>SUM(C301:J301)</f>
        <v>8999</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8999</v>
      </c>
      <c r="H303" s="1699">
        <f t="shared" si="23"/>
        <v>0</v>
      </c>
      <c r="I303" s="1699">
        <f t="shared" si="23"/>
        <v>0</v>
      </c>
      <c r="J303" s="1699">
        <f t="shared" si="23"/>
        <v>0</v>
      </c>
      <c r="K303" s="1699">
        <f t="shared" si="23"/>
        <v>8999</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8999</v>
      </c>
      <c r="H312" s="1692">
        <f>SUM(H303,H310)</f>
        <v>0</v>
      </c>
      <c r="I312" s="1692">
        <f>SUM(I303)</f>
        <v>0</v>
      </c>
      <c r="J312" s="1692">
        <f>SUM(J303)</f>
        <v>0</v>
      </c>
      <c r="K312" s="1692">
        <f>SUM(K303,K310,K311)</f>
        <v>8999</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111255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19069</v>
      </c>
      <c r="F320" s="467"/>
      <c r="G320" s="467"/>
      <c r="H320" s="467"/>
      <c r="I320" s="467"/>
      <c r="J320" s="467"/>
      <c r="K320" s="1693">
        <f t="shared" ref="K320:K327" si="24">SUM(C320:J320)</f>
        <v>19069</v>
      </c>
      <c r="L320" s="467">
        <v>24682</v>
      </c>
      <c r="M320" s="666"/>
      <c r="N320" s="666"/>
    </row>
    <row r="321" spans="1:14" s="675" customFormat="1" x14ac:dyDescent="0.2">
      <c r="A321" s="1541" t="s">
        <v>318</v>
      </c>
      <c r="B321" s="698" t="s">
        <v>301</v>
      </c>
      <c r="C321" s="467"/>
      <c r="D321" s="467"/>
      <c r="E321" s="467">
        <v>6320</v>
      </c>
      <c r="F321" s="467"/>
      <c r="G321" s="467"/>
      <c r="H321" s="467"/>
      <c r="I321" s="467"/>
      <c r="J321" s="467"/>
      <c r="K321" s="1693">
        <f t="shared" si="24"/>
        <v>6320</v>
      </c>
      <c r="L321" s="467">
        <v>18700</v>
      </c>
      <c r="M321" s="666"/>
      <c r="N321" s="666"/>
    </row>
    <row r="322" spans="1:14" s="675" customFormat="1" x14ac:dyDescent="0.2">
      <c r="A322" s="1541" t="s">
        <v>256</v>
      </c>
      <c r="B322" s="698" t="s">
        <v>302</v>
      </c>
      <c r="C322" s="467"/>
      <c r="D322" s="467"/>
      <c r="E322" s="467">
        <v>28535</v>
      </c>
      <c r="F322" s="467"/>
      <c r="G322" s="467"/>
      <c r="H322" s="467"/>
      <c r="I322" s="467"/>
      <c r="J322" s="467"/>
      <c r="K322" s="1693">
        <f t="shared" si="24"/>
        <v>28535</v>
      </c>
      <c r="L322" s="467"/>
      <c r="M322" s="666"/>
      <c r="N322" s="666"/>
    </row>
    <row r="323" spans="1:14" s="675" customFormat="1" x14ac:dyDescent="0.2">
      <c r="A323" s="1541" t="s">
        <v>726</v>
      </c>
      <c r="B323" s="698" t="s">
        <v>303</v>
      </c>
      <c r="C323" s="467"/>
      <c r="D323" s="467"/>
      <c r="E323" s="467"/>
      <c r="F323" s="467">
        <v>2329</v>
      </c>
      <c r="G323" s="467">
        <v>46454</v>
      </c>
      <c r="H323" s="467"/>
      <c r="I323" s="467"/>
      <c r="J323" s="467"/>
      <c r="K323" s="1693">
        <f t="shared" si="24"/>
        <v>48783</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86203</v>
      </c>
      <c r="D325" s="467">
        <v>15121</v>
      </c>
      <c r="E325" s="467"/>
      <c r="F325" s="467"/>
      <c r="G325" s="467"/>
      <c r="H325" s="467"/>
      <c r="I325" s="467"/>
      <c r="J325" s="467"/>
      <c r="K325" s="1693">
        <f t="shared" si="24"/>
        <v>101324</v>
      </c>
      <c r="L325" s="467">
        <v>18680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6206</v>
      </c>
      <c r="F327" s="467"/>
      <c r="G327" s="467"/>
      <c r="H327" s="467"/>
      <c r="I327" s="467"/>
      <c r="J327" s="467"/>
      <c r="K327" s="1693">
        <f t="shared" si="24"/>
        <v>6206</v>
      </c>
      <c r="L327" s="467">
        <v>12000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29125</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86203</v>
      </c>
      <c r="D330" s="1692">
        <f t="shared" ref="D330:J330" si="25">SUM(D319:D329)</f>
        <v>15121</v>
      </c>
      <c r="E330" s="1692">
        <f t="shared" si="25"/>
        <v>60130</v>
      </c>
      <c r="F330" s="1692">
        <f t="shared" si="25"/>
        <v>2329</v>
      </c>
      <c r="G330" s="1692">
        <f t="shared" si="25"/>
        <v>46454</v>
      </c>
      <c r="H330" s="1692">
        <f t="shared" si="25"/>
        <v>0</v>
      </c>
      <c r="I330" s="1692">
        <f t="shared" si="25"/>
        <v>0</v>
      </c>
      <c r="J330" s="1692">
        <f t="shared" si="25"/>
        <v>0</v>
      </c>
      <c r="K330" s="1692">
        <f>SUM(K319:K329)</f>
        <v>210237</v>
      </c>
      <c r="L330" s="1692">
        <f>SUM(L319:L329)</f>
        <v>103187</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86203</v>
      </c>
      <c r="D342" s="1692">
        <f>SUM(D330)</f>
        <v>15121</v>
      </c>
      <c r="E342" s="1692">
        <f>SUM(E330)</f>
        <v>60130</v>
      </c>
      <c r="F342" s="1692">
        <f>SUM(F330)</f>
        <v>2329</v>
      </c>
      <c r="G342" s="1692">
        <f>SUM(G330)</f>
        <v>46454</v>
      </c>
      <c r="H342" s="1692">
        <f>SUM(H330,H334,H340)</f>
        <v>0</v>
      </c>
      <c r="I342" s="1692">
        <f>SUM(I330)</f>
        <v>0</v>
      </c>
      <c r="J342" s="1692">
        <f>SUM(J330)</f>
        <v>0</v>
      </c>
      <c r="K342" s="1692">
        <f>SUM(K330,K334,K340)</f>
        <v>210237</v>
      </c>
      <c r="L342" s="1699">
        <f>SUM(L330,L340,L341)</f>
        <v>103187</v>
      </c>
    </row>
    <row r="343" spans="1:14" ht="12.75" customHeight="1" thickTop="1" x14ac:dyDescent="0.2">
      <c r="A343" s="2185" t="s">
        <v>1053</v>
      </c>
      <c r="B343" s="2186"/>
      <c r="C343" s="617"/>
      <c r="D343" s="617"/>
      <c r="E343" s="617"/>
      <c r="F343" s="617"/>
      <c r="G343" s="617"/>
      <c r="H343" s="617"/>
      <c r="I343" s="617"/>
      <c r="J343" s="617"/>
      <c r="K343" s="1706">
        <f>'Revenues 9-14'!J275-'Expenditures 15-22'!K342</f>
        <v>84900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5363</v>
      </c>
      <c r="F348" s="466"/>
      <c r="G348" s="466">
        <v>9073</v>
      </c>
      <c r="H348" s="466"/>
      <c r="I348" s="467"/>
      <c r="J348" s="467"/>
      <c r="K348" s="1693">
        <f>SUM(C348:J348)</f>
        <v>14436</v>
      </c>
      <c r="L348" s="466">
        <v>2100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5363</v>
      </c>
      <c r="F350" s="1692">
        <f t="shared" si="26"/>
        <v>0</v>
      </c>
      <c r="G350" s="1692">
        <f t="shared" si="26"/>
        <v>9073</v>
      </c>
      <c r="H350" s="1692">
        <f t="shared" si="26"/>
        <v>0</v>
      </c>
      <c r="I350" s="1692">
        <f t="shared" si="26"/>
        <v>0</v>
      </c>
      <c r="J350" s="1692">
        <f t="shared" si="26"/>
        <v>0</v>
      </c>
      <c r="K350" s="1692">
        <f t="shared" si="26"/>
        <v>14436</v>
      </c>
      <c r="L350" s="1692">
        <f t="shared" si="26"/>
        <v>2100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5363</v>
      </c>
      <c r="F352" s="1692">
        <f t="shared" si="27"/>
        <v>0</v>
      </c>
      <c r="G352" s="1692">
        <f t="shared" si="27"/>
        <v>9073</v>
      </c>
      <c r="H352" s="1692">
        <f t="shared" si="27"/>
        <v>0</v>
      </c>
      <c r="I352" s="1692">
        <f t="shared" si="27"/>
        <v>0</v>
      </c>
      <c r="J352" s="1692">
        <f t="shared" si="27"/>
        <v>0</v>
      </c>
      <c r="K352" s="1692">
        <f t="shared" si="27"/>
        <v>14436</v>
      </c>
      <c r="L352" s="1692">
        <f t="shared" si="27"/>
        <v>2100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5363</v>
      </c>
      <c r="F367" s="1692">
        <f t="shared" si="28"/>
        <v>0</v>
      </c>
      <c r="G367" s="1692">
        <f t="shared" si="28"/>
        <v>9073</v>
      </c>
      <c r="H367" s="1692">
        <f t="shared" si="28"/>
        <v>0</v>
      </c>
      <c r="I367" s="1692">
        <f t="shared" si="28"/>
        <v>0</v>
      </c>
      <c r="J367" s="1692">
        <f t="shared" si="28"/>
        <v>0</v>
      </c>
      <c r="K367" s="1692">
        <f t="shared" si="28"/>
        <v>14436</v>
      </c>
      <c r="L367" s="1692">
        <f t="shared" si="28"/>
        <v>2100</v>
      </c>
    </row>
    <row r="368" spans="1:14" ht="13.5" thickTop="1" x14ac:dyDescent="0.2">
      <c r="A368" s="2199" t="s">
        <v>1053</v>
      </c>
      <c r="B368" s="2200"/>
      <c r="C368" s="655"/>
      <c r="D368" s="655"/>
      <c r="E368" s="627"/>
      <c r="F368" s="627"/>
      <c r="G368" s="627"/>
      <c r="H368" s="627"/>
      <c r="I368" s="627"/>
      <c r="J368" s="624"/>
      <c r="K368" s="1693">
        <f>'Revenues 9-14'!K275-'Expenditures 15-22'!K367</f>
        <v>201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6ce3111e-7420-4802-b50a-75d4e9a0b980"/>
    <ds:schemaRef ds:uri="4d435f69-8686-490b-bd6d-b153bf22ab50"/>
    <ds:schemaRef ds:uri="http://purl.org/dc/elements/1.1/"/>
    <ds:schemaRef ds:uri="d21dc803-237d-4c68-8692-8d731fd29118"/>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2018-09-12T18:56:52Z</cp:lastPrinted>
  <dcterms:created xsi:type="dcterms:W3CDTF">2003-10-29T19:06:34Z</dcterms:created>
  <dcterms:modified xsi:type="dcterms:W3CDTF">2018-09-18T18:46:53Z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