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F29" i="34"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J34" i="182" s="1"/>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H34" i="182"/>
  <c r="K34" i="182" l="1"/>
  <c r="D81" i="36" s="1"/>
  <c r="F74" i="34"/>
  <c r="F60" i="34"/>
  <c r="F59" i="34"/>
  <c r="B7796" i="106"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K357" i="29"/>
  <c r="B7792" i="106"/>
  <c r="K15" i="4" l="1"/>
  <c r="B7790" i="106"/>
  <c r="J15" i="4"/>
  <c r="G367" i="29"/>
  <c r="F367" i="29"/>
  <c r="D367" i="29"/>
  <c r="C367" i="29"/>
  <c r="J367" i="29"/>
  <c r="I367" i="29"/>
  <c r="L357" i="29"/>
  <c r="L285" i="29" l="1"/>
  <c r="D285" i="29"/>
  <c r="L160" i="29"/>
  <c r="K160" i="29"/>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74" l="1"/>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B3621" i="106" s="1"/>
  <c r="D3621"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B3649" i="106" s="1"/>
  <c r="D3649" i="106" s="1"/>
  <c r="D3651" i="106"/>
  <c r="B3652" i="106"/>
  <c r="D3652" i="106" s="1"/>
  <c r="B3653" i="106"/>
  <c r="D3653" i="106" s="1"/>
  <c r="H350" i="29"/>
  <c r="B3654" i="106" s="1"/>
  <c r="D3654" i="106" s="1"/>
  <c r="B3655" i="106"/>
  <c r="D3655" i="106" s="1"/>
  <c r="B3657" i="106"/>
  <c r="D3657" i="106" s="1"/>
  <c r="H362" i="29"/>
  <c r="B3658" i="106" s="1"/>
  <c r="D3658" i="106" s="1"/>
  <c r="D3659" i="106"/>
  <c r="H365" i="29"/>
  <c r="H367" i="29"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s="1"/>
  <c r="B5115" i="106"/>
  <c r="D5115" i="106" s="1"/>
  <c r="B5116" i="106"/>
  <c r="D5116" i="106"/>
  <c r="B5117" i="106"/>
  <c r="D5117" i="106"/>
  <c r="B5118" i="106"/>
  <c r="D5118" i="106"/>
  <c r="B5119" i="106"/>
  <c r="D5119" i="106" s="1"/>
  <c r="B5122" i="106"/>
  <c r="D5122" i="106"/>
  <c r="B5123" i="106"/>
  <c r="D5123" i="106"/>
  <c r="B5124" i="106"/>
  <c r="D5124" i="106"/>
  <c r="B5126" i="106"/>
  <c r="D5126" i="106" s="1"/>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s="1"/>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c r="B5243" i="106"/>
  <c r="D5243" i="106"/>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s="1"/>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s="1"/>
  <c r="B6353" i="106"/>
  <c r="D6353" i="106" s="1"/>
  <c r="B6354" i="106"/>
  <c r="D6354" i="106"/>
  <c r="B6355" i="106"/>
  <c r="D6355" i="106"/>
  <c r="B6356" i="106"/>
  <c r="D6356" i="106" s="1"/>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s="1"/>
  <c r="D5730" i="106" s="1"/>
  <c r="H18" i="5"/>
  <c r="B5878" i="106"/>
  <c r="D5878" i="106" s="1"/>
  <c r="I18" i="5"/>
  <c r="B5923" i="106"/>
  <c r="D5923" i="106" s="1"/>
  <c r="J18" i="5"/>
  <c r="B6306" i="106"/>
  <c r="D6306" i="106" s="1"/>
  <c r="K18" i="5"/>
  <c r="B5992" i="106"/>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09" i="5"/>
  <c r="B5121" i="106" s="1"/>
  <c r="D5121"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B5770" i="106"/>
  <c r="D5770" i="106" s="1"/>
  <c r="F136" i="34"/>
  <c r="F131" i="34"/>
  <c r="F130" i="34"/>
  <c r="F128" i="34"/>
  <c r="F127" i="34"/>
  <c r="F111" i="34"/>
  <c r="B5847" i="106"/>
  <c r="D5847" i="106" s="1"/>
  <c r="B5752" i="106"/>
  <c r="D5752" i="106" s="1"/>
  <c r="B5599" i="106"/>
  <c r="D5599" i="106" s="1"/>
  <c r="K274" i="5"/>
  <c r="H173" i="5"/>
  <c r="B5906" i="106" s="1"/>
  <c r="D5906" i="106" s="1"/>
  <c r="C172" i="5"/>
  <c r="B5214" i="106" s="1"/>
  <c r="D5214" i="106" s="1"/>
  <c r="H109" i="5"/>
  <c r="B6025" i="106" s="1"/>
  <c r="D6025" i="106" s="1"/>
  <c r="F106" i="34"/>
  <c r="H6" i="4"/>
  <c r="B2656" i="106" s="1"/>
  <c r="D2656" i="106" s="1"/>
  <c r="B1746" i="106"/>
  <c r="D1746" i="106" s="1"/>
  <c r="D17" i="7"/>
  <c r="B4104" i="106" s="1"/>
  <c r="D4104" i="106" s="1"/>
  <c r="D12" i="7"/>
  <c r="B1769" i="106" s="1"/>
  <c r="D1769" i="106" s="1"/>
  <c r="D11" i="7"/>
  <c r="B1768" i="106" s="1"/>
  <c r="D1768" i="106" s="1"/>
  <c r="D15" i="7"/>
  <c r="B1772" i="106" s="1"/>
  <c r="D1772" i="106" s="1"/>
  <c r="E109" i="5" l="1"/>
  <c r="E4" i="4" s="1"/>
  <c r="B2630" i="106" s="1"/>
  <c r="D2630" i="106" s="1"/>
  <c r="L13" i="11"/>
  <c r="B2060" i="106" s="1"/>
  <c r="D2060" i="106" s="1"/>
  <c r="F19" i="7"/>
  <c r="B1807" i="106" s="1"/>
  <c r="D1807" i="106" s="1"/>
  <c r="K350" i="29"/>
  <c r="B1410" i="106"/>
  <c r="D1410" i="106" s="1"/>
  <c r="G210" i="29"/>
  <c r="K184" i="29"/>
  <c r="F13" i="4" s="1"/>
  <c r="B2596" i="106" s="1"/>
  <c r="D2596" i="106" s="1"/>
  <c r="B1329" i="106"/>
  <c r="D1329" i="106" s="1"/>
  <c r="F61" i="34"/>
  <c r="C173" i="5"/>
  <c r="B5223" i="106" s="1"/>
  <c r="D5223" i="106" s="1"/>
  <c r="H4" i="4"/>
  <c r="B2655" i="106" s="1"/>
  <c r="D2655" i="106" s="1"/>
  <c r="D109" i="5"/>
  <c r="B5356" i="106" s="1"/>
  <c r="D5356" i="106" s="1"/>
  <c r="G4" i="4"/>
  <c r="B2603" i="106" s="1"/>
  <c r="D2603" i="106" s="1"/>
  <c r="D7" i="7"/>
  <c r="B1763" i="106" s="1"/>
  <c r="D1763"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C6" i="4"/>
  <c r="B2553" i="106" s="1"/>
  <c r="D2553"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60" i="106"/>
  <c r="D3660" i="106" s="1"/>
  <c r="B3650" i="106"/>
  <c r="D3650" i="106" s="1"/>
  <c r="D352" i="29"/>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D7250" i="106"/>
  <c r="B7230" i="106"/>
  <c r="D7230" i="106" s="1"/>
  <c r="I352" i="29"/>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F275" i="5"/>
  <c r="J7" i="4"/>
  <c r="B2657" i="106"/>
  <c r="D2657" i="106" s="1"/>
  <c r="H8" i="4"/>
  <c r="D274" i="5"/>
  <c r="B7270" i="106"/>
  <c r="K342" i="29" l="1"/>
  <c r="F13" i="34" s="1"/>
  <c r="L16" i="11"/>
  <c r="B2061" i="106" s="1"/>
  <c r="D2061" i="106" s="1"/>
  <c r="B3670" i="106"/>
  <c r="D3670" i="106" s="1"/>
  <c r="K352" i="29"/>
  <c r="B1365" i="106"/>
  <c r="D1365" i="106" s="1"/>
  <c r="F65" i="34"/>
  <c r="C114" i="29"/>
  <c r="B757" i="106" s="1"/>
  <c r="D757" i="106" s="1"/>
  <c r="D4" i="4"/>
  <c r="B2564" i="106" s="1"/>
  <c r="D2564"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B2658" i="106"/>
  <c r="D2658" i="106" s="1"/>
  <c r="H10" i="4"/>
  <c r="B4127" i="106" s="1"/>
  <c r="D4127" i="106" s="1"/>
  <c r="D7" i="4"/>
  <c r="D275" i="5"/>
  <c r="B5507" i="106"/>
  <c r="D5507" i="106" s="1"/>
  <c r="B7298" i="106"/>
  <c r="B7299" i="106"/>
  <c r="K13" i="4" l="1"/>
  <c r="B3572" i="106" s="1"/>
  <c r="D3572" i="106" s="1"/>
  <c r="B3672" i="106"/>
  <c r="D3672" i="106" s="1"/>
  <c r="K367" i="29"/>
  <c r="B1145" i="106"/>
  <c r="D1145" i="106" s="1"/>
  <c r="E41" i="108"/>
  <c r="E44" i="108" s="1"/>
  <c r="E45" i="108" s="1"/>
  <c r="G41" i="108"/>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G44" i="108"/>
  <c r="G45" i="108"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J16" i="37" s="1"/>
  <c r="B4269" i="106" s="1"/>
  <c r="D4269" i="106" s="1"/>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H12" i="118" l="1"/>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<sst xmlns="http://schemas.openxmlformats.org/spreadsheetml/2006/main" count="5036" uniqueCount="2105">
  <si>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</si>
  <si>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</si>
  <si>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</si>
  <si>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</si>
  <si>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</si>
  <si>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</si>
  <si>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</si>
  <si>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</si>
  <si>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</si>
  <si>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</si>
  <si>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</si>
  <si>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</si>
  <si>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</si>
  <si>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</si>
  <si>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</si>
  <si>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</si>
  <si>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</si>
  <si>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</si>
  <si>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</si>
  <si>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</si>
  <si>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</si>
  <si>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</si>
  <si>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</si>
  <si>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</si>
  <si>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</si>
  <si>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</si>
  <si>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</si>
  <si>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</si>
  <si>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</si>
  <si>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</si>
  <si>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</si>
  <si>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</si>
  <si>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</si>
  <si>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</si>
  <si>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</si>
  <si>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</si>
  <si>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</si>
  <si>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</si>
  <si>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</si>
  <si>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</si>
  <si>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</si>
  <si>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</si>
  <si>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</si>
  <si>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</si>
  <si>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</si>
  <si>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</si>
  <si>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</si>
  <si>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</si>
  <si>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</si>
  <si>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</si>
  <si>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</si>
  <si>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</si>
  <si>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</si>
  <si>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</si>
  <si>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</si>
  <si>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</si>
  <si>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</si>
  <si>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</si>
  <si>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</si>
  <si>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</si>
  <si>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</si>
  <si>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</si>
  <si>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</si>
  <si>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</si>
  <si>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</si>
  <si>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</si>
  <si>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</si>
  <si>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</si>
  <si>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</si>
  <si>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</si>
  <si>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</si>
  <si>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</si>
  <si>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</si>
  <si>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</si>
  <si>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</si>
  <si>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</si>
  <si>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</si>
  <si>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</si>
  <si>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</si>
  <si>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</si>
  <si>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</si>
  <si>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</si>
  <si>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</si>
  <si>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</si>
  <si>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</si>
  <si>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</si>
  <si>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</si>
  <si>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</si>
  <si>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</si>
  <si>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</si>
  <si>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</si>
  <si>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</si>
  <si>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</si>
  <si>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</si>
  <si>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</si>
  <si>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</si>
  <si>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</si>
  <si>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</si>
  <si>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</si>
  <si>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</si>
  <si>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</si>
  <si>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</si>
  <si>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</si>
  <si>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</si>
  <si>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</si>
  <si>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</si>
  <si>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</si>
  <si>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</si>
  <si>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</si>
  <si>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</si>
  <si>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</si>
  <si>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</si>
  <si>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</si>
  <si>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</si>
  <si>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</si>
  <si>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</si>
  <si>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</si>
  <si>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</si>
  <si>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</si>
  <si>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</si>
  <si>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</si>
  <si>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</si>
  <si>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</si>
  <si>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</si>
  <si>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</si>
  <si>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</si>
  <si>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</si>
  <si>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</si>
  <si>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</si>
  <si>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</si>
  <si>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</si>
  <si>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</si>
  <si>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</si>
  <si>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</si>
  <si>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</si>
  <si>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</si>
  <si>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</si>
  <si>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</si>
  <si>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</si>
  <si>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</si>
  <si>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</si>
  <si>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</si>
  <si>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</si>
  <si>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</si>
  <si>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</si>
  <si>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</si>
  <si>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</si>
  <si>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</si>
  <si>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</si>
  <si>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</si>
  <si>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</si>
  <si>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</si>
  <si>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</si>
  <si>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</si>
  <si>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</si>
  <si>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</si>
  <si>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</si>
  <si>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</si>
  <si>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</si>
  <si>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</si>
  <si>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</si>
  <si>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</si>
  <si>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</si>
  <si>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</si>
  <si>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</si>
  <si>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</si>
  <si>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</si>
  <si>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</si>
  <si>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</si>
  <si>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</si>
  <si>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</si>
  <si>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</si>
  <si>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</si>
  <si>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</si>
  <si>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</si>
  <si>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</si>
  <si>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</si>
  <si>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</si>
  <si>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</si>
  <si>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</si>
  <si>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</si>
  <si>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</si>
  <si>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</si>
  <si>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</si>
  <si>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</si>
  <si>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</si>
  <si>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</si>
  <si>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</si>
  <si>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</si>
  <si>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</si>
  <si>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</si>
  <si>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</si>
  <si>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</si>
  <si>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</si>
  <si>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</si>
  <si>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</si>
  <si>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</si>
  <si>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</si>
  <si>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</si>
  <si>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</si>
  <si>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</si>
  <si>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</si>
  <si>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</si>
  <si>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</si>
  <si>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</si>
  <si>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</si>
  <si>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</si>
  <si>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</si>
  <si>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</si>
  <si>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</si>
  <si>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</si>
  <si>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</si>
  <si>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</si>
  <si>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</si>
  <si>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</si>
  <si>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</si>
  <si>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</si>
  <si>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</si>
  <si>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</si>
  <si>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</si>
  <si>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</si>
  <si>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</si>
  <si>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</si>
  <si>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</si>
  <si>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</si>
  <si>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</si>
  <si>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</si>
  <si>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</si>
  <si>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</si>
  <si>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</si>
  <si>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</si>
  <si>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</si>
  <si>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</si>
  <si>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</si>
  <si>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</si>
  <si>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</si>
  <si>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</si>
  <si>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</si>
  <si>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</si>
  <si>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</si>
  <si>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</si>
  <si>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</si>
  <si>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</si>
  <si>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</si>
  <si>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</si>
  <si>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</si>
  <si>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</si>
  <si>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</si>
  <si>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</si>
  <si>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</si>
  <si>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</si>
  <si>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</si>
  <si>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</si>
  <si>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</si>
  <si>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</si>
  <si>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</si>
  <si>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</si>
  <si>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</si>
  <si>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</si>
  <si>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</si>
  <si>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</si>
  <si>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</si>
  <si>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</si>
  <si>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</si>
  <si>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</si>
  <si>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</si>
  <si>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</si>
  <si>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</si>
  <si>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</si>
  <si>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</si>
  <si>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</si>
  <si>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</si>
  <si>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</si>
  <si>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</si>
  <si>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</si>
  <si>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</si>
  <si>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</si>
  <si>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</si>
  <si>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</si>
  <si>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</si>
  <si>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</si>
  <si>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</si>
  <si>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</si>
  <si>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</si>
  <si>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</si>
  <si>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</si>
  <si>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</si>
  <si>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</si>
  <si>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</si>
  <si>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</si>
  <si>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</si>
  <si>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</si>
  <si>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</si>
  <si>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</si>
  <si>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</si>
  <si>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</si>
  <si>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</si>
  <si>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</si>
  <si>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</si>
  <si>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</si>
  <si>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</si>
  <si>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</si>
  <si>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</si>
  <si>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</si>
  <si>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</si>
  <si>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</si>
  <si>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</si>
  <si>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</si>
  <si>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</si>
  <si>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</si>
  <si>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</si>
  <si>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</si>
  <si>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</si>
  <si>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</si>
  <si>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</si>
  <si>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</si>
  <si>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</si>
  <si>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</si>
  <si>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</si>
  <si>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</si>
  <si>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</si>
  <si>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</si>
  <si>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</si>
  <si>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</si>
  <si>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</si>
  <si>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</si>
  <si>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</si>
  <si>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</si>
  <si>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</si>
  <si>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</si>
  <si>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</si>
  <si>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</si>
  <si>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</si>
  <si>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</si>
  <si>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</si>
  <si>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</si>
  <si>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</si>
  <si>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</si>
  <si>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</si>
  <si>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</si>
  <si>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</si>
  <si>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</si>
  <si>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</si>
  <si>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</si>
  <si>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</si>
  <si>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</si>
  <si>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</si>
  <si>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</si>
  <si>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</si>
  <si>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</si>
  <si>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</si>
  <si>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</si>
  <si>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</si>
  <si>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</si>
  <si>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</si>
  <si>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</si>
  <si>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</si>
  <si>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</si>
  <si>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</si>
  <si>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</si>
  <si>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</si>
  <si>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</si>
  <si>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</si>
  <si>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</si>
  <si>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</si>
  <si>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</si>
  <si>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</si>
  <si>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</si>
  <si>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</si>
  <si>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</si>
  <si>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</si>
  <si>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</si>
  <si>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</si>
  <si>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</si>
  <si>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</si>
  <si>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</si>
  <si>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</si>
  <si>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</si>
  <si>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</si>
  <si>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</si>
  <si>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</si>
  <si>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</si>
  <si>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</si>
  <si>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</si>
  <si>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</si>
  <si>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</si>
  <si>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</si>
  <si>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</si>
  <si>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</si>
  <si>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</si>
  <si>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</si>
  <si>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</si>
  <si>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</si>
  <si>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</si>
  <si>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</si>
  <si>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</si>
  <si>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</si>
  <si>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</si>
  <si>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</si>
  <si>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</si>
  <si>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</si>
  <si>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</si>
  <si>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</si>
  <si>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</si>
  <si>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</si>
  <si>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</si>
  <si>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</si>
  <si>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</si>
  <si>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</si>
  <si>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</si>
  <si>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</si>
  <si>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</si>
  <si>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</si>
  <si>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</si>
  <si>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</si>
  <si>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</si>
  <si>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</si>
  <si>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</si>
  <si>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</si>
  <si>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</si>
  <si>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</si>
  <si>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</si>
  <si>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</si>
  <si>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</si>
  <si>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</si>
  <si>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</si>
  <si>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</si>
  <si>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</si>
  <si>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</si>
  <si>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</si>
  <si>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</si>
  <si>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</si>
  <si>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</si>
  <si>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</si>
  <si>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</si>
  <si>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</si>
  <si>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</si>
  <si>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</si>
  <si>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</si>
  <si>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</si>
  <si>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</si>
  <si>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</si>
  <si>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</si>
  <si>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</si>
  <si>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</si>
  <si>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</si>
  <si>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</si>
  <si>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</si>
  <si>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</si>
  <si>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</si>
  <si>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</si>
  <si>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</si>
  <si>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</si>
  <si>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</si>
  <si>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</si>
  <si>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</si>
  <si>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</si>
  <si>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</si>
  <si>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</si>
  <si>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</si>
  <si>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</si>
  <si>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</si>
  <si>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</si>
  <si>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</si>
  <si>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</si>
  <si>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</si>
  <si>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</si>
  <si>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</si>
  <si>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</si>
  <si>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</si>
  <si>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</si>
  <si>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</si>
  <si>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</si>
  <si>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</si>
  <si>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</si>
  <si>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</si>
  <si>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</si>
  <si>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</si>
  <si>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</si>
  <si>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</si>
  <si>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</si>
  <si>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</si>
  <si>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</si>
  <si>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</si>
  <si>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</si>
  <si>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</si>
  <si>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</si>
  <si>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</si>
  <si>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</si>
  <si>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</si>
  <si>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</si>
  <si>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</si>
  <si>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</si>
  <si>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</si>
  <si>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</si>
  <si>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</si>
  <si>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</si>
  <si>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</si>
  <si>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</si>
  <si>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</si>
  <si>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</si>
  <si>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</si>
  <si>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</si>
  <si>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</si>
  <si>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</si>
  <si>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</si>
  <si>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</si>
  <si>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</si>
  <si>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</si>
  <si>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</si>
  <si>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</si>
  <si>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</si>
  <si>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</si>
  <si>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</si>
  <si>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</si>
  <si>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</si>
  <si>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</si>
  <si>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</si>
  <si>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</si>
  <si>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</si>
  <si>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</si>
  <si>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</si>
  <si>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</si>
  <si>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</si>
  <si>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</si>
  <si>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</si>
  <si>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</si>
  <si>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</si>
  <si>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</si>
  <si>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</si>
  <si>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</si>
  <si>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</si>
  <si>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</si>
  <si>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</si>
  <si>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</si>
  <si>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</si>
  <si>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</si>
  <si>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</si>
  <si>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</si>
  <si>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</si>
  <si>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</si>
  <si>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</si>
  <si>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</si>
  <si>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</si>
  <si>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</si>
  <si>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</si>
  <si>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</si>
  <si>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</si>
  <si>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</si>
  <si>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</si>
  <si>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</si>
  <si>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</si>
  <si>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</si>
  <si>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</si>
  <si>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</si>
  <si>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</si>
  <si>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</si>
  <si>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</si>
  <si>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</si>
  <si>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</si>
  <si>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</si>
  <si>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</si>
  <si>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</si>
  <si>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</si>
  <si>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</si>
  <si>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</si>
  <si>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</si>
  <si>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</si>
  <si>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</si>
  <si>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</si>
  <si>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</si>
  <si>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</si>
  <si>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</si>
  <si>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</si>
  <si>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</si>
  <si>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</si>
  <si>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</si>
  <si>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</si>
  <si>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</si>
  <si>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</si>
  <si>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</si>
  <si>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</si>
  <si>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</si>
  <si>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</si>
  <si>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</si>
  <si>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</si>
  <si>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</si>
  <si>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</si>
  <si>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</si>
  <si>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</si>
  <si>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</si>
  <si>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</si>
  <si>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</si>
  <si>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</si>
  <si>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</si>
  <si>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</si>
  <si>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</si>
  <si>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</si>
  <si>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</si>
  <si>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</si>
  <si>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</si>
  <si>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</si>
  <si>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</si>
  <si>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</si>
  <si>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</si>
  <si>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</si>
  <si>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</si>
  <si>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</si>
  <si>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</si>
  <si>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</si>
  <si>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</si>
  <si>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</si>
  <si>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</si>
  <si>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</si>
  <si>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</si>
  <si>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</si>
  <si>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</si>
  <si>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</si>
  <si>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</si>
  <si>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</si>
  <si>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</si>
  <si>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</si>
  <si>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</si>
  <si>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</si>
  <si>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</si>
  <si>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</si>
  <si>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</si>
  <si>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</si>
  <si>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</si>
  <si>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</si>
  <si>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</si>
  <si>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</si>
  <si>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</si>
  <si>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</si>
  <si>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</si>
  <si>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</si>
  <si>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</si>
  <si>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</si>
  <si>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</si>
  <si>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</si>
  <si>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</si>
  <si>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</si>
  <si>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</si>
  <si>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</si>
  <si>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</si>
  <si>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</si>
  <si>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</si>
  <si>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</si>
  <si>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</si>
  <si>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</si>
  <si>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</si>
  <si>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</si>
  <si>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</si>
  <si>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</si>
  <si>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</si>
  <si>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</si>
  <si>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</si>
  <si>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</si>
  <si>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</si>
  <si>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</si>
  <si>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</si>
  <si>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</si>
  <si>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</si>
  <si>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</si>
  <si>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</si>
  <si>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</si>
  <si>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</si>
  <si>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</si>
  <si>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</si>
  <si>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</si>
  <si>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</si>
  <si>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</si>
  <si>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</si>
  <si>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</si>
  <si>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</si>
  <si>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</si>
  <si>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</si>
  <si>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</si>
  <si>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</si>
  <si>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</si>
  <si>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</si>
  <si>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</si>
  <si>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</si>
  <si>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</si>
  <si>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</si>
  <si>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</si>
  <si>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</si>
  <si>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</si>
  <si>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</si>
  <si>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</si>
  <si>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</si>
  <si>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</si>
  <si>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</si>
  <si>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</si>
  <si>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</si>
  <si>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</si>
  <si>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</si>
  <si>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</si>
  <si>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</si>
  <si>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</si>
  <si>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</si>
  <si>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</si>
  <si>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</si>
  <si>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</si>
  <si>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</si>
  <si>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</si>
  <si>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</si>
  <si>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</si>
  <si>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</si>
  <si>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</si>
  <si>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</si>
  <si>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</si>
  <si>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</si>
  <si>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</si>
  <si>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</si>
  <si>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</si>
  <si>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</si>
  <si>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</si>
  <si>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</si>
  <si>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</si>
  <si>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</si>
  <si>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</si>
  <si>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</si>
  <si>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</si>
  <si>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</si>
  <si>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</si>
  <si>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</si>
  <si>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</si>
  <si>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</si>
  <si>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</si>
  <si>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</si>
  <si>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</si>
  <si>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</si>
  <si>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</si>
  <si>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</si>
  <si>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</si>
  <si>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</si>
  <si>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</si>
  <si>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</si>
  <si>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</si>
  <si>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</si>
  <si>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</si>
  <si>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</si>
  <si>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</si>
  <si>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</si>
  <si>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</si>
  <si>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</si>
  <si>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</si>
  <si>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</si>
  <si>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</si>
  <si>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</si>
  <si>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</si>
  <si>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</si>
  <si>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</si>
  <si>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</si>
  <si>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</si>
  <si>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</si>
  <si>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</si>
  <si>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</si>
  <si>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</si>
  <si>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</si>
  <si>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</si>
  <si>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</si>
  <si>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</si>
  <si>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</si>
  <si>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</si>
  <si>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</si>
  <si>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</si>
  <si>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</si>
  <si>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</si>
  <si>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</si>
  <si>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</si>
  <si>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</si>
  <si>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</si>
  <si>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</si>
  <si>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</si>
  <si>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</si>
  <si>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</si>
  <si>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</si>
  <si>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</si>
  <si>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</si>
  <si>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</si>
  <si>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</si>
  <si>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</si>
  <si>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</si>
  <si>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</si>
  <si>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</si>
  <si>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</si>
  <si>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</si>
  <si>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</si>
  <si>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</si>
  <si>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</si>
  <si>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</si>
  <si>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</si>
  <si>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</si>
  <si>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</si>
  <si>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</si>
  <si>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</si>
  <si>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</si>
  <si>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</si>
  <si>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</si>
  <si>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</si>
  <si>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</si>
  <si>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</si>
  <si>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</si>
  <si>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</si>
  <si>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</si>
  <si>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</si>
  <si>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</si>
  <si>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</si>
  <si>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</si>
  <si>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</si>
  <si>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</si>
  <si>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</si>
  <si>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</si>
  <si>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</si>
  <si>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</si>
  <si>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</si>
  <si>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</si>
  <si>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</si>
  <si>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</si>
  <si>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</si>
  <si>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</si>
  <si>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</si>
  <si>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</si>
  <si>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</si>
  <si>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</si>
  <si>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</si>
  <si>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</si>
  <si>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</si>
  <si>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</si>
  <si>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</si>
  <si>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</si>
  <si>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</si>
  <si>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</si>
  <si>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</si>
  <si>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</si>
  <si>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</si>
  <si>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</si>
  <si>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</si>
  <si>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</si>
  <si>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</si>
  <si>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</si>
  <si>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</si>
  <si>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</si>
  <si>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</si>
  <si>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</si>
  <si>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</si>
  <si>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</si>
  <si>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</si>
  <si>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</si>
  <si>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</si>
  <si>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</si>
  <si>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</si>
  <si>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</si>
  <si>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</si>
  <si>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</si>
  <si>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</si>
  <si>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</si>
  <si>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</si>
  <si>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</si>
  <si>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</si>
  <si>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</si>
  <si>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</si>
  <si>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</si>
  <si>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</si>
  <si>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</si>
  <si>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</si>
  <si>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</si>
  <si>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</si>
  <si>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</si>
  <si>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</si>
  <si>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</si>
  <si>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</si>
  <si>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</si>
  <si>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</si>
  <si>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</si>
  <si>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</si>
  <si>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</si>
  <si>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</si>
  <si>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</si>
  <si>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</si>
  <si>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</si>
  <si>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</si>
  <si>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</si>
  <si>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</si>
  <si>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</si>
  <si>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</si>
  <si>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</si>
  <si>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</si>
  <si>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</si>
  <si>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</si>
  <si>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</si>
  <si>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</si>
  <si>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</si>
  <si>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</si>
  <si>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</si>
  <si>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</si>
  <si>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</si>
  <si>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</si>
  <si>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</si>
  <si>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</si>
  <si>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</si>
  <si>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</si>
  <si>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</si>
  <si>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</si>
  <si>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</si>
  <si>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</si>
  <si>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</si>
  <si>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</si>
  <si>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</si>
  <si>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</si>
  <si>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</si>
  <si>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</si>
  <si>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</si>
  <si>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</si>
  <si>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</si>
  <si>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</si>
  <si>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</si>
  <si>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</si>
  <si>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</si>
  <si>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</si>
  <si>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</si>
  <si>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</si>
  <si>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</si>
  <si>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</si>
  <si>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</si>
  <si>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</si>
  <si>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</si>
  <si>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</si>
  <si>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</si>
  <si>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</si>
  <si>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</si>
  <si>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</si>
  <si>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</si>
  <si>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</si>
  <si>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</si>
  <si>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</si>
  <si>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</si>
  <si>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</si>
  <si>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</si>
  <si>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</si>
  <si>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</si>
  <si>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</si>
  <si>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</si>
  <si>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</si>
  <si>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</si>
  <si>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</si>
  <si>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</si>
  <si>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</si>
  <si>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</si>
  <si>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</si>
  <si>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</si>
  <si>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</si>
  <si>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</si>
  <si>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</si>
  <si>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</si>
  <si>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</si>
  <si>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</si>
  <si>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</si>
  <si>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</si>
  <si>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</si>
  <si>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</si>
  <si>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</si>
  <si>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</si>
  <si>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</si>
  <si>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</si>
  <si>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</si>
  <si>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</si>
  <si>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</si>
  <si>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</si>
  <si>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</si>
  <si>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</si>
  <si>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</si>
  <si>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</si>
  <si>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</si>
  <si>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</si>
  <si>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</si>
  <si>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</si>
  <si>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</si>
  <si>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</si>
  <si>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</si>
  <si>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</si>
  <si>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</si>
  <si>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</si>
  <si>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</si>
  <si>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</si>
  <si>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</si>
  <si>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</si>
  <si>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</si>
  <si>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</si>
  <si>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</si>
  <si>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</si>
  <si>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</si>
  <si>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</si>
  <si>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</si>
  <si>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</si>
  <si>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</si>
  <si>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</si>
  <si>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</si>
  <si>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</si>
  <si>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</si>
  <si>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</si>
  <si>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</si>
  <si>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</si>
  <si>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</si>
  <si>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</si>
  <si>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</si>
  <si>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</si>
  <si>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</si>
  <si>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</si>
  <si>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</si>
  <si>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</si>
  <si>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</si>
  <si>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</si>
  <si>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</si>
  <si>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</si>
  <si>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</si>
  <si>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</si>
  <si>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</si>
  <si>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</si>
  <si>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</si>
  <si>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</si>
  <si>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</si>
  <si>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</si>
  <si>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</si>
  <si>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</si>
  <si>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</si>
  <si>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</si>
  <si>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</si>
  <si>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</si>
  <si>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</si>
  <si>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</si>
  <si>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</si>
  <si>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</si>
  <si>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</si>
  <si>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</si>
  <si>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</si>
  <si>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</si>
  <si>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</si>
  <si>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</si>
  <si>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</si>
  <si>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</si>
  <si>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</si>
  <si>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</si>
  <si>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</si>
  <si>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</si>
  <si>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</si>
  <si>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</si>
  <si>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</si>
  <si>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</si>
  <si>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</si>
  <si>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</si>
  <si>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</si>
  <si>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</si>
  <si>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</si>
  <si>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</si>
  <si>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</si>
  <si>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</si>
  <si>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</si>
  <si>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</si>
  <si>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</si>
  <si>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</si>
  <si>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</si>
  <si>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</si>
  <si>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</si>
  <si>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</si>
  <si>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</si>
  <si>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</si>
  <si>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</si>
  <si>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</si>
  <si>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</si>
  <si>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</si>
  <si>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</si>
  <si>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</si>
  <si>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</si>
  <si>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</si>
  <si>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</si>
  <si>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</si>
  <si>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</si>
  <si>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</si>
  <si>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</si>
  <si>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</si>
  <si>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</si>
  <si>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</si>
  <si>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</si>
  <si>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</si>
  <si>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</si>
  <si>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</si>
  <si>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</si>
  <si>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</si>
  <si>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</si>
  <si>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</si>
  <si>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</si>
  <si>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</si>
  <si>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</si>
  <si>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</si>
  <si>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</si>
  <si>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</si>
  <si>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</si>
  <si>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</si>
  <si>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</si>
  <si>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</si>
  <si>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</si>
  <si>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</si>
  <si>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</si>
  <si>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</si>
  <si>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</si>
  <si>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</si>
  <si>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</si>
  <si>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</si>
  <si>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</si>
  <si>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</si>
  <si>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</si>
  <si>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</si>
  <si>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</si>
  <si>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</si>
  <si>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</si>
  <si>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</si>
  <si>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</si>
  <si>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</si>
  <si>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</si>
  <si>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</si>
  <si>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</si>
  <si>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</si>
  <si>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</si>
  <si>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</si>
  <si>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</si>
  <si>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</si>
  <si>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</si>
  <si>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</si>
  <si>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</si>
  <si>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</si>
  <si>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</si>
  <si>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</si>
  <si>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</si>
  <si>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</si>
  <si>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</si>
  <si>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</si>
  <si>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</si>
  <si>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</si>
  <si>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</si>
  <si>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</si>
  <si>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</si>
  <si>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</si>
  <si>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</si>
  <si>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</si>
  <si>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</si>
  <si>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</si>
  <si>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</si>
  <si>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</si>
  <si>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</si>
  <si>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</si>
  <si>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</si>
  <si>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</si>
  <si>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</si>
  <si>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</si>
  <si>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</si>
  <si>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</si>
  <si>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</si>
  <si>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</si>
  <si>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</si>
  <si>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</si>
  <si>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</si>
  <si>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</si>
  <si>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</si>
  <si>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</si>
  <si>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</si>
  <si>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</si>
  <si>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</si>
  <si>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</si>
  <si>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</si>
  <si>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</si>
  <si>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</si>
  <si>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</si>
  <si>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</si>
  <si>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</si>
  <si>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</si>
  <si>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</si>
  <si>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</si>
  <si>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</si>
  <si>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</si>
  <si>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</si>
  <si>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</si>
  <si>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</si>
  <si>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</si>
  <si>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</si>
  <si>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</si>
  <si>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</si>
  <si>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</si>
  <si>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</si>
  <si>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</si>
  <si>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</si>
  <si>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</si>
  <si>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</si>
  <si>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</si>
  <si>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</si>
  <si>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</si>
  <si>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</si>
  <si>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</si>
  <si>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</si>
  <si>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</si>
  <si>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</si>
  <si>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</si>
  <si>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</si>
  <si>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</si>
  <si>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</si>
  <si>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</si>
  <si>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</si>
  <si>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</si>
  <si>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</si>
  <si>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</si>
  <si>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</si>
  <si>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</si>
  <si>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</si>
  <si>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</si>
  <si>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</si>
  <si>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</si>
  <si>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</si>
  <si>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</si>
  <si>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</si>
  <si>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</si>
  <si>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</si>
  <si>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</si>
  <si>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</si>
  <si>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</si>
  <si>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</si>
  <si>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</si>
  <si>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</si>
  <si>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</si>
  <si>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</si>
  <si>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</si>
  <si>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</si>
  <si>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</si>
  <si>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</si>
  <si>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</si>
  <si>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</si>
  <si>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</si>
  <si>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</si>
  <si>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</si>
  <si>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</si>
  <si>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</si>
  <si>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</si>
  <si>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</si>
  <si>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</si>
  <si>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</si>
  <si>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</si>
  <si>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</si>
  <si>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</si>
  <si>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</si>
  <si>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</si>
  <si>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</si>
  <si>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</si>
  <si>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</si>
  <si>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</si>
  <si>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</si>
  <si>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</si>
  <si>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</si>
  <si>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</si>
  <si>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</si>
  <si>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</si>
  <si>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</si>
  <si>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</si>
  <si>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</si>
  <si>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</si>
  <si>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</si>
  <si>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</si>
  <si>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</si>
  <si>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</si>
  <si>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</si>
  <si>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</si>
  <si>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</si>
  <si>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</si>
  <si>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</si>
  <si>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</si>
  <si>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</si>
  <si>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</si>
  <si>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</si>
  <si>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</si>
  <si>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</si>
  <si>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</si>
  <si>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</si>
  <si>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</si>
  <si>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</si>
  <si>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</si>
  <si>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</si>
  <si>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</si>
  <si>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</si>
  <si>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</si>
  <si>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</si>
  <si>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</si>
  <si>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</si>
  <si>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</si>
  <si>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</si>
  <si>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</si>
  <si>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</si>
  <si>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</si>
  <si>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</si>
  <si>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</si>
  <si>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</si>
  <si>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</si>
  <si>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</si>
  <si>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</si>
  <si>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</si>
  <si>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</si>
  <si>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</si>
  <si>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</si>
  <si>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</si>
  <si>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</si>
  <si>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</si>
  <si>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</si>
  <si>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</si>
  <si>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</si>
  <si>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</si>
  <si>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</si>
  <si>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</si>
  <si>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</si>
  <si>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</si>
  <si>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</si>
  <si>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</si>
  <si>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</si>
  <si>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</si>
  <si>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</si>
  <si>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</si>
  <si>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</si>
  <si>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</si>
  <si>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</si>
  <si>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</si>
  <si>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</si>
  <si>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</si>
  <si>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</si>
  <si>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</si>
  <si>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</si>
  <si>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</si>
  <si>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</si>
  <si>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</si>
  <si>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</si>
  <si>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</si>
  <si>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</si>
  <si>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</si>
  <si>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</si>
  <si>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</si>
  <si>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</si>
  <si>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</si>
  <si>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</si>
  <si>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</si>
  <si>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</si>
  <si>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</si>
  <si>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</si>
  <si>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</si>
  <si>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</si>
  <si>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</si>
  <si>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</si>
  <si>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</si>
  <si>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</si>
  <si>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</si>
  <si>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</si>
  <si>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</si>
  <si>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</si>
  <si>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</si>
  <si>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</si>
  <si>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</si>
  <si>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</si>
  <si>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</si>
  <si>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</si>
  <si>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</si>
  <si>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</si>
  <si>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</si>
  <si>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</si>
  <si>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</si>
  <si>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</si>
  <si>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</si>
  <si>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</si>
  <si>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</si>
  <si>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</si>
  <si>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</si>
  <si>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</si>
  <si>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</si>
  <si>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</si>
  <si>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</si>
  <si>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</si>
  <si>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</si>
  <si>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</si>
  <si>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</si>
  <si>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</si>
  <si>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</si>
  <si>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</si>
  <si>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</si>
  <si>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</si>
  <si>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</si>
  <si>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</si>
  <si>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</si>
  <si>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</si>
  <si>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</si>
  <si>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</si>
  <si>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</si>
  <si>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</si>
  <si>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</si>
  <si>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</si>
  <si>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</si>
  <si>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</si>
  <si>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</si>
  <si>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</si>
  <si>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</si>
  <si>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</si>
  <si>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</si>
  <si>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</si>
  <si>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</si>
  <si>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</si>
  <si>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</si>
  <si>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</si>
  <si>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</si>
  <si>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</si>
  <si>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</si>
  <si>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</si>
  <si>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</si>
  <si>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</si>
  <si>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</si>
  <si>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</si>
  <si>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</si>
  <si>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</si>
  <si>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</si>
  <si>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</si>
  <si>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</si>
  <si>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</si>
  <si>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</si>
  <si>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</si>
  <si>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</si>
  <si>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</si>
  <si>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</si>
  <si>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</si>
  <si>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</si>
  <si>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</si>
  <si>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</si>
  <si>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</si>
  <si>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</si>
  <si>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</si>
  <si>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</si>
  <si>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</si>
  <si>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</si>
  <si>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</si>
  <si>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</si>
  <si>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</si>
  <si>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</si>
  <si>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</si>
  <si>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</si>
  <si>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</si>
  <si>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</si>
  <si>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</si>
  <si>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</si>
  <si>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</si>
  <si>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</si>
  <si>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</si>
  <si>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</si>
  <si>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</si>
  <si>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</si>
  <si>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</si>
  <si>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</si>
  <si>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</si>
  <si>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</si>
  <si>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</si>
  <si>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</si>
  <si>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</si>
  <si>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</si>
  <si>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</si>
  <si>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</si>
  <si>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</si>
  <si>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</si>
  <si>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</si>
  <si>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</si>
  <si>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</si>
  <si>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</si>
  <si>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</si>
  <si>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</si>
  <si>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</si>
  <si>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</si>
  <si>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</si>
  <si>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</si>
  <si>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</si>
  <si>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</si>
  <si>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</si>
  <si>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</si>
  <si>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</si>
  <si>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</si>
  <si>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</si>
  <si>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</si>
  <si>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</si>
  <si>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</si>
  <si>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</si>
  <si>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</si>
  <si>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</si>
  <si>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</si>
  <si>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</si>
  <si>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</si>
  <si>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</si>
  <si>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</si>
  <si>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</si>
  <si>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</si>
  <si>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</si>
  <si>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</si>
  <si>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</si>
  <si>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</si>
  <si>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</si>
  <si>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</si>
  <si>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</si>
  <si>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</si>
  <si>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</si>
  <si>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</si>
  <si>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</si>
  <si>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</si>
  <si>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</si>
  <si>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</si>
  <si>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</si>
  <si>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</si>
  <si>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</si>
  <si>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</si>
  <si>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</si>
  <si>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</si>
  <si>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</si>
  <si>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</si>
  <si>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</si>
  <si>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</si>
  <si>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</si>
  <si>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</si>
  <si>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</si>
  <si>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</si>
  <si>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</si>
  <si>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</si>
  <si>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</si>
  <si>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</si>
  <si>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</si>
  <si>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</si>
  <si>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</si>
  <si>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</si>
  <si>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</si>
  <si>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</si>
  <si>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</si>
  <si>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</si>
  <si>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</si>
  <si>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</si>
  <si>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</si>
  <si>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</si>
  <si>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</si>
  <si>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</si>
  <si>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</si>
  <si>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</si>
  <si>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</si>
  <si>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</si>
  <si>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</si>
  <si>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</si>
  <si>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</si>
  <si>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</si>
  <si>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</si>
  <si>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</si>
  <si>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</si>
  <si>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</si>
  <si>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</si>
  <si>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</si>
  <si>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</si>
  <si>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</si>
  <si>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</si>
  <si>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</si>
  <si>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</si>
  <si>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</si>
  <si>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</si>
  <si>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</si>
  <si>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</si>
  <si>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</si>
  <si>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</si>
  <si>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</si>
  <si>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</si>
  <si>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</si>
  <si>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</si>
  <si>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</si>
  <si>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</si>
  <si>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</si>
  <si>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</si>
  <si>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</si>
  <si>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</si>
  <si>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</si>
  <si>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</si>
  <si>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</si>
  <si>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</si>
  <si>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</si>
  <si>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</si>
  <si>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</si>
  <si>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</si>
  <si>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</si>
  <si>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</si>
  <si>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</si>
  <si>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</si>
  <si>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</si>
  <si>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</si>
  <si>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</si>
  <si>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</si>
  <si>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</si>
  <si>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</si>
  <si>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</si>
  <si>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</si>
  <si>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</si>
  <si>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</si>
  <si>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</si>
  <si>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</si>
  <si>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</si>
  <si>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</si>
  <si>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</si>
  <si>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</si>
  <si>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</si>
  <si>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</si>
  <si>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</si>
  <si>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</si>
  <si>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</si>
  <si>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</si>
  <si>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</si>
  <si>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</si>
  <si>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</si>
  <si>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</si>
  <si>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</si>
  <si>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</si>
  <si>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</si>
  <si>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</si>
  <si>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</si>
  <si>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</si>
  <si>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</si>
  <si>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</si>
  <si>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</si>
  <si>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</si>
  <si>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</si>
  <si>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</si>
  <si>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</si>
  <si>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</si>
  <si>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</si>
  <si>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</si>
  <si>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</si>
  <si>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</si>
  <si>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</si>
  <si>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</si>
  <si>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</si>
  <si>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</si>
  <si>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</si>
  <si>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</si>
  <si>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</si>
  <si>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</si>
  <si>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</si>
  <si>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</si>
  <si>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</si>
  <si>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</si>
  <si>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</si>
  <si>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</si>
  <si>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</si>
  <si>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</si>
  <si>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</si>
  <si>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</si>
  <si>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</si>
  <si>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</si>
  <si>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</si>
  <si>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</si>
  <si>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</si>
  <si>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</si>
  <si>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</si>
  <si>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</si>
  <si>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</si>
  <si>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</si>
  <si>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</si>
  <si>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</si>
  <si>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</si>
  <si>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</si>
  <si>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</si>
  <si>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</si>
  <si>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</si>
  <si>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</si>
  <si>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</si>
  <si>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</si>
  <si>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</si>
  <si>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</si>
  <si>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</si>
  <si>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</si>
  <si>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</si>
  <si>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</si>
  <si>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</si>
  <si>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</si>
  <si>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</si>
  <si>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</si>
  <si>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</si>
  <si>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</si>
  <si>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</si>
  <si>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</si>
  <si>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</si>
  <si>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</si>
  <si>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</si>
  <si>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</si>
  <si>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</si>
  <si>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</si>
  <si>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</si>
  <si>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</si>
  <si>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</si>
  <si>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</si>
  <si>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</si>
  <si>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</si>
  <si>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</si>
  <si>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</si>
  <si>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</si>
  <si>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</si>
  <si>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</si>
  <si>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</si>
  <si>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</si>
  <si>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</si>
  <si>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</si>
  <si>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</si>
  <si>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</si>
  <si>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</si>
  <si>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</si>
  <si>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</si>
  <si>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</si>
  <si>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</si>
  <si>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</si>
  <si>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</si>
  <si>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</si>
  <si>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</si>
  <si>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</si>
  <si>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</si>
  <si>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</si>
  <si>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</si>
  <si>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</si>
  <si>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</si>
  <si>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</si>
  <si>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</si>
  <si>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</si>
  <si>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</si>
  <si>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</si>
  <si>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</si>
  <si>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</si>
  <si>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</si>
  <si>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</si>
  <si>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</si>
  <si>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</si>
  <si>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</si>
  <si>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</si>
  <si>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</si>
  <si>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</si>
  <si>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</si>
  <si>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</si>
  <si>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</si>
  <si>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</si>
  <si>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</si>
  <si>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</si>
  <si>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</si>
  <si>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</si>
  <si>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</si>
  <si>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</si>
  <si>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</si>
  <si>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</si>
  <si>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</si>
  <si>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</si>
  <si>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</si>
  <si>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</si>
  <si>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</si>
  <si>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</si>
  <si>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</si>
  <si>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</si>
  <si>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</si>
  <si>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</si>
  <si>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</si>
  <si>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</si>
  <si>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</si>
  <si>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</si>
  <si>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</si>
  <si>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</si>
  <si>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</si>
  <si>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</si>
  <si>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</si>
  <si>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</si>
  <si>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</si>
  <si>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</si>
  <si>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</si>
  <si>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</si>
  <si>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</si>
  <si>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</si>
  <si>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</si>
  <si>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</si>
  <si>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</si>
  <si>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</si>
  <si>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</si>
  <si>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</si>
  <si>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</si>
  <si>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</si>
  <si>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</si>
  <si>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</si>
  <si>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</si>
  <si>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</si>
  <si>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</si>
  <si>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</si>
  <si>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</si>
  <si>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</si>
  <si>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</si>
  <si>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</si>
  <si>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</si>
  <si>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</si>
  <si>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</si>
  <si>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</si>
  <si>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</si>
  <si>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</si>
  <si>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</si>
  <si>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</si>
  <si>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</si>
  <si>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</si>
  <si>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</si>
  <si>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</si>
  <si>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</si>
  <si>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</si>
  <si>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</si>
  <si>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</si>
  <si>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</si>
  <si>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</si>
  <si>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</si>
  <si>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</si>
  <si>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</si>
  <si>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</si>
  <si>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</si>
  <si>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</si>
  <si>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</si>
  <si>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</si>
  <si>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</si>
  <si>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</si>
  <si>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</si>
  <si>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</si>
  <si>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</si>
  <si>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</si>
  <si>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</si>
  <si>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</si>
  <si>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</si>
  <si>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</si>
  <si>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</si>
  <si>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</si>
  <si>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</si>
  <si>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</si>
  <si>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</si>
  <si>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</si>
  <si>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</si>
  <si>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</si>
  <si>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</si>
  <si>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</si>
  <si>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</si>
  <si>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</si>
  <si>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</si>
  <si>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</si>
  <si>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</si>
  <si>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</si>
  <si>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</si>
  <si>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</si>
  <si>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</si>
  <si>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</si>
  <si>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</si>
  <si>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</si>
  <si>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</si>
  <si>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</si>
  <si>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</si>
  <si>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</si>
  <si>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</si>
  <si>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</si>
  <si>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</si>
  <si>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</si>
  <si>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</si>
  <si>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</si>
  <si>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</si>
  <si>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</si>
  <si>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</si>
  <si>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</si>
  <si>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</si>
  <si>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</si>
  <si>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</si>
  <si>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</si>
  <si>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</si>
  <si>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</si>
  <si>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</si>
  <si>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</si>
  <si>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</si>
  <si>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</si>
  <si>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</si>
  <si>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</si>
  <si>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</si>
  <si>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</si>
  <si>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</si>
  <si>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</si>
  <si>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</si>
  <si>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</si>
  <si>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</si>
  <si>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</si>
  <si>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</si>
  <si>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</si>
  <si>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</si>
  <si>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</si>
  <si>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</si>
  <si>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</si>
  <si>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</si>
  <si>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</si>
  <si>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</si>
  <si>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</si>
  <si>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</si>
  <si>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</si>
  <si>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</si>
  <si>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</si>
  <si>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</si>
  <si>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</si>
  <si>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</si>
  <si>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</si>
  <si>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</si>
  <si>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</si>
  <si>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</si>
  <si>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</si>
  <si>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</si>
  <si>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</si>
  <si>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</si>
  <si>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</si>
  <si>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</si>
  <si>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</si>
  <si>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</si>
  <si>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</si>
  <si>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</si>
  <si>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</si>
  <si>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</si>
  <si>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</si>
  <si>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</si>
  <si>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</si>
  <si>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</si>
  <si>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</si>
  <si>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</si>
  <si>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</si>
  <si>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</si>
  <si>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</si>
  <si>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</si>
  <si>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</si>
  <si>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</si>
  <si>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</si>
  <si>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</si>
  <si>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</si>
  <si>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</si>
  <si>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</si>
  <si>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</si>
  <si>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</si>
  <si>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</si>
  <si>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</si>
  <si>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</si>
  <si>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</si>
  <si>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</si>
  <si>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</si>
  <si>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</si>
  <si>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</si>
  <si>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</si>
  <si>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</si>
  <si>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</si>
  <si>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</si>
  <si>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</si>
  <si>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</si>
  <si>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</si>
  <si>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</si>
  <si>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</si>
  <si>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</si>
  <si>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</si>
  <si>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</si>
  <si>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</si>
  <si>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</si>
  <si>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</si>
  <si>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</si>
  <si>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</si>
  <si>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</si>
  <si>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</si>
  <si>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</si>
  <si>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</si>
  <si>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</si>
  <si>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</si>
  <si>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</si>
  <si>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</si>
  <si>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</si>
  <si>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</si>
  <si>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</si>
  <si>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</si>
  <si>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</si>
  <si>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</si>
  <si>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</si>
  <si>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</si>
  <si>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</si>
  <si>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</si>
  <si>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</si>
  <si>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</si>
  <si>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</si>
  <si>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</si>
  <si>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</si>
  <si>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</si>
  <si>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</si>
  <si>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</si>
  <si>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</si>
  <si>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</si>
  <si>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</si>
  <si>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</si>
  <si>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</si>
  <si>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</si>
  <si>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</si>
  <si>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</si>
  <si>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</si>
  <si>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</si>
  <si>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</si>
  <si>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</si>
  <si>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</si>
  <si>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</si>
  <si>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</si>
  <si>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</si>
  <si>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</si>
  <si>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</si>
  <si>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</si>
  <si>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</si>
  <si>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</si>
  <si>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</si>
  <si>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</si>
  <si>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</si>
  <si>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</si>
  <si>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</si>
  <si>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</si>
  <si>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</si>
  <si>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</si>
  <si>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</si>
  <si>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</si>
  <si>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</si>
  <si>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</si>
  <si>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</si>
  <si>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</si>
  <si>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</si>
  <si>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</si>
  <si>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</si>
  <si>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</si>
  <si>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</si>
  <si>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</si>
  <si>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</si>
  <si>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</si>
  <si>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</si>
  <si>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</si>
  <si>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</si>
  <si>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</si>
  <si>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</si>
  <si>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</si>
  <si>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</si>
  <si>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</si>
  <si>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</si>
  <si>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</si>
  <si>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</si>
  <si>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</si>
  <si>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</si>
  <si>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</si>
  <si>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</si>
  <si>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</si>
  <si>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</si>
  <si>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</si>
  <si>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</si>
  <si>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</si>
  <si>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</si>
  <si>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</si>
  <si>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</si>
  <si>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</si>
  <si>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</si>
  <si>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</si>
  <si>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</si>
  <si>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</si>
  <si>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</si>
  <si>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</si>
  <si>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</si>
  <si>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</si>
  <si>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</si>
  <si>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</si>
  <si>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</si>
  <si>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</si>
  <si>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</si>
  <si>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</si>
  <si>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</si>
  <si>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</si>
  <si>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</si>
  <si>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</si>
  <si>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 xml:space="preserve">   ISBE Form SD50-35/JA50-60 (05/18-version2)</t>
  </si>
  <si>
    <t>X</t>
  </si>
  <si>
    <t>Morgan</t>
  </si>
  <si>
    <t>201 North Miller</t>
  </si>
  <si>
    <t>Waverly</t>
  </si>
  <si>
    <t>dday@waverlyscotties.com</t>
  </si>
  <si>
    <t>Hughes, Cameron &amp; Company, LLC</t>
  </si>
  <si>
    <t>Robert Cameron</t>
  </si>
  <si>
    <t>386 S. Koke Mill Road</t>
  </si>
  <si>
    <t>Springfield</t>
  </si>
  <si>
    <t>IL</t>
  </si>
  <si>
    <t>(217) 787-8822</t>
  </si>
  <si>
    <t>(217) 787-8823</t>
  </si>
  <si>
    <t>rob@springfieldcpa.net</t>
  </si>
  <si>
    <t>066-004750</t>
  </si>
  <si>
    <t>Series 2015</t>
  </si>
  <si>
    <t>Franklin C.U.S.D. #1</t>
  </si>
  <si>
    <t>Four Rivers Special Education District</t>
  </si>
  <si>
    <t>Capital Area Career Center</t>
  </si>
  <si>
    <t>Franklin C.U.S.D. #1, New Berlin C.U.S.D. #16</t>
  </si>
  <si>
    <t>ED-Board of Ed Services -Purchased Services</t>
  </si>
  <si>
    <t>Adam Ehrman</t>
  </si>
  <si>
    <t xml:space="preserve">The Auditor's Report was modified due to the presentation of the financial statements on a regulatory basis and due to lack of presentation of pension liability and  other post employment benefits. </t>
  </si>
  <si>
    <t>GO Bond</t>
  </si>
  <si>
    <t>Account 1790 - Other Education Revenue consists of sales of physical education uniforms and athletic fees</t>
  </si>
  <si>
    <t>Account 1999 - Other Local Revenues consists of other general revenues from local sources</t>
  </si>
  <si>
    <t>Account  3999 - Other Resticted Revenues from State Sources was revenues from a library grant</t>
  </si>
  <si>
    <t>Waverly CUSD 6</t>
  </si>
  <si>
    <t>10-2300-300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</si>
</sst>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1047750</xdr:colOff>
          <xdr:row>0</xdr:row>
          <xdr:rowOff>161925</xdr:rowOff>
        </xdr:from>
        <xdr:to>
          <xdr:col>1</xdr:col>
          <xdr:colOff>1962150</xdr:colOff>
          <xdr:row>5</xdr:row>
          <xdr:rowOff>38100</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2076450</xdr:colOff>
          <xdr:row>1</xdr:row>
          <xdr:rowOff>9525</xdr:rowOff>
        </xdr:from>
        <xdr:to>
          <xdr:col>1</xdr:col>
          <xdr:colOff>2990850</xdr:colOff>
          <xdr:row>5</xdr:row>
          <xdr:rowOff>47625</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2077</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2077</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1069006026</v>
      </c>
      <c r="B13" s="2005"/>
      <c r="C13" s="2005"/>
      <c r="D13" s="2005"/>
      <c r="E13" s="2005"/>
      <c r="F13" s="2005"/>
      <c r="G13" s="2005"/>
      <c r="H13" s="2006"/>
      <c r="I13" s="31"/>
      <c r="J13" s="30"/>
      <c r="K13" s="28"/>
      <c r="L13" s="30"/>
      <c r="M13" s="30"/>
      <c r="N13" s="30"/>
      <c r="O13" s="30"/>
      <c r="P13" s="30"/>
      <c r="Q13" s="30"/>
      <c r="R13" s="30"/>
      <c r="S13" s="30"/>
      <c r="T13" s="2009" t="s">
        <v>2082</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2078</v>
      </c>
      <c r="B15" s="2007"/>
      <c r="C15" s="2007"/>
      <c r="D15" s="2007"/>
      <c r="E15" s="2007"/>
      <c r="F15" s="2007"/>
      <c r="G15" s="2007"/>
      <c r="H15" s="2008"/>
      <c r="T15" s="1970" t="s">
        <v>2083</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2103</v>
      </c>
      <c r="B17" s="2032"/>
      <c r="C17" s="2032"/>
      <c r="D17" s="2032"/>
      <c r="E17" s="2032"/>
      <c r="F17" s="2032"/>
      <c r="G17" s="2032"/>
      <c r="H17" s="2033"/>
      <c r="T17" s="2019" t="s">
        <v>2084</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2079</v>
      </c>
      <c r="B19" s="2003"/>
      <c r="C19" s="2003"/>
      <c r="D19" s="2003"/>
      <c r="E19" s="2003"/>
      <c r="F19" s="2003"/>
      <c r="G19" s="2003"/>
      <c r="H19" s="2001"/>
      <c r="I19" s="30"/>
      <c r="J19" s="99"/>
      <c r="K19" s="40"/>
      <c r="L19" s="38"/>
      <c r="M19" s="112" t="s">
        <v>333</v>
      </c>
      <c r="P19" s="27"/>
      <c r="Q19" s="27"/>
      <c r="R19" s="27"/>
      <c r="S19" s="31"/>
      <c r="T19" s="2002" t="s">
        <v>2085</v>
      </c>
      <c r="U19" s="2000"/>
      <c r="V19" s="2000"/>
      <c r="W19" s="2001"/>
      <c r="X19" s="2017" t="s">
        <v>2086</v>
      </c>
      <c r="Y19" s="2018"/>
      <c r="Z19" s="2015">
        <v>62711</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2080</v>
      </c>
      <c r="B21" s="2000"/>
      <c r="C21" s="2000"/>
      <c r="D21" s="2000"/>
      <c r="E21" s="2000"/>
      <c r="F21" s="2000"/>
      <c r="G21" s="2000"/>
      <c r="H21" s="2001"/>
      <c r="I21" s="2025" t="s">
        <v>699</v>
      </c>
      <c r="J21" s="1988"/>
      <c r="K21" s="1988"/>
      <c r="L21" s="1988"/>
      <c r="M21" s="1988"/>
      <c r="N21" s="1988"/>
      <c r="O21" s="1988"/>
      <c r="P21" s="1988"/>
      <c r="Q21" s="1988"/>
      <c r="R21" s="1988"/>
      <c r="S21" s="1989"/>
      <c r="T21" s="1967" t="s">
        <v>2087</v>
      </c>
      <c r="U21" s="1968"/>
      <c r="V21" s="1968"/>
      <c r="W21" s="1968"/>
      <c r="X21" s="1981" t="s">
        <v>2088</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t="s">
        <v>2081</v>
      </c>
      <c r="B23" s="2023"/>
      <c r="C23" s="2023"/>
      <c r="D23" s="2023"/>
      <c r="E23" s="2023"/>
      <c r="F23" s="2023"/>
      <c r="G23" s="2023"/>
      <c r="H23" s="2024"/>
      <c r="T23" s="1962" t="s">
        <v>2090</v>
      </c>
      <c r="U23" s="1963"/>
      <c r="V23" s="1963"/>
      <c r="W23" s="1963"/>
      <c r="X23" s="1978">
        <v>43434</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62692</v>
      </c>
      <c r="B25" s="2000"/>
      <c r="C25" s="2000"/>
      <c r="D25" s="2000"/>
      <c r="E25" s="2000"/>
      <c r="F25" s="2000"/>
      <c r="G25" s="2000"/>
      <c r="H25" s="2001"/>
      <c r="I25" s="113"/>
      <c r="J25" s="2066"/>
      <c r="K25" s="2066"/>
      <c r="L25" s="2066"/>
      <c r="M25" s="2066"/>
      <c r="N25" s="2066"/>
      <c r="O25" s="2066"/>
      <c r="P25" s="2066"/>
      <c r="Q25" s="2066"/>
      <c r="R25" s="2066"/>
      <c r="S25" s="2067"/>
      <c r="T25" s="1959" t="s">
        <v>2089</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c r="B42" s="2049"/>
      <c r="C42" s="2050"/>
      <c r="D42" s="2063"/>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2076</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ZS4D1D9hhDQ9lNodN0tB4uUecM57Uj4Rlg9NX1VbuKbji0gc3go0+49sqxJbWrb6v+uulu2DzZrlU6mrezz89g==" saltValue="g6elH7grUsNg9fsz5JkB1g=="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3" sqref="E13"/>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1904</v>
      </c>
      <c r="B2" s="1550" t="s">
        <v>2034</v>
      </c>
      <c r="C2" s="715" t="s">
        <v>1909</v>
      </c>
      <c r="D2" s="715" t="s">
        <v>1910</v>
      </c>
      <c r="E2" s="715" t="s">
        <v>1911</v>
      </c>
      <c r="F2" s="715" t="s">
        <v>1912</v>
      </c>
    </row>
    <row r="3" spans="1:6" ht="12" customHeight="1" x14ac:dyDescent="0.2">
      <c r="A3" s="2202"/>
      <c r="B3" s="1547"/>
      <c r="C3" s="1548"/>
      <c r="D3" s="1549" t="s">
        <v>274</v>
      </c>
      <c r="E3" s="1548"/>
      <c r="F3" s="1549" t="s">
        <v>275</v>
      </c>
    </row>
    <row r="4" spans="1:6" ht="13.7" customHeight="1" x14ac:dyDescent="0.2">
      <c r="A4" s="716" t="s">
        <v>1217</v>
      </c>
      <c r="B4" s="1771">
        <f>'Revenues 9-14'!C5</f>
        <v>2099878</v>
      </c>
      <c r="C4" s="1546">
        <v>814822</v>
      </c>
      <c r="D4" s="1774">
        <f>B4-C4</f>
        <v>1285056</v>
      </c>
      <c r="E4" s="1546">
        <v>1745571</v>
      </c>
      <c r="F4" s="1774">
        <f>E4-C4</f>
        <v>930749</v>
      </c>
    </row>
    <row r="5" spans="1:6" ht="13.7" customHeight="1" x14ac:dyDescent="0.2">
      <c r="A5" s="716" t="s">
        <v>925</v>
      </c>
      <c r="B5" s="1772">
        <f>'Revenues 9-14'!D5</f>
        <v>372733</v>
      </c>
      <c r="C5" s="585">
        <v>144641</v>
      </c>
      <c r="D5" s="1775">
        <f t="shared" ref="D5:D18" si="0">B5-C5</f>
        <v>228092</v>
      </c>
      <c r="E5" s="585">
        <v>309906</v>
      </c>
      <c r="F5" s="1775">
        <f>E5-C5</f>
        <v>165265</v>
      </c>
    </row>
    <row r="6" spans="1:6" ht="13.7" customHeight="1" x14ac:dyDescent="0.2">
      <c r="A6" s="716" t="s">
        <v>431</v>
      </c>
      <c r="B6" s="1772">
        <f>'Revenues 9-14'!E5</f>
        <v>360727</v>
      </c>
      <c r="C6" s="585">
        <v>140441</v>
      </c>
      <c r="D6" s="1775">
        <f t="shared" si="0"/>
        <v>220286</v>
      </c>
      <c r="E6" s="585">
        <v>300891</v>
      </c>
      <c r="F6" s="1775">
        <f t="shared" ref="F6:F18" si="1">E6-C6</f>
        <v>160450</v>
      </c>
    </row>
    <row r="7" spans="1:6" ht="13.7" customHeight="1" x14ac:dyDescent="0.2">
      <c r="A7" s="716" t="s">
        <v>157</v>
      </c>
      <c r="B7" s="1772">
        <f>'Revenues 9-14'!F5</f>
        <v>205421</v>
      </c>
      <c r="C7" s="585">
        <v>79715</v>
      </c>
      <c r="D7" s="1775">
        <f t="shared" si="0"/>
        <v>125706</v>
      </c>
      <c r="E7" s="585">
        <v>170793</v>
      </c>
      <c r="F7" s="1775">
        <f t="shared" si="1"/>
        <v>91078</v>
      </c>
    </row>
    <row r="8" spans="1:6" ht="13.7" customHeight="1" x14ac:dyDescent="0.2">
      <c r="A8" s="716" t="s">
        <v>1241</v>
      </c>
      <c r="B8" s="1772">
        <f>'Revenues 9-14'!G5</f>
        <v>72663</v>
      </c>
      <c r="C8" s="585">
        <v>44460</v>
      </c>
      <c r="D8" s="1775">
        <f t="shared" si="0"/>
        <v>28203</v>
      </c>
      <c r="E8" s="585">
        <v>60463</v>
      </c>
      <c r="F8" s="1775">
        <f t="shared" si="1"/>
        <v>16003</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26295</v>
      </c>
      <c r="C10" s="585">
        <v>10203</v>
      </c>
      <c r="D10" s="1775">
        <f t="shared" si="0"/>
        <v>16092</v>
      </c>
      <c r="E10" s="585">
        <v>21876</v>
      </c>
      <c r="F10" s="1775">
        <f t="shared" si="1"/>
        <v>11673</v>
      </c>
    </row>
    <row r="11" spans="1:6" x14ac:dyDescent="0.2">
      <c r="A11" s="716" t="s">
        <v>429</v>
      </c>
      <c r="B11" s="1772">
        <f>'Revenues 9-14'!J5</f>
        <v>53824</v>
      </c>
      <c r="C11" s="585">
        <v>20893</v>
      </c>
      <c r="D11" s="1775">
        <f t="shared" si="0"/>
        <v>32931</v>
      </c>
      <c r="E11" s="585">
        <v>44807</v>
      </c>
      <c r="F11" s="1775">
        <f t="shared" si="1"/>
        <v>23914</v>
      </c>
    </row>
    <row r="12" spans="1:6" ht="13.7" customHeight="1" x14ac:dyDescent="0.2">
      <c r="A12" s="716" t="s">
        <v>159</v>
      </c>
      <c r="B12" s="1772">
        <f>'Revenues 9-14'!K5</f>
        <v>29053</v>
      </c>
      <c r="C12" s="585">
        <v>11276</v>
      </c>
      <c r="D12" s="1775">
        <f t="shared" si="0"/>
        <v>17777</v>
      </c>
      <c r="E12" s="585">
        <v>24196</v>
      </c>
      <c r="F12" s="1775">
        <f t="shared" si="1"/>
        <v>12920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21109</v>
      </c>
      <c r="C14" s="585">
        <v>8190</v>
      </c>
      <c r="D14" s="1775">
        <f t="shared" si="0"/>
        <v>12919</v>
      </c>
      <c r="E14" s="585">
        <v>17554</v>
      </c>
      <c r="F14" s="1775">
        <f t="shared" si="1"/>
        <v>9364</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72663</v>
      </c>
      <c r="C16" s="585">
        <v>44460</v>
      </c>
      <c r="D16" s="1775">
        <f t="shared" si="0"/>
        <v>28203</v>
      </c>
      <c r="E16" s="585">
        <v>60463</v>
      </c>
      <c r="F16" s="1775">
        <f t="shared" si="1"/>
        <v>16003</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3314366</v>
      </c>
      <c r="C19" s="1773">
        <f>SUM(C4:C18)</f>
        <v>1319101</v>
      </c>
      <c r="D19" s="1773">
        <f>SUM(D4:D18)</f>
        <v>1995265</v>
      </c>
      <c r="E19" s="1773">
        <f>SUM(E4:E18)</f>
        <v>2756520</v>
      </c>
      <c r="F19" s="1773">
        <f>SUM(F4:F18)</f>
        <v>1437419</v>
      </c>
    </row>
    <row r="20" spans="1:6" ht="13.5" thickTop="1" x14ac:dyDescent="0.2">
      <c r="B20" s="714"/>
      <c r="F20" s="717"/>
    </row>
    <row r="21" spans="1:6" x14ac:dyDescent="0.2">
      <c r="A21" s="718" t="s">
        <v>1914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B39" sqref="B3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1904</v>
      </c>
      <c r="B2" s="2217"/>
      <c r="C2" s="1909" t="s">
        <v>2035</v>
      </c>
      <c r="D2" s="724" t="s">
        <v>2042</v>
      </c>
      <c r="E2" s="724" t="s">
        <v>2043</v>
      </c>
      <c r="F2" s="1909" t="s">
        <v>2036</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1771</v>
      </c>
      <c r="E30" s="1910" t="s">
        <v>2037</v>
      </c>
      <c r="F30" s="1910" t="s">
        <v>2038</v>
      </c>
      <c r="G30" s="1910" t="s">
        <v>2041</v>
      </c>
      <c r="H30" s="1910" t="s">
        <v>2039</v>
      </c>
      <c r="I30" s="1910" t="s">
        <v>2040</v>
      </c>
      <c r="J30" s="1911" t="s">
        <v>2</v>
      </c>
      <c r="K30" s="732"/>
    </row>
    <row r="31" spans="1:11" ht="12" customHeight="1" x14ac:dyDescent="0.2">
      <c r="A31" s="733" t="s">
        <v>2091</v>
      </c>
      <c r="B31" s="734">
        <v>42033</v>
      </c>
      <c r="C31" s="735">
        <v>3500000</v>
      </c>
      <c r="D31" s="736" t="s">
        <v>2099</v>
      </c>
      <c r="E31" s="735">
        <v>3335000</v>
      </c>
      <c r="F31" s="735"/>
      <c r="G31" s="735"/>
      <c r="H31" s="735">
        <v>170000</v>
      </c>
      <c r="I31" s="1778">
        <f>((E31+F31)-H31)+G31</f>
        <v>3165000</v>
      </c>
      <c r="J31" s="735">
        <v>2974940</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3500000</v>
      </c>
      <c r="D49" s="746"/>
      <c r="E49" s="1778">
        <f t="shared" ref="E49:J49" si="2">SUM(E31:E48)</f>
        <v>3335000</v>
      </c>
      <c r="F49" s="1778">
        <f t="shared" si="2"/>
        <v>0</v>
      </c>
      <c r="G49" s="1778">
        <f t="shared" si="2"/>
        <v>0</v>
      </c>
      <c r="H49" s="1778">
        <f t="shared" si="2"/>
        <v>170000</v>
      </c>
      <c r="I49" s="1778">
        <f t="shared" si="2"/>
        <v>3165000</v>
      </c>
      <c r="J49" s="1778">
        <f t="shared" si="2"/>
        <v>2974940</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22" colorId="8" zoomScale="110" zoomScaleNormal="110" workbookViewId="0">
      <selection activeCell="K10" sqref="K1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1775</v>
      </c>
      <c r="B2" s="2236"/>
      <c r="C2" s="2236"/>
      <c r="D2" s="2236"/>
      <c r="E2" s="2237"/>
      <c r="F2" s="762" t="s">
        <v>960</v>
      </c>
      <c r="G2" s="763" t="s">
        <v>1772</v>
      </c>
      <c r="H2" s="763" t="s">
        <v>430</v>
      </c>
      <c r="I2" s="763" t="s">
        <v>1220</v>
      </c>
      <c r="J2" s="763" t="s">
        <v>1918</v>
      </c>
      <c r="K2" s="763" t="s">
        <v>140</v>
      </c>
    </row>
    <row r="3" spans="1:11" x14ac:dyDescent="0.2">
      <c r="A3" s="2238" t="s">
        <v>1697</v>
      </c>
      <c r="B3" s="2239"/>
      <c r="C3" s="2239"/>
      <c r="D3" s="2239"/>
      <c r="E3" s="2240"/>
      <c r="F3" s="764"/>
      <c r="G3" s="765"/>
      <c r="H3" s="765"/>
      <c r="I3" s="765"/>
      <c r="J3" s="766"/>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21109</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2250</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4193</v>
      </c>
    </row>
    <row r="10" spans="1:11" x14ac:dyDescent="0.2">
      <c r="A10" s="2259" t="s">
        <v>1919</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21109</v>
      </c>
      <c r="I12" s="1780">
        <f>SUM(I5:I11)</f>
        <v>0</v>
      </c>
      <c r="J12" s="1780">
        <f>SUM(J5:J11)</f>
        <v>0</v>
      </c>
      <c r="K12" s="1780">
        <f>SUM(K5:K11)</f>
        <v>6443</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c r="I14" s="772"/>
      <c r="J14" s="774"/>
      <c r="K14" s="766"/>
    </row>
    <row r="15" spans="1:11" x14ac:dyDescent="0.2">
      <c r="A15" s="2232" t="s">
        <v>4</v>
      </c>
      <c r="B15" s="2232"/>
      <c r="C15" s="2232"/>
      <c r="D15" s="2232"/>
      <c r="E15" s="2260"/>
      <c r="F15" s="790" t="s">
        <v>910</v>
      </c>
      <c r="G15" s="772"/>
      <c r="H15" s="765"/>
      <c r="I15" s="765"/>
      <c r="J15" s="766"/>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1915</v>
      </c>
      <c r="B19" s="2267"/>
      <c r="C19" s="2267"/>
      <c r="D19" s="2267"/>
      <c r="E19" s="2268"/>
      <c r="F19" s="790" t="s">
        <v>990</v>
      </c>
      <c r="G19" s="783"/>
      <c r="H19" s="783"/>
      <c r="I19" s="783"/>
      <c r="J19" s="766"/>
      <c r="K19" s="796"/>
    </row>
    <row r="20" spans="1:11" x14ac:dyDescent="0.2">
      <c r="A20" s="2246" t="s">
        <v>1920</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1921</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3"/>
      <c r="G23" s="1780">
        <f>SUM(G14:G16,G21,G22)</f>
        <v>0</v>
      </c>
      <c r="H23" s="1780">
        <f>SUM(H14:H16,H21,H22)</f>
        <v>0</v>
      </c>
      <c r="I23" s="1780">
        <f>SUM(I14:I16,I21,I22)</f>
        <v>0</v>
      </c>
      <c r="J23" s="1780">
        <f>SUM(J14:J16,J21,J22)</f>
        <v>0</v>
      </c>
      <c r="K23" s="1780">
        <f>SUM(K14:K16,K21,K22)</f>
        <v>0</v>
      </c>
    </row>
    <row r="24" spans="1:11" ht="14.25" thickTop="1" thickBot="1" x14ac:dyDescent="0.25">
      <c r="A24" s="2253" t="s">
        <v>2023</v>
      </c>
      <c r="B24" s="2252"/>
      <c r="C24" s="2252"/>
      <c r="D24" s="2252"/>
      <c r="E24" s="2252"/>
      <c r="F24" s="1784"/>
      <c r="G24" s="1785">
        <f>SUM(G3,G12)-G23</f>
        <v>0</v>
      </c>
      <c r="H24" s="1785">
        <f>SUM(H3,H12)-H23</f>
        <v>21109</v>
      </c>
      <c r="I24" s="1785">
        <f>SUM(I3,I12)-I23</f>
        <v>0</v>
      </c>
      <c r="J24" s="1785">
        <f>SUM(J3,J12)-J23</f>
        <v>0</v>
      </c>
      <c r="K24" s="1785">
        <f>SUM(K3,K12)-K23</f>
        <v>6443</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21109</v>
      </c>
      <c r="I26" s="1780">
        <f>I24-I25</f>
        <v>0</v>
      </c>
      <c r="J26" s="1780">
        <f>J24-J25</f>
        <v>0</v>
      </c>
      <c r="K26" s="1780">
        <f>K24-K25</f>
        <v>6443</v>
      </c>
    </row>
    <row r="27" spans="1:11" ht="5.25" customHeight="1" thickTop="1" x14ac:dyDescent="0.2">
      <c r="I27" s="202"/>
      <c r="J27" s="202"/>
    </row>
    <row r="28" spans="1:11" ht="29.25" customHeight="1" x14ac:dyDescent="0.2">
      <c r="A28" s="1905" t="s">
        <v>2033</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1916</v>
      </c>
      <c r="B46" s="408" t="s">
        <v>1773</v>
      </c>
    </row>
    <row r="47" spans="1:11" s="824" customFormat="1" ht="12.75" customHeight="1" x14ac:dyDescent="0.2">
      <c r="A47" s="822"/>
      <c r="B47" s="823" t="s">
        <v>1774</v>
      </c>
      <c r="E47" s="823"/>
      <c r="K47" s="825"/>
    </row>
    <row r="48" spans="1:11" ht="12.75" customHeight="1" x14ac:dyDescent="0.2">
      <c r="A48" s="1554"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10" colorId="8" zoomScale="110" zoomScaleNormal="110" workbookViewId="0">
      <selection activeCell="K14" sqref="K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2032</v>
      </c>
      <c r="B1" s="2272"/>
      <c r="C1" s="2273"/>
      <c r="D1" s="827"/>
      <c r="E1" s="828"/>
      <c r="F1" s="828"/>
      <c r="G1" s="829"/>
      <c r="H1" s="830"/>
      <c r="I1" s="831"/>
      <c r="J1" s="2269"/>
      <c r="K1" s="2270"/>
      <c r="L1" s="2270"/>
    </row>
    <row r="2" spans="1:14" ht="69.75" customHeight="1" x14ac:dyDescent="0.2">
      <c r="A2" s="832" t="s">
        <v>1776</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23000</v>
      </c>
      <c r="D5" s="842"/>
      <c r="E5" s="842"/>
      <c r="F5" s="1782">
        <f>(C5+D5)-E5</f>
        <v>23000</v>
      </c>
      <c r="G5" s="838"/>
      <c r="H5" s="843"/>
      <c r="I5" s="843"/>
      <c r="J5" s="843"/>
      <c r="K5" s="794"/>
      <c r="L5" s="1791">
        <f>F5-K5</f>
        <v>23000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8021078</v>
      </c>
      <c r="D8" s="845">
        <v>130470</v>
      </c>
      <c r="E8" s="845"/>
      <c r="F8" s="1782">
        <f>(C8+D8)-E8</f>
        <v>8151548</v>
      </c>
      <c r="G8" s="844">
        <v>50</v>
      </c>
      <c r="H8" s="766">
        <v>2892823</v>
      </c>
      <c r="I8" s="766">
        <v>163032</v>
      </c>
      <c r="J8" s="766"/>
      <c r="K8" s="1791">
        <f>(H8+I8)-J8</f>
        <v>3055855</v>
      </c>
      <c r="L8" s="1791">
        <f>F8-K8</f>
        <v>5095693</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128923</v>
      </c>
      <c r="D10" s="847">
        <v>40277</v>
      </c>
      <c r="E10" s="847"/>
      <c r="F10" s="1786">
        <f>(C10+D10)-E10</f>
        <v>169200</v>
      </c>
      <c r="G10" s="844">
        <v>20</v>
      </c>
      <c r="H10" s="848">
        <v>75422</v>
      </c>
      <c r="I10" s="848">
        <v>7205</v>
      </c>
      <c r="J10" s="848"/>
      <c r="K10" s="1791">
        <f>(H10+I10)-J10</f>
        <v>82627</v>
      </c>
      <c r="L10" s="1791">
        <f>F10-K10</f>
        <v>86573</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792427</v>
      </c>
      <c r="D12" s="845">
        <v>70762</v>
      </c>
      <c r="E12" s="845">
        <v>2126</v>
      </c>
      <c r="F12" s="1782">
        <f>(C12+D12)-E12</f>
        <v>861063</v>
      </c>
      <c r="G12" s="844">
        <v>10</v>
      </c>
      <c r="H12" s="766">
        <v>609317</v>
      </c>
      <c r="I12" s="766">
        <v>47450</v>
      </c>
      <c r="J12" s="766">
        <v>2126</v>
      </c>
      <c r="K12" s="1791">
        <f>(H12+I12)-J12</f>
        <v>654641</v>
      </c>
      <c r="L12" s="1791">
        <f>F12-K12</f>
        <v>206422</v>
      </c>
    </row>
    <row r="13" spans="1:14" ht="14.25" thickTop="1" thickBot="1" x14ac:dyDescent="0.25">
      <c r="A13" s="849" t="s">
        <v>1184</v>
      </c>
      <c r="B13" s="841">
        <v>252</v>
      </c>
      <c r="C13" s="845">
        <v>162626</v>
      </c>
      <c r="D13" s="845"/>
      <c r="E13" s="845"/>
      <c r="F13" s="1782">
        <f>(C13+D13)-E13</f>
        <v>162626</v>
      </c>
      <c r="G13" s="844">
        <v>5</v>
      </c>
      <c r="H13" s="766">
        <v>162626</v>
      </c>
      <c r="I13" s="766"/>
      <c r="J13" s="766"/>
      <c r="K13" s="1791">
        <f>(H13+I13)-J13</f>
        <v>162626</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9128054</v>
      </c>
      <c r="D16" s="1782">
        <f>SUM(D3,D5:D6,D8:D10,D12:D15)</f>
        <v>241509</v>
      </c>
      <c r="E16" s="1782">
        <f>SUM(E3,E5:E6,E8:E10,E12:E15)</f>
        <v>2126</v>
      </c>
      <c r="F16" s="1782">
        <f>SUM(F3,F5:F6,F8:F10,F12:F15)</f>
        <v>9367437</v>
      </c>
      <c r="G16" s="844"/>
      <c r="H16" s="1782">
        <f>SUM(H3,H6,H8:H10,H12:H14,)</f>
        <v>3740188</v>
      </c>
      <c r="I16" s="1782">
        <f>SUM(I3,I6,I8:I10,I12:I14,)</f>
        <v>217687</v>
      </c>
      <c r="J16" s="1782">
        <f>SUM(J3,J6,J8:J10,J12:J14,)</f>
        <v>2126</v>
      </c>
      <c r="K16" s="1782">
        <f>(H16+I16)-J16</f>
        <v>3955749</v>
      </c>
      <c r="L16" s="1782">
        <f>F16-K16</f>
        <v>5411688</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217687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8"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1698</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3133115</v>
      </c>
      <c r="G8" s="866"/>
    </row>
    <row r="9" spans="1:7" x14ac:dyDescent="0.2">
      <c r="A9" s="870" t="s">
        <v>480</v>
      </c>
      <c r="B9" s="871" t="s">
        <v>1987</v>
      </c>
      <c r="C9" s="872"/>
      <c r="D9" s="870" t="s">
        <v>522</v>
      </c>
      <c r="E9" s="869"/>
      <c r="F9" s="1935">
        <f>'Expenditures 15-22'!K151</f>
        <v>289481</v>
      </c>
      <c r="G9" s="873"/>
    </row>
    <row r="10" spans="1:7" x14ac:dyDescent="0.2">
      <c r="A10" s="870" t="s">
        <v>520</v>
      </c>
      <c r="B10" s="871" t="s">
        <v>1988</v>
      </c>
      <c r="C10" s="872"/>
      <c r="D10" s="870" t="s">
        <v>522</v>
      </c>
      <c r="E10" s="869"/>
      <c r="F10" s="1935">
        <f>'Expenditures 15-22'!K174</f>
        <v>300145</v>
      </c>
      <c r="G10" s="873"/>
    </row>
    <row r="11" spans="1:7" x14ac:dyDescent="0.2">
      <c r="A11" s="870" t="s">
        <v>481</v>
      </c>
      <c r="B11" s="871" t="s">
        <v>1989</v>
      </c>
      <c r="C11" s="872"/>
      <c r="D11" s="870" t="s">
        <v>522</v>
      </c>
      <c r="E11" s="869"/>
      <c r="F11" s="1935">
        <f>'Expenditures 15-22'!K210</f>
        <v>263664</v>
      </c>
      <c r="G11" s="873"/>
    </row>
    <row r="12" spans="1:7" x14ac:dyDescent="0.2">
      <c r="A12" s="870" t="s">
        <v>482</v>
      </c>
      <c r="B12" s="871" t="s">
        <v>1990</v>
      </c>
      <c r="C12" s="872"/>
      <c r="D12" s="870" t="s">
        <v>522</v>
      </c>
      <c r="E12" s="869"/>
      <c r="F12" s="1935">
        <f>'Expenditures 15-22'!K295</f>
        <v>123098</v>
      </c>
      <c r="G12" s="873"/>
    </row>
    <row r="13" spans="1:7" x14ac:dyDescent="0.2">
      <c r="A13" s="870" t="s">
        <v>108</v>
      </c>
      <c r="B13" s="871" t="s">
        <v>1991</v>
      </c>
      <c r="C13" s="872"/>
      <c r="D13" s="870" t="s">
        <v>522</v>
      </c>
      <c r="E13" s="869"/>
      <c r="F13" s="1935">
        <f>'Expenditures 15-22'!K342</f>
        <v>54118</v>
      </c>
      <c r="G13" s="874"/>
    </row>
    <row r="14" spans="1:7" ht="12" customHeight="1" thickBot="1" x14ac:dyDescent="0.25">
      <c r="A14" s="1792"/>
      <c r="B14" s="1793"/>
      <c r="C14" s="1794"/>
      <c r="D14" s="1795" t="s">
        <v>522</v>
      </c>
      <c r="E14" s="1796" t="s">
        <v>1015</v>
      </c>
      <c r="F14" s="1797">
        <f>SUM(F8:F13)</f>
        <v>4163621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9-14'!D148,F148)</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78186</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873</v>
      </c>
      <c r="G52" s="866"/>
    </row>
    <row r="53" spans="1:7" x14ac:dyDescent="0.2">
      <c r="A53" s="870" t="s">
        <v>479</v>
      </c>
      <c r="B53" s="870" t="s">
        <v>1551</v>
      </c>
      <c r="C53" s="890">
        <f>'Expenditures 15-22'!B102</f>
        <v>4000</v>
      </c>
      <c r="D53" s="889" t="str">
        <f>'Expenditures 15-22'!A102</f>
        <v>Total Payments to Other Govt Units</v>
      </c>
      <c r="E53" s="869"/>
      <c r="F53" s="1939">
        <f>'Expenditures 15-22'!K102</f>
        <v>110891</v>
      </c>
      <c r="G53" s="866"/>
    </row>
    <row r="54" spans="1:7" x14ac:dyDescent="0.2">
      <c r="A54" s="870" t="s">
        <v>479</v>
      </c>
      <c r="B54" s="870" t="s">
        <v>1552</v>
      </c>
      <c r="C54" s="890" t="s">
        <v>1039</v>
      </c>
      <c r="D54" s="886" t="s">
        <v>1157</v>
      </c>
      <c r="E54" s="869"/>
      <c r="F54" s="1939">
        <f>'Expenditures 15-22'!G114</f>
        <v>10577</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1992</v>
      </c>
      <c r="C57" s="890">
        <f>'Expenditures 15-22'!B139</f>
        <v>4000</v>
      </c>
      <c r="D57" s="888" t="str">
        <f>'Expenditures 15-22'!A139</f>
        <v>Total Payments to Other Govt Units</v>
      </c>
      <c r="E57" s="869"/>
      <c r="F57" s="1939">
        <f>'Expenditures 15-22'!K139</f>
        <v>0</v>
      </c>
      <c r="G57" s="866"/>
    </row>
    <row r="58" spans="1:7" x14ac:dyDescent="0.2">
      <c r="A58" s="870" t="s">
        <v>480</v>
      </c>
      <c r="B58" s="870" t="s">
        <v>1993</v>
      </c>
      <c r="C58" s="887" t="s">
        <v>1039</v>
      </c>
      <c r="D58" s="886" t="s">
        <v>1157</v>
      </c>
      <c r="E58" s="869"/>
      <c r="F58" s="1941">
        <f>'Expenditures 15-22'!G151</f>
        <v>18512</v>
      </c>
      <c r="G58" s="866"/>
    </row>
    <row r="59" spans="1:7" x14ac:dyDescent="0.2">
      <c r="A59" s="894" t="s">
        <v>480</v>
      </c>
      <c r="B59" s="857" t="s">
        <v>1994</v>
      </c>
      <c r="C59" s="895" t="s">
        <v>1039</v>
      </c>
      <c r="D59" s="857" t="s">
        <v>309</v>
      </c>
      <c r="F59" s="1942">
        <f>'Expenditures 15-22'!I151</f>
        <v>0</v>
      </c>
      <c r="G59" s="866"/>
    </row>
    <row r="60" spans="1:7" x14ac:dyDescent="0.2">
      <c r="A60" s="894" t="s">
        <v>520</v>
      </c>
      <c r="B60" s="857" t="s">
        <v>1995</v>
      </c>
      <c r="C60" s="895">
        <v>4000</v>
      </c>
      <c r="D60" s="857" t="s">
        <v>330</v>
      </c>
      <c r="F60" s="1940">
        <f>'Expenditures 15-22'!K160</f>
        <v>0</v>
      </c>
      <c r="G60" s="866"/>
    </row>
    <row r="61" spans="1:7" x14ac:dyDescent="0.2">
      <c r="A61" s="896" t="s">
        <v>520</v>
      </c>
      <c r="B61" s="896" t="s">
        <v>1996</v>
      </c>
      <c r="C61" s="897" t="str">
        <f>'Expenditures 15-22'!B170</f>
        <v>5300</v>
      </c>
      <c r="D61" s="898" t="s">
        <v>329</v>
      </c>
      <c r="E61" s="880"/>
      <c r="F61" s="1939">
        <f>'Expenditures 15-22'!K170</f>
        <v>170000</v>
      </c>
      <c r="G61" s="866"/>
    </row>
    <row r="62" spans="1:7" x14ac:dyDescent="0.2">
      <c r="A62" s="870" t="s">
        <v>481</v>
      </c>
      <c r="B62" s="870" t="s">
        <v>1997</v>
      </c>
      <c r="C62" s="887">
        <f>'Expenditures 15-22'!B185</f>
        <v>3000</v>
      </c>
      <c r="D62" s="877" t="s">
        <v>469</v>
      </c>
      <c r="E62" s="869"/>
      <c r="F62" s="1939">
        <f>'Expenditures 15-22'!K185-SUM('Expenditures 15-22'!G185,'Expenditures 15-22'!I185)</f>
        <v>0</v>
      </c>
      <c r="G62" s="866"/>
    </row>
    <row r="63" spans="1:7" x14ac:dyDescent="0.2">
      <c r="A63" s="870" t="s">
        <v>481</v>
      </c>
      <c r="B63" s="870" t="s">
        <v>1998</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1999</v>
      </c>
      <c r="C64" s="897" t="str">
        <f>'Expenditures 15-22'!B206</f>
        <v>5300</v>
      </c>
      <c r="D64" s="893" t="s">
        <v>329</v>
      </c>
      <c r="E64" s="869"/>
      <c r="F64" s="1939">
        <f>'Expenditures 15-22'!K206</f>
        <v>0</v>
      </c>
      <c r="G64" s="866"/>
    </row>
    <row r="65" spans="1:8" x14ac:dyDescent="0.2">
      <c r="A65" s="870" t="s">
        <v>481</v>
      </c>
      <c r="B65" s="870" t="s">
        <v>2000</v>
      </c>
      <c r="C65" s="887" t="s">
        <v>1039</v>
      </c>
      <c r="D65" s="886" t="s">
        <v>1157</v>
      </c>
      <c r="E65" s="869"/>
      <c r="F65" s="1939">
        <f>'Expenditures 15-22'!G210</f>
        <v>89489</v>
      </c>
      <c r="G65" s="866"/>
    </row>
    <row r="66" spans="1:8" x14ac:dyDescent="0.2">
      <c r="A66" s="870" t="s">
        <v>481</v>
      </c>
      <c r="B66" s="870" t="s">
        <v>2001</v>
      </c>
      <c r="C66" s="887" t="s">
        <v>1039</v>
      </c>
      <c r="D66" s="886" t="s">
        <v>309</v>
      </c>
      <c r="E66" s="869"/>
      <c r="F66" s="1939">
        <f>'Expenditures 15-22'!I210</f>
        <v>0</v>
      </c>
      <c r="G66" s="866"/>
    </row>
    <row r="67" spans="1:8" x14ac:dyDescent="0.2">
      <c r="A67" s="870" t="s">
        <v>482</v>
      </c>
      <c r="B67" s="870" t="s">
        <v>2002</v>
      </c>
      <c r="C67" s="887" t="str">
        <f>'Expenditures 15-22'!B216</f>
        <v>1125</v>
      </c>
      <c r="D67" s="893" t="str">
        <f>'Expenditures 15-22'!A216</f>
        <v>Pre-K Programs</v>
      </c>
      <c r="E67" s="869"/>
      <c r="F67" s="1939">
        <f>'Expenditures 15-22'!K216</f>
        <v>11684</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2003</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2004</v>
      </c>
      <c r="C70" s="887">
        <f>'Expenditures 15-22'!B221</f>
        <v>1300</v>
      </c>
      <c r="D70" s="888" t="str">
        <f>'Expenditures 15-22'!A221</f>
        <v>Adult/Continuing Education Programs</v>
      </c>
      <c r="E70" s="869"/>
      <c r="F70" s="1939">
        <f>'Expenditures 15-22'!K221</f>
        <v>0</v>
      </c>
      <c r="G70" s="866"/>
    </row>
    <row r="71" spans="1:8" x14ac:dyDescent="0.2">
      <c r="A71" s="870" t="s">
        <v>482</v>
      </c>
      <c r="B71" s="870" t="s">
        <v>2005</v>
      </c>
      <c r="C71" s="887">
        <f>'Expenditures 15-22'!B224</f>
        <v>1600</v>
      </c>
      <c r="D71" s="888" t="str">
        <f>'Expenditures 15-22'!A224</f>
        <v>Summer School Programs</v>
      </c>
      <c r="E71" s="869"/>
      <c r="F71" s="1939">
        <f>'Expenditures 15-22'!K224</f>
        <v>0</v>
      </c>
      <c r="G71" s="866"/>
    </row>
    <row r="72" spans="1:8" x14ac:dyDescent="0.2">
      <c r="A72" s="870" t="s">
        <v>482</v>
      </c>
      <c r="B72" s="870" t="s">
        <v>2006</v>
      </c>
      <c r="C72" s="887">
        <f>'Expenditures 15-22'!B280</f>
        <v>3000</v>
      </c>
      <c r="D72" s="877" t="s">
        <v>469</v>
      </c>
      <c r="E72" s="869"/>
      <c r="F72" s="1939">
        <f>'Expenditures 15-22'!K280</f>
        <v>13</v>
      </c>
      <c r="G72" s="866"/>
    </row>
    <row r="73" spans="1:8" x14ac:dyDescent="0.2">
      <c r="A73" s="870" t="s">
        <v>482</v>
      </c>
      <c r="B73" s="870" t="s">
        <v>2007</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2008</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2009</v>
      </c>
      <c r="E76" s="1796" t="s">
        <v>1015</v>
      </c>
      <c r="F76" s="1800">
        <f>SUM(F18:F74)</f>
        <v>490225</v>
      </c>
      <c r="G76" s="866"/>
    </row>
    <row r="77" spans="1:8" s="894" customFormat="1" ht="12" customHeight="1" thickTop="1" thickBot="1" x14ac:dyDescent="0.25">
      <c r="A77" s="1801"/>
      <c r="B77" s="1798"/>
      <c r="C77" s="1794"/>
      <c r="D77" s="1799" t="s">
        <v>2010</v>
      </c>
      <c r="E77" s="1796"/>
      <c r="F77" s="1802">
        <f>(F14-F76)</f>
        <v>3673396</v>
      </c>
      <c r="G77" s="870"/>
    </row>
    <row r="78" spans="1:8" s="894" customFormat="1" ht="12" customHeight="1" thickTop="1" x14ac:dyDescent="0.2">
      <c r="A78" s="1803"/>
      <c r="B78" s="1798"/>
      <c r="C78" s="1794"/>
      <c r="D78" s="1799" t="s">
        <v>2056</v>
      </c>
      <c r="E78" s="1796"/>
      <c r="F78" s="899">
        <v>331.75</v>
      </c>
      <c r="G78" s="900"/>
      <c r="H78" s="870"/>
    </row>
    <row r="79" spans="1:8" s="894" customFormat="1" ht="12" customHeight="1" thickBot="1" x14ac:dyDescent="0.25">
      <c r="A79" s="1804"/>
      <c r="B79" s="1798"/>
      <c r="C79" s="1794"/>
      <c r="D79" s="1799" t="s">
        <v>2011</v>
      </c>
      <c r="E79" s="1796" t="s">
        <v>1015</v>
      </c>
      <c r="F79" s="1805">
        <f>IF(F78&gt;0,F77/F78," Complete Line 78")</f>
        <v>11072.783722682743</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44675</v>
      </c>
      <c r="G94" s="913"/>
    </row>
    <row r="95" spans="1:7" x14ac:dyDescent="0.2">
      <c r="A95" s="909" t="s">
        <v>142</v>
      </c>
      <c r="B95" s="909" t="s">
        <v>177</v>
      </c>
      <c r="C95" s="911">
        <v>1700</v>
      </c>
      <c r="D95" s="919" t="str">
        <f>'Revenues 9-14'!A82</f>
        <v>Total District/School Activity Income</v>
      </c>
      <c r="E95" s="907"/>
      <c r="F95" s="1811">
        <f>SUM('Revenues 9-14'!C82,'Revenues 9-14'!D82)</f>
        <v>17158</v>
      </c>
      <c r="G95" s="913"/>
    </row>
    <row r="96" spans="1:7" x14ac:dyDescent="0.2">
      <c r="A96" s="909" t="s">
        <v>479</v>
      </c>
      <c r="B96" s="909" t="s">
        <v>178</v>
      </c>
      <c r="C96" s="911">
        <f>'Revenues 9-14'!B84</f>
        <v>1811</v>
      </c>
      <c r="D96" s="912" t="str">
        <f>'Revenues 9-14'!A84</f>
        <v>Rentals - Regular Textbooks</v>
      </c>
      <c r="E96" s="907"/>
      <c r="F96" s="1811">
        <f>'Revenues 9-14'!C84</f>
        <v>21635</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51906</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56206</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1159</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4193</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161892</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93034</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17722</v>
      </c>
      <c r="G128" s="931"/>
    </row>
    <row r="129" spans="1:7" x14ac:dyDescent="0.2">
      <c r="A129" s="928" t="s">
        <v>685</v>
      </c>
      <c r="B129" s="928" t="s">
        <v>803</v>
      </c>
      <c r="C129" s="933">
        <v>4200</v>
      </c>
      <c r="D129" s="930" t="str">
        <f>'Revenues 9-14'!A201</f>
        <v>Total Food Service</v>
      </c>
      <c r="E129" s="907"/>
      <c r="F129" s="1811">
        <f>SUM('Revenues 9-14'!C201,'Revenues 9-14'!G201)</f>
        <v>72041</v>
      </c>
      <c r="G129" s="931"/>
    </row>
    <row r="130" spans="1:7" x14ac:dyDescent="0.2">
      <c r="A130" s="928" t="s">
        <v>689</v>
      </c>
      <c r="B130" s="928" t="s">
        <v>804</v>
      </c>
      <c r="C130" s="933">
        <v>4300</v>
      </c>
      <c r="D130" s="934" t="str">
        <f>'Revenues 9-14'!A211</f>
        <v>Total Title I</v>
      </c>
      <c r="E130" s="907"/>
      <c r="F130" s="1811">
        <f>SUM('Revenues 9-14'!C211,'Revenues 9-14'!D211,'Revenues 9-14'!F211,'Revenues 9-14'!G211)</f>
        <v>102896</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9129</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12188</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2055</v>
      </c>
      <c r="C175" s="1946">
        <v>3100</v>
      </c>
      <c r="D175" s="1947" t="s">
        <v>2058</v>
      </c>
      <c r="E175" s="907"/>
      <c r="F175" s="1931"/>
      <c r="G175" s="928"/>
    </row>
    <row r="176" spans="1:7" x14ac:dyDescent="0.2">
      <c r="A176" s="1944" t="s">
        <v>685</v>
      </c>
      <c r="B176" s="1945" t="s">
        <v>2055</v>
      </c>
      <c r="C176" s="1946">
        <v>3300</v>
      </c>
      <c r="D176" s="1947" t="s">
        <v>2059</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2012</v>
      </c>
      <c r="E178" s="1809" t="s">
        <v>1015</v>
      </c>
      <c r="F178" s="1810">
        <f>SUM(F84:F136,F161:F176)</f>
        <v>667334</v>
      </c>
    </row>
    <row r="179" spans="1:7" ht="12" customHeight="1" x14ac:dyDescent="0.2">
      <c r="A179" s="1792"/>
      <c r="B179" s="1806"/>
      <c r="C179" s="1807"/>
      <c r="D179" s="1808" t="s">
        <v>2013</v>
      </c>
      <c r="E179" s="1809"/>
      <c r="F179" s="1811">
        <f>'PCTC-OEPP 27-28'!F77-F178</f>
        <v>3006062</v>
      </c>
    </row>
    <row r="180" spans="1:7" ht="12" customHeight="1" x14ac:dyDescent="0.2">
      <c r="A180" s="1792"/>
      <c r="B180" s="1806"/>
      <c r="C180" s="1807"/>
      <c r="D180" s="1808" t="s">
        <v>1923</v>
      </c>
      <c r="E180" s="1809"/>
      <c r="F180" s="1811">
        <f>'Cap Outlay Deprec 26'!I18</f>
        <v>217687</v>
      </c>
    </row>
    <row r="181" spans="1:7" ht="12" customHeight="1" x14ac:dyDescent="0.2">
      <c r="A181" s="1792"/>
      <c r="B181" s="1806"/>
      <c r="C181" s="1807"/>
      <c r="D181" s="1808" t="s">
        <v>2014</v>
      </c>
      <c r="E181" s="1809"/>
      <c r="F181" s="1811">
        <f>F179+F180</f>
        <v>3223749</v>
      </c>
    </row>
    <row r="182" spans="1:7" ht="12" customHeight="1" x14ac:dyDescent="0.2">
      <c r="A182" s="1792"/>
      <c r="B182" s="1812"/>
      <c r="C182" s="1807"/>
      <c r="D182" s="1808" t="str">
        <f>D78</f>
        <v>9 Month ADA from District Average Daily Attendance/Prior General State Aid Inquiry 2017-2018</v>
      </c>
      <c r="E182" s="1809"/>
      <c r="F182" s="1813">
        <f>'PCTC-OEPP 27-28'!F78</f>
        <v>331.75</v>
      </c>
      <c r="G182" s="931"/>
    </row>
    <row r="183" spans="1:7" ht="12" customHeight="1" thickBot="1" x14ac:dyDescent="0.25">
      <c r="A183" s="1792"/>
      <c r="B183" s="1812"/>
      <c r="C183" s="1807"/>
      <c r="D183" s="1808" t="s">
        <v>2015</v>
      </c>
      <c r="E183" s="1809" t="s">
        <v>1626</v>
      </c>
      <c r="F183" s="1814">
        <f>F181/F182</f>
        <v>9717.4046721929171</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8" customFormat="1" ht="12.2" customHeight="1" x14ac:dyDescent="0.2">
      <c r="A186" s="1948" t="s">
        <v>2062</v>
      </c>
      <c r="B186" s="1949"/>
      <c r="C186" s="1950"/>
      <c r="D186" s="1949"/>
      <c r="E186" s="1950"/>
      <c r="F186" s="1949"/>
      <c r="G186" s="1949"/>
    </row>
    <row r="187" spans="1:7" s="1948" customFormat="1" ht="12.2" customHeight="1" x14ac:dyDescent="0.2">
      <c r="A187" s="1951" t="s">
        <v>2063</v>
      </c>
      <c r="C187" s="1950"/>
      <c r="D187" s="1949"/>
      <c r="E187" s="1950"/>
      <c r="F187" s="1949"/>
      <c r="G187" s="1949"/>
    </row>
    <row r="188" spans="1:7" ht="12" customHeight="1" x14ac:dyDescent="0.2">
      <c r="C188" s="950"/>
      <c r="D188" s="931"/>
      <c r="E188" s="950"/>
      <c r="F188" s="931"/>
      <c r="G188" s="931"/>
    </row>
    <row r="189" spans="1:7" x14ac:dyDescent="0.2">
      <c r="A189" s="1952" t="s">
        <v>2061</v>
      </c>
      <c r="B189" s="1953"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6ahwpZtglzK9fA1XZSCMxOyvq2LDgdN6+8Q5V6Su4DeyiqmCQ1XL+iRlE2ywJBHCOt+/Cq2PHB1a5S+f48o7g==" saltValue="u9/GoMUnXYc28JyEO/5GTw=="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17" sqref="B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1939</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1924</v>
      </c>
      <c r="B4" s="2289"/>
      <c r="C4" s="2289"/>
      <c r="D4" s="2289"/>
      <c r="E4" s="2289"/>
      <c r="F4" s="2289"/>
      <c r="G4" s="2290"/>
    </row>
    <row r="5" spans="1:7" x14ac:dyDescent="0.25">
      <c r="A5" s="2291"/>
      <c r="B5" s="2292"/>
      <c r="C5" s="2292"/>
      <c r="D5" s="2292"/>
      <c r="E5" s="2292"/>
      <c r="F5" s="2292"/>
      <c r="G5" s="2293"/>
    </row>
    <row r="6" spans="1:7" ht="18.75" x14ac:dyDescent="0.25">
      <c r="A6" s="1556" t="s">
        <v>1925</v>
      </c>
      <c r="B6" s="1557"/>
      <c r="C6" s="1557"/>
      <c r="D6" s="1557"/>
      <c r="E6" s="1557"/>
      <c r="F6" s="1557"/>
      <c r="G6" s="1558"/>
    </row>
    <row r="7" spans="1:7" ht="30.75" customHeight="1" x14ac:dyDescent="0.25">
      <c r="A7" s="2294" t="s">
        <v>2072</v>
      </c>
      <c r="B7" s="2295"/>
      <c r="C7" s="2295"/>
      <c r="D7" s="2295"/>
      <c r="E7" s="2295"/>
      <c r="F7" s="2295"/>
      <c r="G7" s="2296"/>
    </row>
    <row r="8" spans="1:7" ht="15.75" customHeight="1" x14ac:dyDescent="0.25">
      <c r="A8" s="2297" t="s">
        <v>2021</v>
      </c>
      <c r="B8" s="2298"/>
      <c r="C8" s="2298"/>
      <c r="D8" s="2298"/>
      <c r="E8" s="2298"/>
      <c r="F8" s="2298"/>
      <c r="G8" s="2299"/>
    </row>
    <row r="9" spans="1:7" ht="35.25" customHeight="1" x14ac:dyDescent="0.25">
      <c r="A9" s="2294" t="s">
        <v>2075</v>
      </c>
      <c r="B9" s="2295"/>
      <c r="C9" s="2295"/>
      <c r="D9" s="2295"/>
      <c r="E9" s="2295"/>
      <c r="F9" s="2295"/>
      <c r="G9" s="2296"/>
    </row>
    <row r="10" spans="1:7" ht="15" customHeight="1" x14ac:dyDescent="0.25">
      <c r="A10" s="1559" t="s">
        <v>1926</v>
      </c>
      <c r="B10" s="1560"/>
      <c r="C10" s="1560"/>
      <c r="D10" s="1560"/>
      <c r="E10" s="1560"/>
      <c r="F10" s="1560"/>
      <c r="G10" s="1561"/>
    </row>
    <row r="11" spans="1:7" ht="17.25" customHeight="1" x14ac:dyDescent="0.25">
      <c r="A11" s="2294" t="s">
        <v>2074</v>
      </c>
      <c r="B11" s="2295"/>
      <c r="C11" s="2295"/>
      <c r="D11" s="2295"/>
      <c r="E11" s="2295"/>
      <c r="F11" s="2295"/>
      <c r="G11" s="2296"/>
    </row>
    <row r="12" spans="1:7" ht="15" customHeight="1" x14ac:dyDescent="0.25">
      <c r="A12" s="1559" t="s">
        <v>1931</v>
      </c>
      <c r="B12" s="1560"/>
      <c r="C12" s="1560"/>
      <c r="D12" s="1560"/>
      <c r="E12" s="1560"/>
      <c r="F12" s="1560"/>
      <c r="G12" s="1561"/>
    </row>
    <row r="13" spans="1:7" ht="32.25" customHeight="1" x14ac:dyDescent="0.25">
      <c r="A13" s="2285" t="s">
        <v>1932</v>
      </c>
      <c r="B13" s="2286"/>
      <c r="C13" s="2286"/>
      <c r="D13" s="2286"/>
      <c r="E13" s="2286"/>
      <c r="F13" s="2286"/>
      <c r="G13" s="2287"/>
    </row>
    <row r="14" spans="1:7" x14ac:dyDescent="0.25">
      <c r="A14" s="1683" t="s">
        <v>1940</v>
      </c>
      <c r="B14" s="1684"/>
      <c r="C14" s="1684"/>
      <c r="D14" s="1684"/>
      <c r="E14" s="1684"/>
      <c r="F14" s="1684"/>
      <c r="G14" s="1685"/>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70" t="s">
        <v>1941</v>
      </c>
      <c r="B16" s="1671" t="s">
        <v>1930</v>
      </c>
      <c r="C16" s="1672" t="s">
        <v>1928</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2096</v>
      </c>
      <c r="B17" s="1957" t="s">
        <v>2104</v>
      </c>
      <c r="C17" s="1958" t="s">
        <v>2097</v>
      </c>
      <c r="D17" s="1867">
        <v>5000</v>
      </c>
      <c r="E17" s="1562">
        <f t="shared" ref="E17:E141" si="1">IF(D17&lt;=25000,D17,IF(D17&gt;25000,25000,0))</f>
        <v>5000</v>
      </c>
      <c r="F17" s="1815">
        <f t="shared" si="0"/>
        <v>5000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5000</v>
      </c>
      <c r="E141" s="1563">
        <f t="shared" si="1"/>
        <v>5000</v>
      </c>
      <c r="F141" s="1817">
        <f>SUM(F17:F140)</f>
        <v>5000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E40" sqref="E4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1777</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c r="F10" s="975"/>
      <c r="G10" s="976"/>
      <c r="H10" s="162"/>
      <c r="I10" s="162"/>
    </row>
    <row r="11" spans="1:9" s="669" customFormat="1" ht="22.5" customHeight="1" x14ac:dyDescent="0.2">
      <c r="A11" s="2305" t="s">
        <v>1943</v>
      </c>
      <c r="B11" s="2306"/>
      <c r="C11" s="2306"/>
      <c r="D11" s="2307"/>
      <c r="E11" s="978">
        <v>14636</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2235164</v>
      </c>
      <c r="F19" s="1822"/>
      <c r="G19" s="1824">
        <f>'Expenditures 15-22'!K33-SUM('Expenditures 15-22'!G33,'Expenditures 15-22'!I33)+'Expenditures 15-22'!D229</f>
        <v>2235164</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141466</v>
      </c>
      <c r="F21" s="1825"/>
      <c r="G21" s="1828">
        <f>'Expenditures 15-22'!K42-SUM('Expenditures 15-22'!G42,'Expenditures 15-22'!I42)+'Expenditures 15-22'!K120-SUM('Expenditures 15-22'!G120,'Expenditures 15-22'!I120)+'Expenditures 15-22'!K180-SUM('Expenditures 15-22'!G180,'Expenditures 15-22'!I180)+'Expenditures 15-22'!D238</f>
        <v>141466</v>
      </c>
      <c r="H21" s="988"/>
      <c r="I21" s="162"/>
    </row>
    <row r="22" spans="1:9" s="669" customFormat="1" ht="12" customHeight="1" x14ac:dyDescent="0.2">
      <c r="A22" s="995" t="s">
        <v>585</v>
      </c>
      <c r="B22" s="996"/>
      <c r="C22" s="994">
        <v>2200</v>
      </c>
      <c r="D22" s="1825"/>
      <c r="E22" s="1827">
        <f>'Expenditures 15-22'!K47-SUM('Expenditures 15-22'!G47,'Expenditures 15-22'!I47)+'Expenditures 15-22'!D243</f>
        <v>39109</v>
      </c>
      <c r="F22" s="1825"/>
      <c r="G22" s="1828">
        <f>'Expenditures 15-22'!K47-SUM('Expenditures 15-22'!G47,'Expenditures 15-22'!I47)+'Expenditures 15-22'!D243</f>
        <v>39109</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250166</v>
      </c>
      <c r="F23" s="1825"/>
      <c r="G23" s="1827">
        <f>'Expenditures 15-22'!K53-SUM('Expenditures 15-22'!G53,'Expenditures 15-22'!I53)+'Expenditures 15-22'!D257+'Expenditures 15-22'!K330-SUM('Expenditures 15-22'!G330,'Expenditures 15-22'!I330)</f>
        <v>250166</v>
      </c>
      <c r="H23" s="988"/>
      <c r="I23" s="162"/>
    </row>
    <row r="24" spans="1:9" s="669" customFormat="1" ht="12" customHeight="1" x14ac:dyDescent="0.2">
      <c r="A24" s="995" t="s">
        <v>587</v>
      </c>
      <c r="B24" s="996"/>
      <c r="C24" s="994">
        <v>2400</v>
      </c>
      <c r="D24" s="1825"/>
      <c r="E24" s="1827">
        <f>'Expenditures 15-22'!K57-SUM('Expenditures 15-22'!G57,'Expenditures 15-22'!I57)+'Expenditures 15-22'!D261</f>
        <v>153370</v>
      </c>
      <c r="F24" s="1825"/>
      <c r="G24" s="1828">
        <f>'Expenditures 15-22'!K57-SUM('Expenditures 15-22'!G57,'Expenditures 15-22'!I57)+'Expenditures 15-22'!D261</f>
        <v>153370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51540</v>
      </c>
      <c r="E27" s="1827">
        <f>E8</f>
        <v>0</v>
      </c>
      <c r="F27" s="1827">
        <f>'Expenditures 15-22'!K60-SUM('Expenditures 15-22'!G60,'Expenditures 15-22'!I60)+'Expenditures 15-22'!D264-E8</f>
        <v>51540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388852</v>
      </c>
      <c r="F28" s="1829">
        <f>'Expenditures 15-22'!K61-SUM('Expenditures 15-22'!G61,'Expenditures 15-22'!I61)+'Expenditures 15-22'!K124-SUM('Expenditures 15-22'!G124,'Expenditures 15-22'!I124)+'Expenditures 15-22'!D266-E9</f>
        <v>388852</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192008</v>
      </c>
      <c r="F29" s="1825"/>
      <c r="G29" s="1828">
        <f>'Expenditures 15-22'!K62-SUM('Expenditures 15-22'!G62,'Expenditures 15-22'!I62)+'Expenditures 15-22'!K125-SUM('Expenditures 15-22'!G125,'Expenditures 15-22'!I125)+'Expenditures 15-22'!K182-SUM('Expenditures 15-22'!G182,'Expenditures 15-22'!I182)+'Expenditures 15-22'!D267</f>
        <v>192008</v>
      </c>
      <c r="H29" s="986"/>
    </row>
    <row r="30" spans="1:9" ht="12" customHeight="1" x14ac:dyDescent="0.2">
      <c r="A30" s="995" t="s">
        <v>102</v>
      </c>
      <c r="B30" s="998"/>
      <c r="C30" s="994">
        <v>2560</v>
      </c>
      <c r="D30" s="1825"/>
      <c r="E30" s="1827">
        <f>'Expenditures 15-22'!K63-SUM('Expenditures 15-22'!G63,'Expenditures 15-22'!I63)+'Expenditures 15-22'!D268-E10</f>
        <v>173553</v>
      </c>
      <c r="F30" s="1825"/>
      <c r="G30" s="1827">
        <f>'Expenditures 15-22'!K63-SUM('Expenditures 15-22'!G63,'Expenditures 15-22'!I63)+'Expenditures 15-22'!D268-E10</f>
        <v>173553</v>
      </c>
    </row>
    <row r="31" spans="1:9" ht="12" customHeight="1" x14ac:dyDescent="0.2">
      <c r="A31" s="995" t="s">
        <v>103</v>
      </c>
      <c r="B31" s="998"/>
      <c r="C31" s="994">
        <v>2570</v>
      </c>
      <c r="D31" s="1827">
        <f>'Expenditures 15-22'!K64-SUM('Expenditures 15-22'!G64,'Expenditures 15-22'!I64)+'Expenditures 15-22'!D269-E12</f>
        <v>2943</v>
      </c>
      <c r="E31" s="1827">
        <f>E12</f>
        <v>0</v>
      </c>
      <c r="F31" s="1827">
        <f>'Expenditures 15-22'!K64-SUM('Expenditures 15-22'!G64,'Expenditures 15-22'!I64)+'Expenditures 15-22'!D269-E12</f>
        <v>2943</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4950</v>
      </c>
      <c r="E36" s="1827">
        <f>E13</f>
        <v>0</v>
      </c>
      <c r="F36" s="1827">
        <f>'Expenditures 15-22'!K70-SUM('Expenditures 15-22'!G70,'Expenditures 15-22'!I70)+'Expenditures 15-22'!D275-E13</f>
        <v>4950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886</v>
      </c>
      <c r="F39" s="1825"/>
      <c r="G39" s="1827">
        <f>'Expenditures 15-22'!K75-SUM('Expenditures 15-22'!G75,'Expenditures 15-22'!I75)+'Expenditures 15-22'!K130-SUM('Expenditures 15-22'!G130,'Expenditures 15-22'!I130)+'Expenditures 15-22'!K185-SUM('Expenditures 15-22'!G185,'Expenditures 15-22'!I185)+'Expenditures 15-22'!D280</f>
        <v>886</v>
      </c>
    </row>
    <row r="40" spans="1:7" ht="12" customHeight="1" x14ac:dyDescent="0.2">
      <c r="A40" s="991" t="s">
        <v>1929</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59433</v>
      </c>
      <c r="E41" s="1829">
        <f>SUM(E19:E40)</f>
        <v>3574574</v>
      </c>
      <c r="F41" s="1829">
        <f>SUM(F19:F39)</f>
        <v>448285</v>
      </c>
      <c r="G41" s="1829">
        <f>SUM(G19:G40)</f>
        <v>3185722</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59433</v>
      </c>
      <c r="F43" s="1830" t="s">
        <v>495</v>
      </c>
      <c r="G43" s="1831">
        <f>F41</f>
        <v>448285</v>
      </c>
    </row>
    <row r="44" spans="1:7" ht="12" customHeight="1" x14ac:dyDescent="0.2">
      <c r="A44" s="988"/>
      <c r="B44" s="162"/>
      <c r="C44" s="1002"/>
      <c r="D44" s="1830" t="s">
        <v>494</v>
      </c>
      <c r="E44" s="1831">
        <f>E41</f>
        <v>3574574</v>
      </c>
      <c r="F44" s="1830" t="s">
        <v>494</v>
      </c>
      <c r="G44" s="1831">
        <f>G41</f>
        <v>3185722</v>
      </c>
    </row>
    <row r="45" spans="1:7" ht="12" customHeight="1" x14ac:dyDescent="0.2">
      <c r="A45" s="988"/>
      <c r="B45" s="162"/>
      <c r="C45" s="162"/>
      <c r="D45" s="1832" t="s">
        <v>1063</v>
      </c>
      <c r="E45" s="1833">
        <f>(E43/E44)</f>
        <v>1.6626596623821467E-2</v>
      </c>
      <c r="F45" s="1832" t="s">
        <v>1063</v>
      </c>
      <c r="G45" s="1833">
        <f>(G43/G44)</f>
        <v>0.14071692382448939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1" t="s">
        <v>1446</v>
      </c>
      <c r="B1" s="2311"/>
      <c r="C1" s="2311"/>
      <c r="D1" s="2311"/>
      <c r="E1" s="2311"/>
      <c r="F1" s="2311"/>
    </row>
    <row r="2" spans="1:10" x14ac:dyDescent="0.2">
      <c r="A2" s="1912" t="s">
        <v>2045</v>
      </c>
      <c r="B2" s="1873"/>
      <c r="C2" s="1912"/>
      <c r="D2" s="1873"/>
      <c r="E2" s="1873"/>
      <c r="F2" s="1874"/>
    </row>
    <row r="3" spans="1:10" x14ac:dyDescent="0.2">
      <c r="A3" s="1912" t="s">
        <v>1699</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Waverly CUSD 6</v>
      </c>
      <c r="D6" s="2315"/>
      <c r="E6" s="2315"/>
      <c r="F6" s="1877"/>
    </row>
    <row r="7" spans="1:10" ht="11.25" customHeight="1" thickBot="1" x14ac:dyDescent="0.3">
      <c r="A7" s="1875"/>
      <c r="B7" s="1876"/>
      <c r="C7" s="2316">
        <f>COVER!A13</f>
        <v>1069006026</v>
      </c>
      <c r="D7" s="2316"/>
      <c r="E7" s="2316"/>
      <c r="F7" s="1877"/>
    </row>
    <row r="8" spans="1:10" ht="25.5" customHeight="1" thickBot="1" x14ac:dyDescent="0.25">
      <c r="A8" s="1918" t="s">
        <v>2022</v>
      </c>
      <c r="B8" s="1878"/>
      <c r="C8" s="1914" t="s">
        <v>1779</v>
      </c>
      <c r="D8" s="1913" t="s">
        <v>1780</v>
      </c>
      <c r="E8" s="1915" t="s">
        <v>1447</v>
      </c>
      <c r="F8" s="1913" t="s">
        <v>1781</v>
      </c>
      <c r="H8" s="1879" t="b">
        <v>0</v>
      </c>
    </row>
    <row r="9" spans="1:10" ht="15.75" customHeight="1" x14ac:dyDescent="0.2">
      <c r="A9" s="1880" t="s">
        <v>1623</v>
      </c>
      <c r="B9" s="1881"/>
      <c r="C9" s="1882"/>
      <c r="D9" s="1882"/>
      <c r="E9" s="1883"/>
      <c r="F9" s="1884"/>
    </row>
    <row r="10" spans="1:10" ht="27.75" customHeight="1" x14ac:dyDescent="0.2">
      <c r="A10" s="1885" t="s">
        <v>1778</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t="s">
        <v>2077</v>
      </c>
      <c r="D13" s="1890" t="s">
        <v>2077</v>
      </c>
      <c r="E13" s="1893"/>
      <c r="F13" s="1892" t="s">
        <v>2092</v>
      </c>
      <c r="H13" s="1903">
        <f t="shared" si="0"/>
        <v>5</v>
      </c>
      <c r="I13" s="1903">
        <f t="shared" si="1"/>
        <v>5</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t="s">
        <v>2077</v>
      </c>
      <c r="D27" s="1890" t="s">
        <v>2077</v>
      </c>
      <c r="E27" s="1893"/>
      <c r="F27" s="1892" t="s">
        <v>2093</v>
      </c>
      <c r="H27" s="1903">
        <f t="shared" si="0"/>
        <v>5</v>
      </c>
      <c r="I27" s="1903">
        <f t="shared" si="1"/>
        <v>5</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2077</v>
      </c>
      <c r="D31" s="1890" t="s">
        <v>2077</v>
      </c>
      <c r="E31" s="1893"/>
      <c r="F31" s="1892" t="s">
        <v>2094</v>
      </c>
      <c r="H31" s="1903">
        <f t="shared" si="0"/>
        <v>5</v>
      </c>
      <c r="I31" s="1903">
        <f t="shared" si="1"/>
        <v>5</v>
      </c>
      <c r="J31" s="1903">
        <f t="shared" si="2"/>
        <v>0</v>
      </c>
      <c r="L31" s="1894"/>
    </row>
    <row r="32" spans="1:12" ht="12" customHeight="1" x14ac:dyDescent="0.2">
      <c r="A32" s="1888" t="s">
        <v>1621</v>
      </c>
      <c r="B32" s="1889"/>
      <c r="C32" s="1890" t="s">
        <v>2077</v>
      </c>
      <c r="D32" s="1890" t="s">
        <v>2077</v>
      </c>
      <c r="E32" s="1893"/>
      <c r="F32" s="1892" t="s">
        <v>2095</v>
      </c>
      <c r="H32" s="1903">
        <f t="shared" si="0"/>
        <v>5</v>
      </c>
      <c r="I32" s="1903">
        <f t="shared" si="1"/>
        <v>5</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20</v>
      </c>
      <c r="I34" s="1903">
        <f>SUM(I11:I32)</f>
        <v>20</v>
      </c>
      <c r="J34" s="1903">
        <f>SUM(J11:J32)</f>
        <v>0</v>
      </c>
      <c r="K34" s="1903">
        <f>SUM(H34:J34)</f>
        <v>40</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E16" sqref="E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Waverly CUSD 6</v>
      </c>
      <c r="J6" s="2336"/>
      <c r="Q6" s="1686"/>
    </row>
    <row r="7" spans="1:17" x14ac:dyDescent="0.2">
      <c r="A7" s="2337" t="s">
        <v>924</v>
      </c>
      <c r="B7" s="2338"/>
      <c r="C7" s="2338"/>
      <c r="D7" s="2338"/>
      <c r="E7" s="2339"/>
      <c r="F7" s="1018"/>
      <c r="G7" s="1010"/>
      <c r="H7" s="1017" t="s">
        <v>390</v>
      </c>
      <c r="I7" s="2340">
        <f>COVER!A13</f>
        <v>1069006026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1700</v>
      </c>
      <c r="F9" s="1024"/>
      <c r="G9" s="1024"/>
      <c r="H9" s="1921" t="s">
        <v>1701</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117833</v>
      </c>
      <c r="F12" s="1040"/>
      <c r="G12" s="1834">
        <f t="shared" ref="G12:G18" si="0">SUM(E12:F12)</f>
        <v>117833</v>
      </c>
      <c r="H12" s="1041">
        <v>117913</v>
      </c>
      <c r="I12" s="1040"/>
      <c r="J12" s="1834">
        <f t="shared" ref="J12:J18" si="1">SUM(H12:I12)</f>
        <v>117913</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2943</v>
      </c>
      <c r="F16" s="1040"/>
      <c r="G16" s="1834">
        <f t="shared" si="0"/>
        <v>2943</v>
      </c>
      <c r="H16" s="1041">
        <v>3000</v>
      </c>
      <c r="I16" s="1040"/>
      <c r="J16" s="1834">
        <f t="shared" si="1"/>
        <v>3000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120776</v>
      </c>
      <c r="F19" s="1836">
        <f t="shared" si="2"/>
        <v>0</v>
      </c>
      <c r="G19" s="1836">
        <f t="shared" si="2"/>
        <v>120776</v>
      </c>
      <c r="H19" s="1836">
        <f t="shared" si="2"/>
        <v>120913</v>
      </c>
      <c r="I19" s="1836">
        <f t="shared" si="2"/>
        <v>0</v>
      </c>
      <c r="J19" s="1836">
        <f t="shared" si="2"/>
        <v>120913</v>
      </c>
    </row>
    <row r="20" spans="1:10" ht="13.5" thickTop="1" x14ac:dyDescent="0.2">
      <c r="A20" s="1036">
        <v>9</v>
      </c>
      <c r="B20" s="2347" t="s">
        <v>1702</v>
      </c>
      <c r="C20" s="2347"/>
      <c r="D20" s="2348"/>
      <c r="E20" s="1047"/>
      <c r="F20" s="1047"/>
      <c r="G20" s="1047"/>
      <c r="H20" s="1047"/>
      <c r="I20" s="1047"/>
      <c r="J20" s="1837">
        <f>IF(AND(G19&gt;0,J19&gt;0),(((J19-G19)/G19)),"Enter Budget Data")</f>
        <v>1.1343313241041267E-3</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1942</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topLeftCell="B1" zoomScale="110" zoomScaleNormal="110" workbookViewId="0">
      <selection activeCell="B17" sqref="B17"/>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2100</v>
      </c>
    </row>
    <row r="6" spans="1:2" x14ac:dyDescent="0.2">
      <c r="A6" s="1069">
        <v>2</v>
      </c>
      <c r="B6" s="329" t="s">
        <v>2101</v>
      </c>
    </row>
    <row r="7" spans="1:2" x14ac:dyDescent="0.2">
      <c r="A7" s="1069">
        <v>3</v>
      </c>
      <c r="B7" s="329" t="s">
        <v>2102</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Waverly CUSD 6</v>
      </c>
    </row>
    <row r="65" spans="2:2" x14ac:dyDescent="0.2">
      <c r="B65" s="1071">
        <f>COVER!A13</f>
        <v>1069006026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9"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1969</v>
      </c>
      <c r="C4" s="162" t="s">
        <v>1231</v>
      </c>
      <c r="D4" s="169" t="s">
        <v>10</v>
      </c>
      <c r="E4" s="170" t="s">
        <v>22</v>
      </c>
    </row>
    <row r="5" spans="1:5" x14ac:dyDescent="0.2">
      <c r="A5" s="168" t="s">
        <v>1971</v>
      </c>
      <c r="C5" s="162" t="s">
        <v>1231</v>
      </c>
      <c r="D5" s="169" t="s">
        <v>10</v>
      </c>
      <c r="E5" s="170" t="s">
        <v>22</v>
      </c>
    </row>
    <row r="6" spans="1:5" x14ac:dyDescent="0.2">
      <c r="A6" s="168" t="s">
        <v>1970</v>
      </c>
      <c r="C6" s="162" t="s">
        <v>1231</v>
      </c>
      <c r="D6" s="167" t="s">
        <v>11</v>
      </c>
      <c r="E6" s="170" t="s">
        <v>998</v>
      </c>
    </row>
    <row r="7" spans="1:5" x14ac:dyDescent="0.2">
      <c r="A7" s="168" t="s">
        <v>1972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1973</v>
      </c>
      <c r="C11" s="162" t="s">
        <v>1231</v>
      </c>
      <c r="D11" s="169" t="s">
        <v>14</v>
      </c>
      <c r="E11" s="170" t="s">
        <v>1218</v>
      </c>
    </row>
    <row r="12" spans="1:5" x14ac:dyDescent="0.2">
      <c r="B12" s="169" t="s">
        <v>1974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1975</v>
      </c>
      <c r="C15" s="162" t="s">
        <v>1231</v>
      </c>
      <c r="D15" s="169" t="s">
        <v>17</v>
      </c>
      <c r="E15" s="170" t="s">
        <v>657</v>
      </c>
    </row>
    <row r="16" spans="1:5" x14ac:dyDescent="0.2">
      <c r="A16" s="172"/>
      <c r="B16" s="162" t="s">
        <v>1976</v>
      </c>
      <c r="C16" s="162" t="s">
        <v>1231</v>
      </c>
      <c r="D16" s="169" t="s">
        <v>702</v>
      </c>
      <c r="E16" s="170" t="s">
        <v>1100</v>
      </c>
    </row>
    <row r="17" spans="1:5" x14ac:dyDescent="0.2">
      <c r="B17" s="167" t="s">
        <v>1045</v>
      </c>
      <c r="C17" s="162" t="s">
        <v>1231</v>
      </c>
    </row>
    <row r="18" spans="1:5" x14ac:dyDescent="0.2">
      <c r="B18" s="167" t="s">
        <v>1982</v>
      </c>
      <c r="D18" s="169" t="s">
        <v>18</v>
      </c>
      <c r="E18" s="170" t="s">
        <v>1101</v>
      </c>
    </row>
    <row r="19" spans="1:5" x14ac:dyDescent="0.2">
      <c r="A19" s="168" t="s">
        <v>1161</v>
      </c>
      <c r="C19" s="162" t="s">
        <v>1231</v>
      </c>
      <c r="D19" s="169"/>
      <c r="E19" s="171"/>
    </row>
    <row r="20" spans="1:5" x14ac:dyDescent="0.2">
      <c r="B20" s="167" t="s">
        <v>1977</v>
      </c>
      <c r="C20" s="162" t="s">
        <v>1231</v>
      </c>
      <c r="D20" s="169" t="s">
        <v>19</v>
      </c>
      <c r="E20" s="170" t="s">
        <v>53</v>
      </c>
    </row>
    <row r="21" spans="1:5" x14ac:dyDescent="0.2">
      <c r="B21" s="167" t="s">
        <v>1978</v>
      </c>
      <c r="C21" s="162" t="s">
        <v>1231</v>
      </c>
      <c r="D21" s="169" t="s">
        <v>20</v>
      </c>
      <c r="E21" s="170" t="s">
        <v>1707</v>
      </c>
    </row>
    <row r="22" spans="1:5" x14ac:dyDescent="0.2">
      <c r="A22" s="168"/>
      <c r="B22" s="162" t="s">
        <v>1966</v>
      </c>
      <c r="C22" s="162" t="s">
        <v>1231</v>
      </c>
      <c r="D22" s="167" t="s">
        <v>1968</v>
      </c>
      <c r="E22" s="1859" t="s">
        <v>1708</v>
      </c>
    </row>
    <row r="23" spans="1:5" x14ac:dyDescent="0.2">
      <c r="A23" s="168"/>
      <c r="B23" s="162" t="s">
        <v>1967</v>
      </c>
      <c r="D23" s="167" t="s">
        <v>658</v>
      </c>
      <c r="E23" s="1859" t="s">
        <v>1016</v>
      </c>
    </row>
    <row r="24" spans="1:5" x14ac:dyDescent="0.2">
      <c r="A24" s="168" t="s">
        <v>1706</v>
      </c>
      <c r="C24" s="162" t="s">
        <v>1231</v>
      </c>
      <c r="D24" s="167" t="s">
        <v>1460</v>
      </c>
      <c r="E24" s="170" t="s">
        <v>1017</v>
      </c>
    </row>
    <row r="25" spans="1:5" x14ac:dyDescent="0.2">
      <c r="A25" s="168" t="s">
        <v>1979</v>
      </c>
      <c r="C25" s="162" t="s">
        <v>1231</v>
      </c>
      <c r="D25" s="169" t="s">
        <v>21</v>
      </c>
      <c r="E25" s="170" t="s">
        <v>1102</v>
      </c>
    </row>
    <row r="26" spans="1:5" x14ac:dyDescent="0.2">
      <c r="A26" s="168" t="s">
        <v>1980</v>
      </c>
      <c r="C26" s="162" t="s">
        <v>1231</v>
      </c>
      <c r="D26" s="169" t="s">
        <v>584</v>
      </c>
      <c r="E26" s="170" t="s">
        <v>1103</v>
      </c>
    </row>
    <row r="27" spans="1:5" x14ac:dyDescent="0.2">
      <c r="A27" s="168" t="s">
        <v>1981</v>
      </c>
      <c r="C27" s="162" t="s">
        <v>1231</v>
      </c>
      <c r="D27" s="169" t="s">
        <v>578</v>
      </c>
      <c r="E27" s="170" t="s">
        <v>704</v>
      </c>
    </row>
    <row r="28" spans="1:5" x14ac:dyDescent="0.2">
      <c r="A28" s="168" t="s">
        <v>1983</v>
      </c>
      <c r="D28" s="169" t="s">
        <v>705</v>
      </c>
      <c r="E28" s="170" t="s">
        <v>1433</v>
      </c>
    </row>
    <row r="29" spans="1:5" x14ac:dyDescent="0.2">
      <c r="A29" s="168" t="s">
        <v>1984</v>
      </c>
      <c r="D29" s="169" t="s">
        <v>1461</v>
      </c>
      <c r="E29" s="170" t="s">
        <v>1442</v>
      </c>
    </row>
    <row r="30" spans="1:5" x14ac:dyDescent="0.2">
      <c r="A30" s="173" t="s">
        <v>1985</v>
      </c>
      <c r="C30" s="162" t="s">
        <v>1231</v>
      </c>
      <c r="D30" s="169" t="s">
        <v>42</v>
      </c>
      <c r="E30" s="170" t="s">
        <v>1039</v>
      </c>
    </row>
    <row r="31" spans="1:5" x14ac:dyDescent="0.2">
      <c r="A31" s="168" t="s">
        <v>1602</v>
      </c>
      <c r="C31" s="162" t="s">
        <v>1231</v>
      </c>
      <c r="D31" s="167"/>
      <c r="E31" s="171"/>
    </row>
    <row r="32" spans="1:5" x14ac:dyDescent="0.2">
      <c r="B32" s="167" t="s">
        <v>1986</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1705</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2016</v>
      </c>
    </row>
    <row r="45" spans="1:5" ht="6.75" customHeight="1" x14ac:dyDescent="0.2">
      <c r="A45" s="187"/>
      <c r="B45" s="186"/>
    </row>
    <row r="46" spans="1:5" x14ac:dyDescent="0.2">
      <c r="A46" s="185" t="s">
        <v>1041</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1782</v>
      </c>
    </row>
    <row r="17" spans="1:2" ht="6" customHeight="1" x14ac:dyDescent="0.2"/>
    <row r="18" spans="1:2" ht="24.75" customHeight="1" x14ac:dyDescent="0.2">
      <c r="A18" s="2354" t="s">
        <v>1783</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4" r:id="rId6">
          <objectPr defaultSize="0" r:id="rId7">
            <anchor moveWithCells="1">
              <from>
                <xdr:col>1</xdr:col>
                <xdr:colOff>1047750</xdr:colOff>
                <xdr:row>0</xdr:row>
                <xdr:rowOff>161925</xdr:rowOff>
              </from>
              <to>
                <xdr:col>1</xdr:col>
                <xdr:colOff>1962150</xdr:colOff>
                <xdr:row>5</xdr:row>
                <xdr:rowOff>38100</xdr:rowOff>
              </to>
            </anchor>
          </objectPr>
        </oleObject>
      </mc:Choice>
      <mc:Fallback>
        <oleObject progId="Acrobat Document" dvAspect="DVASPECT_ICON" shapeId="35844" r:id="rId6"/>
      </mc:Fallback>
    </mc:AlternateContent>
    <mc:AlternateContent xmlns:mc="http://schemas.openxmlformats.org/markup-compatibility/2006">
      <mc:Choice Requires="x14">
        <oleObject progId="Acrobat Document" dvAspect="DVASPECT_ICON" shapeId="35845" r:id="rId8">
          <objectPr defaultSize="0" r:id="rId9">
            <anchor moveWithCells="1">
              <from>
                <xdr:col>1</xdr:col>
                <xdr:colOff>2076450</xdr:colOff>
                <xdr:row>1</xdr:row>
                <xdr:rowOff>9525</xdr:rowOff>
              </from>
              <to>
                <xdr:col>1</xdr:col>
                <xdr:colOff>2990850</xdr:colOff>
                <xdr:row>5</xdr:row>
                <xdr:rowOff>47625</xdr:rowOff>
              </to>
            </anchor>
          </objectPr>
        </oleObject>
      </mc:Choice>
      <mc:Fallback>
        <oleObject progId="Acrobat Document" dvAspect="DVASPECT_ICON" shapeId="35845"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1789</v>
      </c>
      <c r="B1" s="2356"/>
      <c r="C1" s="2356"/>
      <c r="D1" s="2356"/>
      <c r="E1" s="2356"/>
      <c r="F1" s="2357"/>
    </row>
    <row r="2" spans="1:8" ht="45" customHeight="1" x14ac:dyDescent="0.2">
      <c r="A2" s="2365" t="s">
        <v>1790</v>
      </c>
      <c r="B2" s="2366"/>
      <c r="C2" s="2366"/>
      <c r="D2" s="2366"/>
      <c r="E2" s="2366"/>
      <c r="F2" s="2367"/>
      <c r="G2" s="1075"/>
      <c r="H2" s="1075"/>
    </row>
    <row r="3" spans="1:8" ht="57" customHeight="1" x14ac:dyDescent="0.2">
      <c r="A3" s="2368" t="s">
        <v>1785</v>
      </c>
      <c r="B3" s="2369"/>
      <c r="C3" s="2369"/>
      <c r="D3" s="2369"/>
      <c r="E3" s="2369"/>
      <c r="F3" s="2370"/>
      <c r="G3" s="1075"/>
      <c r="H3" s="1075"/>
    </row>
    <row r="4" spans="1:8" ht="14.25" customHeight="1" x14ac:dyDescent="0.2">
      <c r="A4" s="2374" t="s">
        <v>2053</v>
      </c>
      <c r="B4" s="2375"/>
      <c r="C4" s="2375"/>
      <c r="D4" s="2375"/>
      <c r="E4" s="2375"/>
      <c r="F4" s="2376"/>
      <c r="G4" s="1075"/>
      <c r="H4" s="1075"/>
    </row>
    <row r="5" spans="1:8" ht="14.25" customHeight="1" x14ac:dyDescent="0.2">
      <c r="A5" s="2377" t="s">
        <v>2054</v>
      </c>
      <c r="B5" s="2378"/>
      <c r="C5" s="2378"/>
      <c r="D5" s="2378"/>
      <c r="E5" s="2378"/>
      <c r="F5" s="2379"/>
      <c r="G5" s="1075"/>
      <c r="H5" s="1075"/>
    </row>
    <row r="6" spans="1:8" s="1076" customFormat="1" ht="41.25" customHeight="1" x14ac:dyDescent="0.2">
      <c r="A6" s="2371" t="s">
        <v>1791</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3711775</v>
      </c>
      <c r="C8" s="1838">
        <f>'Acct Summary 7-8'!D8</f>
        <v>420816</v>
      </c>
      <c r="D8" s="1838">
        <f>'Acct Summary 7-8'!F8</f>
        <v>375051</v>
      </c>
      <c r="E8" s="1838">
        <f>'Acct Summary 7-8'!I8</f>
        <v>27134</v>
      </c>
      <c r="F8" s="1838">
        <f>SUM(B8:E8)</f>
        <v>4534776</v>
      </c>
    </row>
    <row r="9" spans="1:8" s="1080" customFormat="1" ht="14.25" customHeight="1" thickBot="1" x14ac:dyDescent="0.25">
      <c r="A9" s="1079" t="s">
        <v>1436</v>
      </c>
      <c r="B9" s="1839">
        <f>'Acct Summary 7-8'!C17</f>
        <v>3133115</v>
      </c>
      <c r="C9" s="1839">
        <f>'Acct Summary 7-8'!D17</f>
        <v>289481</v>
      </c>
      <c r="D9" s="1839">
        <f>'Acct Summary 7-8'!F17</f>
        <v>263664</v>
      </c>
      <c r="E9" s="1838"/>
      <c r="F9" s="1838">
        <f>SUM(B9:E9)</f>
        <v>3686260</v>
      </c>
    </row>
    <row r="10" spans="1:8" s="1080" customFormat="1" ht="14.25" thickTop="1" thickBot="1" x14ac:dyDescent="0.25">
      <c r="A10" s="1081" t="s">
        <v>1437</v>
      </c>
      <c r="B10" s="1840">
        <f>(B8-B9)</f>
        <v>578660</v>
      </c>
      <c r="C10" s="1840">
        <f>(C8-C9)</f>
        <v>131335</v>
      </c>
      <c r="D10" s="1840">
        <f>(D8-D9)</f>
        <v>111387</v>
      </c>
      <c r="E10" s="1839">
        <f>(E8-E9)</f>
        <v>27134</v>
      </c>
      <c r="F10" s="1841">
        <f>SUM(F8-F9)</f>
        <v>848516</v>
      </c>
    </row>
    <row r="11" spans="1:8" s="1080" customFormat="1" ht="14.25" thickTop="1" thickBot="1" x14ac:dyDescent="0.25">
      <c r="A11" s="1082" t="s">
        <v>1784</v>
      </c>
      <c r="B11" s="1842">
        <f>'Acct Summary 7-8'!C81</f>
        <v>1777558</v>
      </c>
      <c r="C11" s="1842">
        <f>'Acct Summary 7-8'!D81</f>
        <v>545890</v>
      </c>
      <c r="D11" s="1842">
        <f>'Acct Summary 7-8'!F81</f>
        <v>557582</v>
      </c>
      <c r="E11" s="1842">
        <f>'Acct Summary 7-8'!I81</f>
        <v>285905</v>
      </c>
      <c r="F11" s="1843">
        <f>SUM(B11:E11)</f>
        <v>3166935</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1786</v>
      </c>
      <c r="B16" s="2358"/>
      <c r="C16" s="2358"/>
      <c r="D16" s="2358"/>
      <c r="E16" s="2358"/>
      <c r="F16" s="310" t="s">
        <v>1438</v>
      </c>
    </row>
    <row r="17" spans="1:6" hidden="1" x14ac:dyDescent="0.2">
      <c r="A17" s="316" t="s">
        <v>1787</v>
      </c>
      <c r="F17" s="1087" t="s">
        <v>1439</v>
      </c>
    </row>
    <row r="18" spans="1:6" hidden="1" x14ac:dyDescent="0.2">
      <c r="A18" s="316" t="s">
        <v>1788</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1792</v>
      </c>
      <c r="B4" s="1154"/>
      <c r="C4" s="1155"/>
      <c r="D4" s="1156"/>
    </row>
    <row r="5" spans="1:4" ht="21" customHeight="1" x14ac:dyDescent="0.2">
      <c r="A5" s="1149"/>
      <c r="B5" s="1150">
        <v>1</v>
      </c>
      <c r="C5" s="1151" t="s">
        <v>1944</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89" t="s">
        <v>1796</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2017</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1069006026</v>
      </c>
    </row>
    <row r="3" spans="1:2" x14ac:dyDescent="0.2">
      <c r="A3" t="s">
        <v>1013</v>
      </c>
      <c r="B3" s="138" t="str">
        <f>COVER!A15</f>
        <v>Morgan</v>
      </c>
    </row>
    <row r="4" spans="1:2" x14ac:dyDescent="0.2">
      <c r="A4" t="s">
        <v>1064</v>
      </c>
      <c r="B4" s="138" t="str">
        <f>COVER!A17</f>
        <v>Waverly CUSD 6</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066-004750</v>
      </c>
    </row>
    <row r="16" spans="1:2" x14ac:dyDescent="0.2">
      <c r="A16" t="s">
        <v>442</v>
      </c>
      <c r="B16" s="138" t="str">
        <f>COVER!T13</f>
        <v>Hughes, Cameron &amp; Company, LLC</v>
      </c>
    </row>
    <row r="17" spans="1:2" x14ac:dyDescent="0.2">
      <c r="A17" t="s">
        <v>939</v>
      </c>
      <c r="B17" s="138" t="str">
        <f>COVER!T15</f>
        <v>Robert Cameron</v>
      </c>
    </row>
    <row r="18" spans="1:2" x14ac:dyDescent="0.2">
      <c r="A18" t="s">
        <v>1212</v>
      </c>
      <c r="B18" s="138" t="str">
        <f>COVER!T17</f>
        <v>386 S. Koke Mill Road</v>
      </c>
    </row>
    <row r="19" spans="1:2" x14ac:dyDescent="0.2">
      <c r="A19" t="s">
        <v>941</v>
      </c>
      <c r="B19" s="138" t="str">
        <f>COVER!T25</f>
        <v>rob@springfieldcpa.net</v>
      </c>
    </row>
    <row r="20" spans="1:2" x14ac:dyDescent="0.2">
      <c r="A20" t="s">
        <v>942</v>
      </c>
      <c r="B20" s="138" t="str">
        <f>COVER!T19</f>
        <v>Springfield</v>
      </c>
    </row>
    <row r="21" spans="1:2" x14ac:dyDescent="0.2">
      <c r="A21" t="s">
        <v>500</v>
      </c>
      <c r="B21" s="138" t="str">
        <f>COVER!X19</f>
        <v>IL</v>
      </c>
    </row>
    <row r="22" spans="1:2" x14ac:dyDescent="0.2">
      <c r="A22" t="s">
        <v>943</v>
      </c>
      <c r="B22" s="138">
        <f>COVER!Z19</f>
        <v>62711</v>
      </c>
    </row>
    <row r="23" spans="1:2" x14ac:dyDescent="0.2">
      <c r="A23" t="s">
        <v>1214</v>
      </c>
      <c r="B23" s="138" t="str">
        <f>COVER!T21</f>
        <v>(217) 787-8822</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37622</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601378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1779292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1734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1734</v>
      </c>
      <c r="C91" s="2" t="s">
        <v>594</v>
      </c>
      <c r="D91" s="2" t="str">
        <f t="shared" si="0"/>
        <v>Error?</v>
      </c>
    </row>
    <row r="92" spans="1:4" x14ac:dyDescent="0.2">
      <c r="A92" s="5">
        <v>31</v>
      </c>
      <c r="B92" s="138">
        <f>'Assets-Liab 5-6'!C39</f>
        <v>1777558</v>
      </c>
      <c r="D92" s="2" t="str">
        <f t="shared" si="0"/>
        <v>Error?</v>
      </c>
    </row>
    <row r="93" spans="1:4" x14ac:dyDescent="0.2">
      <c r="A93" s="5">
        <v>32</v>
      </c>
      <c r="B93" s="138">
        <f>'Assets-Liab 5-6'!C41</f>
        <v>1779292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117165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545965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75</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75</v>
      </c>
      <c r="C122" s="2" t="s">
        <v>594</v>
      </c>
      <c r="D122" s="2" t="str">
        <f t="shared" si="0"/>
        <v>Error?</v>
      </c>
    </row>
    <row r="123" spans="1:4" x14ac:dyDescent="0.2">
      <c r="A123" s="5">
        <v>62</v>
      </c>
      <c r="B123" s="138">
        <f>'Assets-Liab 5-6'!D39</f>
        <v>545890</v>
      </c>
      <c r="D123" s="2" t="str">
        <f t="shared" si="0"/>
        <v>Error?</v>
      </c>
    </row>
    <row r="124" spans="1:4" x14ac:dyDescent="0.2">
      <c r="A124" s="5">
        <v>63</v>
      </c>
      <c r="B124" s="138">
        <f>'Assets-Liab 5-6'!D41</f>
        <v>545965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39604</v>
      </c>
      <c r="D129" s="2" t="str">
        <f t="shared" si="1"/>
        <v>Error?</v>
      </c>
    </row>
    <row r="130" spans="1:4" x14ac:dyDescent="0.2">
      <c r="A130" s="5">
        <v>69</v>
      </c>
      <c r="B130" s="138">
        <f>'Assets-Liab 5-6'!E12</f>
        <v>0</v>
      </c>
      <c r="D130" s="2" t="str">
        <f t="shared" si="1"/>
        <v>Error?</v>
      </c>
    </row>
    <row r="131" spans="1:4" x14ac:dyDescent="0.2">
      <c r="A131" s="5">
        <v>70</v>
      </c>
      <c r="B131" s="138">
        <f>'Assets-Liab 5-6'!E13</f>
        <v>190060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190060</v>
      </c>
      <c r="D140" s="2" t="str">
        <f t="shared" si="1"/>
        <v>Error?</v>
      </c>
    </row>
    <row r="141" spans="1:4" x14ac:dyDescent="0.2">
      <c r="A141" s="5">
        <v>80</v>
      </c>
      <c r="B141" s="138">
        <f>'Assets-Liab 5-6'!E41</f>
        <v>190060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87974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558622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1040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1040</v>
      </c>
      <c r="C169" s="2" t="s">
        <v>594</v>
      </c>
      <c r="D169" s="2" t="str">
        <f t="shared" si="1"/>
        <v>Error?</v>
      </c>
    </row>
    <row r="170" spans="1:4" x14ac:dyDescent="0.2">
      <c r="A170" s="5">
        <v>109</v>
      </c>
      <c r="B170" s="138">
        <f>'Assets-Liab 5-6'!F39</f>
        <v>557582</v>
      </c>
      <c r="D170" s="2" t="str">
        <f t="shared" si="1"/>
        <v>Error?</v>
      </c>
    </row>
    <row r="171" spans="1:4" x14ac:dyDescent="0.2">
      <c r="A171" s="5">
        <v>110</v>
      </c>
      <c r="B171" s="138">
        <f>'Assets-Liab 5-6'!F41</f>
        <v>558622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63628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-66</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-66</v>
      </c>
      <c r="C188" s="2" t="s">
        <v>594</v>
      </c>
      <c r="D188" s="2" t="str">
        <f t="shared" si="1"/>
        <v>Error?</v>
      </c>
    </row>
    <row r="189" spans="1:4" x14ac:dyDescent="0.2">
      <c r="A189" s="5">
        <v>128</v>
      </c>
      <c r="B189" s="138">
        <f>'Assets-Liab 5-6'!G39</f>
        <v>63694</v>
      </c>
      <c r="D189" s="2" t="str">
        <f t="shared" si="1"/>
        <v>Error?</v>
      </c>
    </row>
    <row r="190" spans="1:4" x14ac:dyDescent="0.2">
      <c r="A190" s="5">
        <v>129</v>
      </c>
      <c r="B190" s="138">
        <f>'Assets-Liab 5-6'!G41</f>
        <v>63628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273334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273334</v>
      </c>
      <c r="D212" s="2" t="str">
        <f t="shared" si="2"/>
        <v>Error?</v>
      </c>
    </row>
    <row r="213" spans="1:4" x14ac:dyDescent="0.2">
      <c r="A213" s="12">
        <v>152</v>
      </c>
      <c r="B213" s="138">
        <f>'Assets-Liab 5-6'!H41</f>
        <v>273334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23000</v>
      </c>
      <c r="D273" s="2" t="str">
        <f t="shared" si="3"/>
        <v>Error?</v>
      </c>
    </row>
    <row r="274" spans="1:4" x14ac:dyDescent="0.2">
      <c r="A274" s="5">
        <v>213</v>
      </c>
      <c r="B274" s="138">
        <f>'Assets-Liab 5-6'!M17</f>
        <v>8151548</v>
      </c>
      <c r="D274" s="2" t="str">
        <f t="shared" si="3"/>
        <v>Error?</v>
      </c>
    </row>
    <row r="275" spans="1:4" x14ac:dyDescent="0.2">
      <c r="A275" s="5">
        <v>214</v>
      </c>
      <c r="B275" s="138">
        <f>'Assets-Liab 5-6'!M18</f>
        <v>169200</v>
      </c>
      <c r="D275" s="2" t="str">
        <f t="shared" si="3"/>
        <v>Error?</v>
      </c>
    </row>
    <row r="276" spans="1:4" x14ac:dyDescent="0.2">
      <c r="A276" s="5">
        <v>215</v>
      </c>
      <c r="B276" s="138">
        <f>'Assets-Liab 5-6'!M19</f>
        <v>1023690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9367438</v>
      </c>
      <c r="C279" s="2" t="s">
        <v>594</v>
      </c>
      <c r="D279" s="2" t="str">
        <f t="shared" si="3"/>
        <v>Error?</v>
      </c>
    </row>
    <row r="280" spans="1:4" x14ac:dyDescent="0.2">
      <c r="A280" s="5">
        <v>219</v>
      </c>
      <c r="B280" s="138">
        <f>'Assets-Liab 5-6'!M40</f>
        <v>9367438</v>
      </c>
      <c r="D280" s="2" t="str">
        <f t="shared" si="3"/>
        <v>Error?</v>
      </c>
    </row>
    <row r="281" spans="1:4" x14ac:dyDescent="0.2">
      <c r="A281" s="5">
        <v>220</v>
      </c>
      <c r="B281" s="138">
        <f>'Assets-Liab 5-6'!M41</f>
        <v>9367438</v>
      </c>
      <c r="C281" s="2" t="s">
        <v>594</v>
      </c>
      <c r="D281" s="2" t="str">
        <f t="shared" si="3"/>
        <v>Error?</v>
      </c>
    </row>
    <row r="282" spans="1:4" x14ac:dyDescent="0.2">
      <c r="A282" s="5">
        <v>221</v>
      </c>
      <c r="B282" s="138">
        <f>'Assets-Liab 5-6'!N21</f>
        <v>190060</v>
      </c>
      <c r="D282" s="2" t="str">
        <f t="shared" si="3"/>
        <v>Error?</v>
      </c>
    </row>
    <row r="283" spans="1:4" x14ac:dyDescent="0.2">
      <c r="A283" s="5">
        <v>222</v>
      </c>
      <c r="B283" s="138">
        <f>'Assets-Liab 5-6'!N22</f>
        <v>2974940</v>
      </c>
      <c r="D283" s="2" t="str">
        <f t="shared" si="3"/>
        <v>Error?</v>
      </c>
    </row>
    <row r="284" spans="1:4" x14ac:dyDescent="0.2">
      <c r="A284" s="5">
        <v>223</v>
      </c>
      <c r="B284" s="138">
        <f>'Assets-Liab 5-6'!N23</f>
        <v>3165000</v>
      </c>
      <c r="C284" s="2" t="s">
        <v>594</v>
      </c>
      <c r="D284" s="2" t="str">
        <f t="shared" si="3"/>
        <v>Error?</v>
      </c>
    </row>
    <row r="285" spans="1:4" x14ac:dyDescent="0.2">
      <c r="A285" s="5">
        <v>224</v>
      </c>
      <c r="B285" s="138">
        <f>'Assets-Liab 5-6'!N36</f>
        <v>3165000</v>
      </c>
      <c r="D285" s="2" t="str">
        <f t="shared" si="3"/>
        <v>Error?</v>
      </c>
    </row>
    <row r="286" spans="1:4" x14ac:dyDescent="0.2">
      <c r="A286" s="10">
        <v>225</v>
      </c>
      <c r="D286" s="2" t="str">
        <f t="shared" si="3"/>
        <v>OK</v>
      </c>
    </row>
    <row r="287" spans="1:4" x14ac:dyDescent="0.2">
      <c r="A287" s="5">
        <v>226</v>
      </c>
      <c r="B287" s="138">
        <f>'Assets-Liab 5-6'!N37</f>
        <v>3165000</v>
      </c>
      <c r="C287" s="2" t="s">
        <v>594</v>
      </c>
      <c r="D287" s="2" t="str">
        <f t="shared" si="3"/>
        <v>Error?</v>
      </c>
    </row>
    <row r="288" spans="1:4" x14ac:dyDescent="0.2">
      <c r="A288" s="5">
        <v>227</v>
      </c>
      <c r="B288" s="138">
        <f>'Assets-Liab 5-6'!N41</f>
        <v>3165000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1426871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10915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72681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1856200</v>
      </c>
      <c r="C720" s="2" t="s">
        <v>594</v>
      </c>
      <c r="D720" s="2" t="str">
        <f t="shared" si="10"/>
        <v>Error?</v>
      </c>
    </row>
    <row r="721" spans="1:4" x14ac:dyDescent="0.2">
      <c r="A721" s="5">
        <v>660</v>
      </c>
      <c r="B721" s="138">
        <f>'Expenditures 15-22'!C36</f>
        <v>63472</v>
      </c>
      <c r="D721" s="2" t="str">
        <f t="shared" si="10"/>
        <v>Error?</v>
      </c>
    </row>
    <row r="722" spans="1:4" x14ac:dyDescent="0.2">
      <c r="A722" s="5">
        <v>661</v>
      </c>
      <c r="B722" s="138">
        <f>'Expenditures 15-22'!C37</f>
        <v>17792</v>
      </c>
      <c r="D722" s="2" t="str">
        <f t="shared" si="10"/>
        <v>Error?</v>
      </c>
    </row>
    <row r="723" spans="1:4" x14ac:dyDescent="0.2">
      <c r="A723" s="5">
        <v>662</v>
      </c>
      <c r="B723" s="138">
        <f>'Expenditures 15-22'!C38</f>
        <v>28289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109553</v>
      </c>
      <c r="C727" s="2" t="s">
        <v>594</v>
      </c>
      <c r="D727" s="2" t="str">
        <f t="shared" si="10"/>
        <v>Error?</v>
      </c>
    </row>
    <row r="728" spans="1:4" x14ac:dyDescent="0.2">
      <c r="A728" s="5">
        <v>667</v>
      </c>
      <c r="B728" s="138">
        <f>'Expenditures 15-22'!C44</f>
        <v>12343</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12343</v>
      </c>
      <c r="C731" s="2" t="s">
        <v>594</v>
      </c>
      <c r="D731" s="2" t="str">
        <f t="shared" si="10"/>
        <v>Error?</v>
      </c>
    </row>
    <row r="732" spans="1:4" x14ac:dyDescent="0.2">
      <c r="A732" s="5">
        <v>671</v>
      </c>
      <c r="B732" s="138">
        <f>'Expenditures 15-22'!C49</f>
        <v>3820</v>
      </c>
      <c r="D732" s="2" t="str">
        <f t="shared" si="10"/>
        <v>Error?</v>
      </c>
    </row>
    <row r="733" spans="1:4" x14ac:dyDescent="0.2">
      <c r="A733" s="5">
        <v>672</v>
      </c>
      <c r="B733" s="138">
        <f>'Expenditures 15-22'!C50</f>
        <v>112088</v>
      </c>
      <c r="D733" s="2" t="str">
        <f t="shared" si="10"/>
        <v>Error?</v>
      </c>
    </row>
    <row r="734" spans="1:4" x14ac:dyDescent="0.2">
      <c r="A734" s="5">
        <v>673</v>
      </c>
      <c r="B734" s="138">
        <f>'Expenditures 15-22'!C53</f>
        <v>115908</v>
      </c>
      <c r="C734" s="2" t="s">
        <v>594</v>
      </c>
      <c r="D734" s="2" t="str">
        <f t="shared" si="10"/>
        <v>Error?</v>
      </c>
    </row>
    <row r="735" spans="1:4" x14ac:dyDescent="0.2">
      <c r="A735" s="5">
        <v>674</v>
      </c>
      <c r="B735" s="138">
        <f>'Expenditures 15-22'!C55</f>
        <v>126857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126857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38735</v>
      </c>
      <c r="D739" s="2" t="str">
        <f t="shared" si="10"/>
        <v>Error?</v>
      </c>
    </row>
    <row r="740" spans="1:4" x14ac:dyDescent="0.2">
      <c r="A740" s="5">
        <v>679</v>
      </c>
      <c r="B740" s="138">
        <f>'Expenditures 15-22'!C61</f>
        <v>66434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69590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174759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539420</v>
      </c>
      <c r="C755" s="2" t="s">
        <v>594</v>
      </c>
      <c r="D755" s="2" t="str">
        <f t="shared" si="10"/>
        <v>Error?</v>
      </c>
    </row>
    <row r="756" spans="1:4" x14ac:dyDescent="0.2">
      <c r="A756" s="5">
        <v>695</v>
      </c>
      <c r="B756" s="138">
        <f>'Expenditures 15-22'!C75</f>
        <v>873</v>
      </c>
      <c r="D756" s="2" t="str">
        <f t="shared" si="10"/>
        <v>Error?</v>
      </c>
    </row>
    <row r="757" spans="1:4" x14ac:dyDescent="0.2">
      <c r="A757" s="5">
        <v>696</v>
      </c>
      <c r="B757" s="138">
        <f>'Expenditures 15-22'!C114</f>
        <v>2396493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77562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199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2868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135177</v>
      </c>
      <c r="C778" s="2" t="s">
        <v>594</v>
      </c>
      <c r="D778" s="2" t="str">
        <f t="shared" si="11"/>
        <v>Error?</v>
      </c>
    </row>
    <row r="779" spans="1:4" x14ac:dyDescent="0.2">
      <c r="A779" s="5">
        <v>718</v>
      </c>
      <c r="B779" s="138">
        <f>'Expenditures 15-22'!D36</f>
        <v>6929</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6956</v>
      </c>
      <c r="C785" s="2" t="s">
        <v>594</v>
      </c>
      <c r="D785" s="2" t="str">
        <f t="shared" si="11"/>
        <v>Error?</v>
      </c>
    </row>
    <row r="786" spans="1:4" x14ac:dyDescent="0.2">
      <c r="A786" s="5">
        <v>725</v>
      </c>
      <c r="B786" s="138">
        <f>'Expenditures 15-22'!D44</f>
        <v>1221</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1221</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2999</v>
      </c>
      <c r="D791" s="2" t="str">
        <f t="shared" si="11"/>
        <v>Error?</v>
      </c>
    </row>
    <row r="792" spans="1:4" x14ac:dyDescent="0.2">
      <c r="A792" s="5">
        <v>731</v>
      </c>
      <c r="B792" s="138">
        <f>'Expenditures 15-22'!D53</f>
        <v>2999</v>
      </c>
      <c r="C792" s="2" t="s">
        <v>594</v>
      </c>
      <c r="D792" s="2" t="str">
        <f t="shared" si="11"/>
        <v>Error?</v>
      </c>
    </row>
    <row r="793" spans="1:4" x14ac:dyDescent="0.2">
      <c r="A793" s="5">
        <v>732</v>
      </c>
      <c r="B793" s="138">
        <f>'Expenditures 15-22'!D55</f>
        <v>17713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17713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25</v>
      </c>
      <c r="D797" s="2" t="str">
        <f t="shared" si="11"/>
        <v>Error?</v>
      </c>
    </row>
    <row r="798" spans="1:4" x14ac:dyDescent="0.2">
      <c r="A798" s="5">
        <v>737</v>
      </c>
      <c r="B798" s="138">
        <f>'Expenditures 15-22'!D61</f>
        <v>5517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14137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19679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48568</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183745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25598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101524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20220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20220</v>
      </c>
      <c r="C843" s="2" t="s">
        <v>594</v>
      </c>
      <c r="D843" s="2" t="str">
        <f t="shared" si="12"/>
        <v>Error?</v>
      </c>
    </row>
    <row r="844" spans="1:4" x14ac:dyDescent="0.2">
      <c r="A844" s="5">
        <v>783</v>
      </c>
      <c r="B844" s="138">
        <f>'Expenditures 15-22'!E44</f>
        <v>9908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2219</v>
      </c>
      <c r="D846" s="2" t="str">
        <f t="shared" si="12"/>
        <v>Error?</v>
      </c>
    </row>
    <row r="847" spans="1:4" x14ac:dyDescent="0.2">
      <c r="A847" s="5">
        <v>786</v>
      </c>
      <c r="B847" s="138">
        <f>'Expenditures 15-22'!E47</f>
        <v>12127</v>
      </c>
      <c r="C847" s="2" t="s">
        <v>594</v>
      </c>
      <c r="D847" s="2" t="str">
        <f t="shared" si="12"/>
        <v>Error?</v>
      </c>
    </row>
    <row r="848" spans="1:4" x14ac:dyDescent="0.2">
      <c r="A848" s="5">
        <v>787</v>
      </c>
      <c r="B848" s="138">
        <f>'Expenditures 15-22'!E49</f>
        <v>73806</v>
      </c>
      <c r="D848" s="2" t="str">
        <f t="shared" si="12"/>
        <v>Error?</v>
      </c>
    </row>
    <row r="849" spans="1:4" x14ac:dyDescent="0.2">
      <c r="A849" s="5">
        <v>788</v>
      </c>
      <c r="B849" s="138">
        <f>'Expenditures 15-22'!E50</f>
        <v>977</v>
      </c>
      <c r="D849" s="2" t="str">
        <f t="shared" si="12"/>
        <v>Error?</v>
      </c>
    </row>
    <row r="850" spans="1:4" x14ac:dyDescent="0.2">
      <c r="A850" s="5">
        <v>789</v>
      </c>
      <c r="B850" s="138">
        <f>'Expenditures 15-22'!E53</f>
        <v>74783</v>
      </c>
      <c r="C850" s="2" t="s">
        <v>594</v>
      </c>
      <c r="D850" s="2" t="str">
        <f t="shared" si="12"/>
        <v>Error?</v>
      </c>
    </row>
    <row r="851" spans="1:4" x14ac:dyDescent="0.2">
      <c r="A851" s="5">
        <v>790</v>
      </c>
      <c r="B851" s="138">
        <f>'Expenditures 15-22'!E55</f>
        <v>332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332</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9859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9859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4950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4950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122271</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223795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49840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86359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10666</v>
      </c>
      <c r="D902" s="2" t="str">
        <f t="shared" si="13"/>
        <v>Error?</v>
      </c>
    </row>
    <row r="903" spans="1:4" x14ac:dyDescent="0.2">
      <c r="A903" s="5">
        <v>842</v>
      </c>
      <c r="B903" s="138">
        <f>'Expenditures 15-22'!F45</f>
        <v>2752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13418</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1769</v>
      </c>
      <c r="D907" s="2" t="str">
        <f t="shared" si="13"/>
        <v>Error?</v>
      </c>
    </row>
    <row r="908" spans="1:4" x14ac:dyDescent="0.2">
      <c r="A908" s="5">
        <v>847</v>
      </c>
      <c r="B908" s="138">
        <f>'Expenditures 15-22'!F53</f>
        <v>1769</v>
      </c>
      <c r="C908" s="2" t="s">
        <v>594</v>
      </c>
      <c r="D908" s="2" t="str">
        <f t="shared" si="13"/>
        <v>Error?</v>
      </c>
    </row>
    <row r="909" spans="1:4" x14ac:dyDescent="0.2">
      <c r="A909" s="5">
        <v>848</v>
      </c>
      <c r="B909" s="138">
        <f>'Expenditures 15-22'!F55</f>
        <v>137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137</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6294</v>
      </c>
      <c r="D913" s="2" t="str">
        <f t="shared" si="13"/>
        <v>Error?</v>
      </c>
    </row>
    <row r="914" spans="1:4" x14ac:dyDescent="0.2">
      <c r="A914" s="5">
        <v>853</v>
      </c>
      <c r="B914" s="138">
        <f>'Expenditures 15-22'!F61</f>
        <v>9753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79957</v>
      </c>
      <c r="D916" s="2" t="str">
        <f t="shared" si="13"/>
        <v>Error?</v>
      </c>
    </row>
    <row r="917" spans="1:4" x14ac:dyDescent="0.2">
      <c r="A917" s="5">
        <v>856</v>
      </c>
      <c r="B917" s="138">
        <f>'Expenditures 15-22'!F64</f>
        <v>2943</v>
      </c>
      <c r="D917" s="2" t="str">
        <f t="shared" si="13"/>
        <v>Error?</v>
      </c>
    </row>
    <row r="918" spans="1:4" x14ac:dyDescent="0.2">
      <c r="A918" s="10">
        <v>857</v>
      </c>
      <c r="D918" s="2" t="str">
        <f t="shared" si="13"/>
        <v>OK</v>
      </c>
    </row>
    <row r="919" spans="1:4" x14ac:dyDescent="0.2">
      <c r="A919" s="5">
        <v>858</v>
      </c>
      <c r="B919" s="138">
        <f>'Expenditures 15-22'!F65</f>
        <v>98947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114271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200630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9582</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9582</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995</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995</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10577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10577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6984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6984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110891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117875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1554321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11114</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108131</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2186244</v>
      </c>
      <c r="C1108" s="2" t="s">
        <v>594</v>
      </c>
      <c r="D1108" s="2" t="str">
        <f t="shared" si="16"/>
        <v>Error?</v>
      </c>
    </row>
    <row r="1109" spans="1:4" x14ac:dyDescent="0.2">
      <c r="A1109" s="5">
        <v>1048</v>
      </c>
      <c r="B1109" s="138">
        <f>'Expenditures 15-22'!K36</f>
        <v>70401</v>
      </c>
      <c r="C1109" s="2" t="s">
        <v>594</v>
      </c>
      <c r="D1109" s="2" t="str">
        <f t="shared" si="16"/>
        <v>Error?</v>
      </c>
    </row>
    <row r="1110" spans="1:4" x14ac:dyDescent="0.2">
      <c r="A1110" s="5">
        <v>1049</v>
      </c>
      <c r="B1110" s="138">
        <f>'Expenditures 15-22'!K37</f>
        <v>17792</v>
      </c>
      <c r="C1110" s="2" t="s">
        <v>594</v>
      </c>
      <c r="D1110" s="2" t="str">
        <f t="shared" si="16"/>
        <v>Error?</v>
      </c>
    </row>
    <row r="1111" spans="1:4" x14ac:dyDescent="0.2">
      <c r="A1111" s="5">
        <v>1050</v>
      </c>
      <c r="B1111" s="138">
        <f>'Expenditures 15-22'!K38</f>
        <v>28316</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20220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136729</v>
      </c>
      <c r="C1115" s="2" t="s">
        <v>594</v>
      </c>
      <c r="D1115" s="2" t="str">
        <f t="shared" si="16"/>
        <v>Error?</v>
      </c>
    </row>
    <row r="1116" spans="1:4" x14ac:dyDescent="0.2">
      <c r="A1116" s="5">
        <v>1055</v>
      </c>
      <c r="B1116" s="138">
        <f>'Expenditures 15-22'!K44</f>
        <v>43720</v>
      </c>
      <c r="C1116" s="2" t="s">
        <v>594</v>
      </c>
      <c r="D1116" s="2" t="str">
        <f t="shared" si="16"/>
        <v>Error?</v>
      </c>
    </row>
    <row r="1117" spans="1:4" x14ac:dyDescent="0.2">
      <c r="A1117" s="5">
        <v>1056</v>
      </c>
      <c r="B1117" s="138">
        <f>'Expenditures 15-22'!K45</f>
        <v>2752</v>
      </c>
      <c r="C1117" s="2" t="s">
        <v>594</v>
      </c>
      <c r="D1117" s="2" t="str">
        <f t="shared" si="16"/>
        <v>Error?</v>
      </c>
    </row>
    <row r="1118" spans="1:4" x14ac:dyDescent="0.2">
      <c r="A1118" s="5">
        <v>1057</v>
      </c>
      <c r="B1118" s="138">
        <f>'Expenditures 15-22'!K46</f>
        <v>2219</v>
      </c>
      <c r="C1118" s="2" t="s">
        <v>594</v>
      </c>
      <c r="D1118" s="2" t="str">
        <f t="shared" si="16"/>
        <v>Error?</v>
      </c>
    </row>
    <row r="1119" spans="1:4" x14ac:dyDescent="0.2">
      <c r="A1119" s="5">
        <v>1058</v>
      </c>
      <c r="B1119" s="138">
        <f>'Expenditures 15-22'!K47</f>
        <v>48691</v>
      </c>
      <c r="C1119" s="2" t="s">
        <v>594</v>
      </c>
      <c r="D1119" s="2" t="str">
        <f t="shared" si="16"/>
        <v>Error?</v>
      </c>
    </row>
    <row r="1120" spans="1:4" x14ac:dyDescent="0.2">
      <c r="A1120" s="5">
        <v>1059</v>
      </c>
      <c r="B1120" s="138">
        <f>'Expenditures 15-22'!K49</f>
        <v>77626</v>
      </c>
      <c r="C1120" s="2" t="s">
        <v>594</v>
      </c>
      <c r="D1120" s="2" t="str">
        <f t="shared" si="16"/>
        <v>Error?</v>
      </c>
    </row>
    <row r="1121" spans="1:4" x14ac:dyDescent="0.2">
      <c r="A1121" s="5">
        <v>1060</v>
      </c>
      <c r="B1121" s="138">
        <f>'Expenditures 15-22'!K50</f>
        <v>117833</v>
      </c>
      <c r="C1121" s="2" t="s">
        <v>594</v>
      </c>
      <c r="D1121" s="2" t="str">
        <f t="shared" si="16"/>
        <v>Error?</v>
      </c>
    </row>
    <row r="1122" spans="1:4" x14ac:dyDescent="0.2">
      <c r="A1122" s="5">
        <v>1061</v>
      </c>
      <c r="B1122" s="138">
        <f>'Expenditures 15-22'!K53</f>
        <v>195459</v>
      </c>
      <c r="C1122" s="2" t="s">
        <v>594</v>
      </c>
      <c r="D1122" s="2" t="str">
        <f t="shared" si="16"/>
        <v>Error?</v>
      </c>
    </row>
    <row r="1123" spans="1:4" x14ac:dyDescent="0.2">
      <c r="A1123" s="5">
        <v>1062</v>
      </c>
      <c r="B1123" s="138">
        <f>'Expenditures 15-22'!K55</f>
        <v>145039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145039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45054</v>
      </c>
      <c r="C1127" s="2" t="s">
        <v>594</v>
      </c>
      <c r="D1127" s="2" t="str">
        <f t="shared" si="16"/>
        <v>Error?</v>
      </c>
    </row>
    <row r="1128" spans="1:4" x14ac:dyDescent="0.2">
      <c r="A1128" s="5">
        <v>1067</v>
      </c>
      <c r="B1128" s="138">
        <f>'Expenditures 15-22'!K61</f>
        <v>92558</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163684</v>
      </c>
      <c r="C1130" s="2" t="s">
        <v>594</v>
      </c>
      <c r="D1130" s="2" t="str">
        <f t="shared" si="16"/>
        <v>Error?</v>
      </c>
    </row>
    <row r="1131" spans="1:4" x14ac:dyDescent="0.2">
      <c r="A1131" s="5">
        <v>1070</v>
      </c>
      <c r="B1131" s="138">
        <f>'Expenditures 15-22'!K64</f>
        <v>2943</v>
      </c>
      <c r="C1131" s="2" t="s">
        <v>594</v>
      </c>
      <c r="D1131" s="2" t="str">
        <f t="shared" si="16"/>
        <v>Error?</v>
      </c>
    </row>
    <row r="1132" spans="1:4" x14ac:dyDescent="0.2">
      <c r="A1132" s="10">
        <v>1071</v>
      </c>
      <c r="D1132" s="2" t="str">
        <f t="shared" si="16"/>
        <v>OK</v>
      </c>
    </row>
    <row r="1133" spans="1:4" x14ac:dyDescent="0.2">
      <c r="A1133" s="5">
        <v>1072</v>
      </c>
      <c r="B1133" s="138">
        <f>'Expenditures 15-22'!K65</f>
        <v>304239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4950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4950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835107</v>
      </c>
      <c r="C1143" s="2" t="s">
        <v>594</v>
      </c>
      <c r="D1143" s="2" t="str">
        <f t="shared" si="16"/>
        <v>Error?</v>
      </c>
    </row>
    <row r="1144" spans="1:4" x14ac:dyDescent="0.2">
      <c r="A1144" s="5">
        <v>1083</v>
      </c>
      <c r="B1144" s="138">
        <f>'Expenditures 15-22'!K75</f>
        <v>873</v>
      </c>
      <c r="C1144" s="2" t="s">
        <v>594</v>
      </c>
      <c r="D1144" s="2" t="str">
        <f t="shared" si="16"/>
        <v>Error?</v>
      </c>
    </row>
    <row r="1145" spans="1:4" x14ac:dyDescent="0.2">
      <c r="A1145" s="5">
        <v>1084</v>
      </c>
      <c r="B1145" s="138">
        <f>'Expenditures 15-22'!K102</f>
        <v>110891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3133115</v>
      </c>
      <c r="C1152" s="2" t="s">
        <v>594</v>
      </c>
      <c r="D1152" s="2" t="str">
        <f t="shared" si="17"/>
        <v>Error?</v>
      </c>
    </row>
    <row r="1153" spans="1:4" x14ac:dyDescent="0.2">
      <c r="A1153" s="5">
        <v>1092</v>
      </c>
      <c r="B1153" s="138">
        <f>'Expenditures 15-22'!K115</f>
        <v>578660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93534</v>
      </c>
      <c r="D1221" s="2" t="str">
        <f t="shared" si="18"/>
        <v>Error?</v>
      </c>
    </row>
    <row r="1222" spans="1:4" x14ac:dyDescent="0.2">
      <c r="A1222" s="10">
        <v>1161</v>
      </c>
      <c r="D1222" s="2" t="str">
        <f t="shared" si="18"/>
        <v>OK</v>
      </c>
    </row>
    <row r="1223" spans="1:4" x14ac:dyDescent="0.2">
      <c r="A1223" s="5">
        <v>1162</v>
      </c>
      <c r="B1223" s="138">
        <f>'Expenditures 15-22'!C127</f>
        <v>93534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93534</v>
      </c>
      <c r="C1225" s="2" t="s">
        <v>594</v>
      </c>
      <c r="D1225" s="2" t="str">
        <f t="shared" si="18"/>
        <v>Error?</v>
      </c>
    </row>
    <row r="1226" spans="1:4" x14ac:dyDescent="0.2">
      <c r="A1226" s="5">
        <v>1165</v>
      </c>
      <c r="B1226" s="138">
        <f>'Expenditures 15-22'!C151</f>
        <v>93534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11093</v>
      </c>
      <c r="D1229" s="2" t="str">
        <f t="shared" si="18"/>
        <v>Error?</v>
      </c>
    </row>
    <row r="1230" spans="1:4" x14ac:dyDescent="0.2">
      <c r="A1230" s="10">
        <v>1169</v>
      </c>
      <c r="D1230" s="2" t="str">
        <f t="shared" si="18"/>
        <v>OK</v>
      </c>
    </row>
    <row r="1231" spans="1:4" x14ac:dyDescent="0.2">
      <c r="A1231" s="5">
        <v>1170</v>
      </c>
      <c r="B1231" s="138">
        <f>'Expenditures 15-22'!D127</f>
        <v>11093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11093</v>
      </c>
      <c r="C1233" s="2" t="s">
        <v>594</v>
      </c>
      <c r="D1233" s="2" t="str">
        <f t="shared" si="18"/>
        <v>Error?</v>
      </c>
    </row>
    <row r="1234" spans="1:4" x14ac:dyDescent="0.2">
      <c r="A1234" s="5">
        <v>1173</v>
      </c>
      <c r="B1234" s="138">
        <f>'Expenditures 15-22'!D151</f>
        <v>11093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46695</v>
      </c>
      <c r="D1237" s="2" t="str">
        <f t="shared" si="18"/>
        <v>Error?</v>
      </c>
    </row>
    <row r="1238" spans="1:4" x14ac:dyDescent="0.2">
      <c r="A1238" s="10">
        <v>1177</v>
      </c>
      <c r="D1238" s="2" t="str">
        <f t="shared" si="18"/>
        <v>OK</v>
      </c>
    </row>
    <row r="1239" spans="1:4" x14ac:dyDescent="0.2">
      <c r="A1239" s="5">
        <v>1178</v>
      </c>
      <c r="B1239" s="138">
        <f>'Expenditures 15-22'!E127</f>
        <v>46695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46695</v>
      </c>
      <c r="C1241" s="2" t="s">
        <v>594</v>
      </c>
      <c r="D1241" s="2" t="str">
        <f t="shared" si="18"/>
        <v>Error?</v>
      </c>
    </row>
    <row r="1242" spans="1:4" x14ac:dyDescent="0.2">
      <c r="A1242" s="5">
        <v>1181</v>
      </c>
      <c r="B1242" s="138">
        <f>'Expenditures 15-22'!E151</f>
        <v>46695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119647</v>
      </c>
      <c r="D1245" s="2" t="str">
        <f t="shared" si="18"/>
        <v>Error?</v>
      </c>
    </row>
    <row r="1246" spans="1:4" x14ac:dyDescent="0.2">
      <c r="A1246" s="10">
        <v>1185</v>
      </c>
      <c r="D1246" s="2" t="str">
        <f t="shared" si="18"/>
        <v>OK</v>
      </c>
    </row>
    <row r="1247" spans="1:4" x14ac:dyDescent="0.2">
      <c r="A1247" s="5">
        <v>1186</v>
      </c>
      <c r="B1247" s="138">
        <f>'Expenditures 15-22'!F127</f>
        <v>119647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119647</v>
      </c>
      <c r="C1249" s="2" t="s">
        <v>594</v>
      </c>
      <c r="D1249" s="2" t="str">
        <f t="shared" si="18"/>
        <v>Error?</v>
      </c>
    </row>
    <row r="1250" spans="1:4" x14ac:dyDescent="0.2">
      <c r="A1250" s="5">
        <v>1189</v>
      </c>
      <c r="B1250" s="138">
        <f>'Expenditures 15-22'!F151</f>
        <v>119647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18512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18512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18512</v>
      </c>
      <c r="C1258" s="2" t="s">
        <v>594</v>
      </c>
      <c r="D1258" s="2" t="str">
        <f t="shared" si="18"/>
        <v>Error?</v>
      </c>
    </row>
    <row r="1259" spans="1:4" x14ac:dyDescent="0.2">
      <c r="A1259" s="5">
        <v>1198</v>
      </c>
      <c r="B1259" s="138">
        <f>'Expenditures 15-22'!G151</f>
        <v>18512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289481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289481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289481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289481</v>
      </c>
      <c r="C1288" s="2" t="s">
        <v>594</v>
      </c>
      <c r="D1288" s="2" t="str">
        <f t="shared" si="19"/>
        <v>Error?</v>
      </c>
    </row>
    <row r="1289" spans="1:4" x14ac:dyDescent="0.2">
      <c r="A1289" s="5">
        <v>1228</v>
      </c>
      <c r="B1289" s="138">
        <f>'Expenditures 15-22'!K152</f>
        <v>131335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129645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170000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300145</v>
      </c>
      <c r="C1317" s="2" t="s">
        <v>594</v>
      </c>
      <c r="D1317" s="2" t="str">
        <f t="shared" si="19"/>
        <v>Error?</v>
      </c>
    </row>
    <row r="1318" spans="1:4" x14ac:dyDescent="0.2">
      <c r="A1318" s="5">
        <v>1257</v>
      </c>
      <c r="B1318" s="138">
        <f>'Expenditures 15-22'!H174</f>
        <v>300145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129645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170000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300145</v>
      </c>
      <c r="C1331" s="2" t="s">
        <v>594</v>
      </c>
      <c r="D1331" s="2" t="str">
        <f t="shared" si="19"/>
        <v>Error?</v>
      </c>
    </row>
    <row r="1332" spans="1:4" x14ac:dyDescent="0.2">
      <c r="A1332" s="5">
        <v>1271</v>
      </c>
      <c r="B1332" s="138">
        <f>'Expenditures 15-22'!K174</f>
        <v>300145</v>
      </c>
      <c r="C1332" s="2" t="s">
        <v>594</v>
      </c>
      <c r="D1332" s="2" t="str">
        <f t="shared" si="19"/>
        <v>Error?</v>
      </c>
    </row>
    <row r="1333" spans="1:4" x14ac:dyDescent="0.2">
      <c r="A1333" s="5">
        <v>1272</v>
      </c>
      <c r="B1333" s="138">
        <f>'Expenditures 15-22'!K175</f>
        <v>61480</v>
      </c>
      <c r="C1333" s="2" t="s">
        <v>594</v>
      </c>
      <c r="D1333" s="2" t="str">
        <f t="shared" si="19"/>
        <v>Error?</v>
      </c>
    </row>
    <row r="1334" spans="1:4" x14ac:dyDescent="0.2">
      <c r="A1334" s="10">
        <v>1273</v>
      </c>
      <c r="D1334" s="2" t="str">
        <f t="shared" si="19"/>
        <v>OK</v>
      </c>
    </row>
    <row r="1335" spans="1:4" x14ac:dyDescent="0.2">
      <c r="A1335" s="5">
        <v>1274</v>
      </c>
      <c r="B1335" s="138">
        <f>'Expenditures 15-22'!C182</f>
        <v>116089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116089</v>
      </c>
      <c r="C1339" s="2" t="s">
        <v>594</v>
      </c>
      <c r="D1339" s="2" t="str">
        <f t="shared" si="19"/>
        <v>Error?</v>
      </c>
    </row>
    <row r="1340" spans="1:4" x14ac:dyDescent="0.2">
      <c r="A1340" s="5">
        <v>1279</v>
      </c>
      <c r="B1340" s="138">
        <f>'Expenditures 15-22'!C210</f>
        <v>116089</v>
      </c>
      <c r="C1340" s="2" t="s">
        <v>594</v>
      </c>
      <c r="D1340" s="2" t="str">
        <f t="shared" si="19"/>
        <v>Error?</v>
      </c>
    </row>
    <row r="1341" spans="1:4" x14ac:dyDescent="0.2">
      <c r="A1341" s="5">
        <v>1280</v>
      </c>
      <c r="B1341" s="138">
        <f>'Expenditures 15-22'!D182</f>
        <v>16561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16561</v>
      </c>
      <c r="C1345" s="2" t="s">
        <v>594</v>
      </c>
      <c r="D1345" s="2" t="str">
        <f t="shared" si="20"/>
        <v>Error?</v>
      </c>
    </row>
    <row r="1346" spans="1:4" x14ac:dyDescent="0.2">
      <c r="A1346" s="5">
        <v>1285</v>
      </c>
      <c r="B1346" s="138">
        <f>'Expenditures 15-22'!D210</f>
        <v>16561</v>
      </c>
      <c r="C1346" s="2" t="s">
        <v>594</v>
      </c>
      <c r="D1346" s="2" t="str">
        <f t="shared" si="20"/>
        <v>Error?</v>
      </c>
    </row>
    <row r="1347" spans="1:4" x14ac:dyDescent="0.2">
      <c r="A1347" s="5">
        <v>1286</v>
      </c>
      <c r="B1347" s="138">
        <f>'Expenditures 15-22'!E182</f>
        <v>11002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11002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11002</v>
      </c>
      <c r="C1353" s="2" t="s">
        <v>594</v>
      </c>
      <c r="D1353" s="2" t="str">
        <f t="shared" si="20"/>
        <v>Error?</v>
      </c>
    </row>
    <row r="1354" spans="1:4" x14ac:dyDescent="0.2">
      <c r="A1354" s="5">
        <v>1293</v>
      </c>
      <c r="B1354" s="138">
        <f>'Expenditures 15-22'!F182</f>
        <v>30523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30523</v>
      </c>
      <c r="C1358" s="2" t="s">
        <v>594</v>
      </c>
      <c r="D1358" s="2" t="str">
        <f t="shared" si="20"/>
        <v>Error?</v>
      </c>
    </row>
    <row r="1359" spans="1:4" x14ac:dyDescent="0.2">
      <c r="A1359" s="5">
        <v>1298</v>
      </c>
      <c r="B1359" s="138">
        <f>'Expenditures 15-22'!F210</f>
        <v>30523</v>
      </c>
      <c r="C1359" s="2" t="s">
        <v>594</v>
      </c>
      <c r="D1359" s="2" t="str">
        <f t="shared" si="20"/>
        <v>Error?</v>
      </c>
    </row>
    <row r="1360" spans="1:4" x14ac:dyDescent="0.2">
      <c r="A1360" s="5">
        <v>1299</v>
      </c>
      <c r="B1360" s="138">
        <f>'Expenditures 15-22'!G182</f>
        <v>89489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89489</v>
      </c>
      <c r="C1364" s="2" t="s">
        <v>594</v>
      </c>
      <c r="D1364" s="2" t="str">
        <f t="shared" si="20"/>
        <v>Error?</v>
      </c>
    </row>
    <row r="1365" spans="1:4" x14ac:dyDescent="0.2">
      <c r="A1365" s="5">
        <v>1304</v>
      </c>
      <c r="B1365" s="138">
        <f>'Expenditures 15-22'!G210</f>
        <v>89489</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263664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263664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263664</v>
      </c>
      <c r="C1388" s="2" t="s">
        <v>594</v>
      </c>
      <c r="D1388" s="2" t="str">
        <f t="shared" si="20"/>
        <v>Error?</v>
      </c>
    </row>
    <row r="1389" spans="1:4" x14ac:dyDescent="0.2">
      <c r="A1389" s="5">
        <v>1328</v>
      </c>
      <c r="B1389" s="138">
        <f>'Expenditures 15-22'!K211</f>
        <v>111387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2655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48920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4737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4737</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589</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589</v>
      </c>
      <c r="C1424" s="2" t="s">
        <v>594</v>
      </c>
      <c r="D1424" s="2" t="str">
        <f t="shared" si="21"/>
        <v>Error?</v>
      </c>
    </row>
    <row r="1425" spans="1:4" x14ac:dyDescent="0.2">
      <c r="A1425" s="5">
        <v>1364</v>
      </c>
      <c r="B1425" s="138">
        <f>'Expenditures 15-22'!D259</f>
        <v>8331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8331</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6486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26320</v>
      </c>
      <c r="D1431" s="2" t="str">
        <f t="shared" si="21"/>
        <v>Error?</v>
      </c>
    </row>
    <row r="1432" spans="1:4" x14ac:dyDescent="0.2">
      <c r="A1432" s="5">
        <v>1371</v>
      </c>
      <c r="B1432" s="138">
        <f>'Expenditures 15-22'!D267</f>
        <v>17833</v>
      </c>
      <c r="D1432" s="2" t="str">
        <f t="shared" si="21"/>
        <v>Error?</v>
      </c>
    </row>
    <row r="1433" spans="1:4" x14ac:dyDescent="0.2">
      <c r="A1433" s="5">
        <v>1372</v>
      </c>
      <c r="B1433" s="138">
        <f>'Expenditures 15-22'!D268</f>
        <v>9869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60508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74165</v>
      </c>
      <c r="C1446" s="2" t="s">
        <v>594</v>
      </c>
      <c r="D1446" s="2" t="str">
        <f t="shared" si="21"/>
        <v>Error?</v>
      </c>
    </row>
    <row r="1447" spans="1:4" x14ac:dyDescent="0.2">
      <c r="A1447" s="5">
        <v>1386</v>
      </c>
      <c r="B1447" s="138">
        <f>'Expenditures 15-22'!D280</f>
        <v>13</v>
      </c>
      <c r="D1447" s="2" t="str">
        <f t="shared" si="21"/>
        <v>Error?</v>
      </c>
    </row>
    <row r="1448" spans="1:4" x14ac:dyDescent="0.2">
      <c r="A1448" s="5">
        <v>1387</v>
      </c>
      <c r="B1448" s="138">
        <f>'Expenditures 15-22'!D295</f>
        <v>123098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2655</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48920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4737</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4737</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589</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589</v>
      </c>
      <c r="C1488" s="2" t="s">
        <v>594</v>
      </c>
      <c r="D1488" s="2" t="str">
        <f t="shared" si="22"/>
        <v>Error?</v>
      </c>
    </row>
    <row r="1489" spans="1:4" x14ac:dyDescent="0.2">
      <c r="A1489" s="5">
        <v>1428</v>
      </c>
      <c r="B1489" s="138">
        <f>'Expenditures 15-22'!K259</f>
        <v>8331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8331</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6486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26320</v>
      </c>
      <c r="C1495" s="2" t="s">
        <v>594</v>
      </c>
      <c r="D1495" s="2" t="str">
        <f t="shared" si="22"/>
        <v>Error?</v>
      </c>
    </row>
    <row r="1496" spans="1:4" x14ac:dyDescent="0.2">
      <c r="A1496" s="5">
        <v>1435</v>
      </c>
      <c r="B1496" s="138">
        <f>'Expenditures 15-22'!K267</f>
        <v>17833</v>
      </c>
      <c r="C1496" s="2" t="s">
        <v>594</v>
      </c>
      <c r="D1496" s="2" t="str">
        <f t="shared" si="22"/>
        <v>Error?</v>
      </c>
    </row>
    <row r="1497" spans="1:4" x14ac:dyDescent="0.2">
      <c r="A1497" s="5">
        <v>1436</v>
      </c>
      <c r="B1497" s="138">
        <f>'Expenditures 15-22'!K268</f>
        <v>9869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60508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74165</v>
      </c>
      <c r="C1510" s="2" t="s">
        <v>594</v>
      </c>
      <c r="D1510" s="2" t="str">
        <f t="shared" si="22"/>
        <v>Error?</v>
      </c>
    </row>
    <row r="1511" spans="1:4" x14ac:dyDescent="0.2">
      <c r="A1511" s="5">
        <v>1450</v>
      </c>
      <c r="B1511" s="138">
        <f>'Expenditures 15-22'!K280</f>
        <v>13</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123098</v>
      </c>
      <c r="C1517" s="2" t="s">
        <v>594</v>
      </c>
      <c r="D1517" s="2" t="str">
        <f t="shared" si="22"/>
        <v>Error?</v>
      </c>
    </row>
    <row r="1518" spans="1:4" x14ac:dyDescent="0.2">
      <c r="A1518" s="5">
        <v>1457</v>
      </c>
      <c r="B1518" s="138">
        <f>'Expenditures 15-22'!K296</f>
        <v>37377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135050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135050</v>
      </c>
      <c r="C1535" s="2" t="s">
        <v>594</v>
      </c>
      <c r="D1535" s="2" t="str">
        <f t="shared" ref="D1535:D1598" si="23">IF(ISBLANK(B1535),"OK",IF(A1535-B1535=0,"OK","Error?"))</f>
        <v>Error?</v>
      </c>
    </row>
    <row r="1536" spans="1:4" x14ac:dyDescent="0.2">
      <c r="A1536" s="5">
        <v>1475</v>
      </c>
      <c r="B1536" s="138">
        <f>'Expenditures 15-22'!E312</f>
        <v>135050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79975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79975</v>
      </c>
      <c r="C1547" s="2" t="s">
        <v>594</v>
      </c>
      <c r="D1547" s="2" t="str">
        <f t="shared" si="23"/>
        <v>Error?</v>
      </c>
    </row>
    <row r="1548" spans="1:4" x14ac:dyDescent="0.2">
      <c r="A1548" s="5">
        <v>1487</v>
      </c>
      <c r="B1548" s="138">
        <f>'Expenditures 15-22'!G312</f>
        <v>79975</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215025</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215025</v>
      </c>
      <c r="C1559" s="2" t="s">
        <v>594</v>
      </c>
      <c r="D1559" s="2" t="str">
        <f t="shared" si="23"/>
        <v>Error?</v>
      </c>
    </row>
    <row r="1560" spans="1:4" x14ac:dyDescent="0.2">
      <c r="A1560" s="5">
        <v>1499</v>
      </c>
      <c r="B1560" s="138">
        <f>'Expenditures 15-22'!K312</f>
        <v>215025</v>
      </c>
      <c r="C1560" s="2" t="s">
        <v>594</v>
      </c>
      <c r="D1560" s="2" t="str">
        <f t="shared" si="23"/>
        <v>Error?</v>
      </c>
    </row>
    <row r="1561" spans="1:4" x14ac:dyDescent="0.2">
      <c r="A1561" s="5">
        <v>1500</v>
      </c>
      <c r="B1561" s="138">
        <f>'Expenditures 15-22'!K313</f>
        <v>8047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1198898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1777558</v>
      </c>
      <c r="C1630" s="2" t="s">
        <v>594</v>
      </c>
      <c r="D1630" s="2" t="str">
        <f t="shared" si="24"/>
        <v>Error?</v>
      </c>
    </row>
    <row r="1631" spans="1:4" x14ac:dyDescent="0.2">
      <c r="A1631" s="5">
        <v>1570</v>
      </c>
      <c r="B1631" s="138">
        <f>'Acct Summary 7-8'!D79</f>
        <v>414555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545890</v>
      </c>
      <c r="C1644" s="2" t="s">
        <v>594</v>
      </c>
      <c r="D1644" s="2" t="str">
        <f t="shared" si="24"/>
        <v>Error?</v>
      </c>
    </row>
    <row r="1645" spans="1:4" x14ac:dyDescent="0.2">
      <c r="A1645" s="5">
        <v>1584</v>
      </c>
      <c r="B1645" s="138">
        <f>'Acct Summary 7-8'!E79</f>
        <v>128580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190060</v>
      </c>
      <c r="C1658" s="2" t="s">
        <v>594</v>
      </c>
      <c r="D1658" s="2" t="str">
        <f t="shared" si="24"/>
        <v>Error?</v>
      </c>
    </row>
    <row r="1659" spans="1:4" x14ac:dyDescent="0.2">
      <c r="A1659" s="5">
        <v>1598</v>
      </c>
      <c r="B1659" s="138">
        <f>'Acct Summary 7-8'!F79</f>
        <v>446195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557582</v>
      </c>
      <c r="C1672" s="2" t="s">
        <v>594</v>
      </c>
      <c r="D1672" s="2" t="str">
        <f t="shared" si="25"/>
        <v>Error?</v>
      </c>
    </row>
    <row r="1673" spans="1:4" x14ac:dyDescent="0.2">
      <c r="A1673" s="5">
        <v>1612</v>
      </c>
      <c r="B1673" s="138">
        <f>'Acct Summary 7-8'!G79</f>
        <v>26317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63694</v>
      </c>
      <c r="C1686" s="2" t="s">
        <v>594</v>
      </c>
      <c r="D1686" s="2" t="str">
        <f t="shared" si="25"/>
        <v>Error?</v>
      </c>
    </row>
    <row r="1687" spans="1:4" x14ac:dyDescent="0.2">
      <c r="A1687" s="5">
        <v>1626</v>
      </c>
      <c r="B1687" s="138">
        <f>'Acct Summary 7-8'!H79</f>
        <v>265287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273334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2099878</v>
      </c>
      <c r="C1744" s="2" t="s">
        <v>594</v>
      </c>
      <c r="D1744" s="2" t="str">
        <f t="shared" si="26"/>
        <v>Error?</v>
      </c>
    </row>
    <row r="1745" spans="1:5" x14ac:dyDescent="0.2">
      <c r="A1745" s="5">
        <v>1684</v>
      </c>
      <c r="B1745" s="138">
        <f>'Tax Sched 23'!B5</f>
        <v>372733</v>
      </c>
      <c r="C1745" s="2" t="s">
        <v>594</v>
      </c>
      <c r="D1745" s="2" t="str">
        <f t="shared" si="26"/>
        <v>Error?</v>
      </c>
    </row>
    <row r="1746" spans="1:5" x14ac:dyDescent="0.2">
      <c r="A1746" s="5">
        <v>1685</v>
      </c>
      <c r="B1746" s="138">
        <f>'Tax Sched 23'!B6</f>
        <v>360727</v>
      </c>
      <c r="C1746" s="2" t="s">
        <v>594</v>
      </c>
      <c r="D1746" s="2" t="str">
        <f t="shared" si="26"/>
        <v>Error?</v>
      </c>
    </row>
    <row r="1747" spans="1:5" x14ac:dyDescent="0.2">
      <c r="A1747" s="5">
        <v>1686</v>
      </c>
      <c r="B1747" s="138">
        <f>'Tax Sched 23'!B7</f>
        <v>205421</v>
      </c>
      <c r="C1747" s="2" t="s">
        <v>594</v>
      </c>
      <c r="D1747" s="2" t="str">
        <f t="shared" si="26"/>
        <v>Error?</v>
      </c>
    </row>
    <row r="1748" spans="1:5" x14ac:dyDescent="0.2">
      <c r="A1748" s="5">
        <v>1687</v>
      </c>
      <c r="B1748" s="138">
        <f>'Tax Sched 23'!B8</f>
        <v>72663</v>
      </c>
      <c r="C1748" s="2" t="s">
        <v>594</v>
      </c>
      <c r="D1748" s="2" t="str">
        <f t="shared" si="26"/>
        <v>Error?</v>
      </c>
    </row>
    <row r="1749" spans="1:5" x14ac:dyDescent="0.2">
      <c r="A1749" s="5">
        <v>1688</v>
      </c>
      <c r="B1749" s="138">
        <f>'Tax Sched 23'!B10</f>
        <v>26295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53824</v>
      </c>
      <c r="C1752" s="2" t="s">
        <v>594</v>
      </c>
      <c r="D1752" s="2" t="str">
        <f t="shared" si="26"/>
        <v>Error?</v>
      </c>
    </row>
    <row r="1753" spans="1:5" x14ac:dyDescent="0.2">
      <c r="A1753" s="5">
        <v>1692</v>
      </c>
      <c r="B1753" s="138">
        <f>'Tax Sched 23'!B12</f>
        <v>29053</v>
      </c>
      <c r="C1753" s="2" t="s">
        <v>594</v>
      </c>
      <c r="D1753" s="2" t="str">
        <f t="shared" si="26"/>
        <v>Error?</v>
      </c>
    </row>
    <row r="1754" spans="1:5" x14ac:dyDescent="0.2">
      <c r="A1754" s="5">
        <v>1693</v>
      </c>
      <c r="B1754" s="138">
        <f>'Tax Sched 23'!B14</f>
        <v>21109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3314366</v>
      </c>
      <c r="C1759" s="2" t="s">
        <v>594</v>
      </c>
      <c r="D1759" s="2" t="str">
        <f t="shared" si="26"/>
        <v>Error?</v>
      </c>
    </row>
    <row r="1760" spans="1:5" x14ac:dyDescent="0.2">
      <c r="A1760" s="5">
        <v>1699</v>
      </c>
      <c r="B1760" s="138">
        <f>'Tax Sched 23'!D4</f>
        <v>1285056</v>
      </c>
      <c r="C1760" s="2" t="s">
        <v>594</v>
      </c>
      <c r="D1760" s="2" t="str">
        <f t="shared" si="26"/>
        <v>Error?</v>
      </c>
    </row>
    <row r="1761" spans="1:5" x14ac:dyDescent="0.2">
      <c r="A1761" s="5">
        <v>1700</v>
      </c>
      <c r="B1761" s="138">
        <f>'Tax Sched 23'!D5</f>
        <v>228092</v>
      </c>
      <c r="C1761" s="2" t="s">
        <v>594</v>
      </c>
      <c r="D1761" s="2" t="str">
        <f t="shared" si="26"/>
        <v>Error?</v>
      </c>
    </row>
    <row r="1762" spans="1:5" s="8" customFormat="1" x14ac:dyDescent="0.2">
      <c r="A1762" s="5">
        <v>1701</v>
      </c>
      <c r="B1762" s="138">
        <f>'Tax Sched 23'!D6</f>
        <v>220286</v>
      </c>
      <c r="C1762" s="2" t="s">
        <v>594</v>
      </c>
      <c r="D1762" s="2" t="str">
        <f t="shared" si="26"/>
        <v>Error?</v>
      </c>
      <c r="E1762" s="9"/>
    </row>
    <row r="1763" spans="1:5" x14ac:dyDescent="0.2">
      <c r="A1763" s="5">
        <v>1702</v>
      </c>
      <c r="B1763" s="138">
        <f>'Tax Sched 23'!D7</f>
        <v>125706</v>
      </c>
      <c r="C1763" s="2" t="s">
        <v>594</v>
      </c>
      <c r="D1763" s="2" t="str">
        <f t="shared" si="26"/>
        <v>Error?</v>
      </c>
    </row>
    <row r="1764" spans="1:5" x14ac:dyDescent="0.2">
      <c r="A1764" s="5">
        <v>1703</v>
      </c>
      <c r="B1764" s="138">
        <f>'Tax Sched 23'!D8</f>
        <v>28203</v>
      </c>
      <c r="C1764" s="2" t="s">
        <v>594</v>
      </c>
      <c r="D1764" s="2" t="str">
        <f t="shared" si="26"/>
        <v>Error?</v>
      </c>
    </row>
    <row r="1765" spans="1:5" x14ac:dyDescent="0.2">
      <c r="A1765" s="5">
        <v>1704</v>
      </c>
      <c r="B1765" s="138">
        <f>'Tax Sched 23'!D10</f>
        <v>16092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32931</v>
      </c>
      <c r="C1768" s="2" t="s">
        <v>594</v>
      </c>
      <c r="D1768" s="2" t="str">
        <f t="shared" si="26"/>
        <v>Error?</v>
      </c>
    </row>
    <row r="1769" spans="1:5" x14ac:dyDescent="0.2">
      <c r="A1769" s="5">
        <v>1708</v>
      </c>
      <c r="B1769" s="138">
        <f>'Tax Sched 23'!D12</f>
        <v>17777</v>
      </c>
      <c r="C1769" s="2" t="s">
        <v>594</v>
      </c>
      <c r="D1769" s="2" t="str">
        <f t="shared" si="26"/>
        <v>Error?</v>
      </c>
    </row>
    <row r="1770" spans="1:5" x14ac:dyDescent="0.2">
      <c r="A1770" s="5">
        <v>1709</v>
      </c>
      <c r="B1770" s="138">
        <f>'Tax Sched 23'!D14</f>
        <v>12919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1995265</v>
      </c>
      <c r="C1775" s="2" t="s">
        <v>594</v>
      </c>
      <c r="D1775" s="2" t="str">
        <f t="shared" si="26"/>
        <v>Error?</v>
      </c>
    </row>
    <row r="1776" spans="1:5" x14ac:dyDescent="0.2">
      <c r="A1776" s="5">
        <v>1715</v>
      </c>
      <c r="B1776" s="138">
        <f>'Tax Sched 23'!C4</f>
        <v>814822</v>
      </c>
      <c r="D1776" s="2" t="str">
        <f t="shared" si="26"/>
        <v>Error?</v>
      </c>
    </row>
    <row r="1777" spans="1:4" x14ac:dyDescent="0.2">
      <c r="A1777" s="5">
        <v>1716</v>
      </c>
      <c r="B1777" s="138">
        <f>'Tax Sched 23'!C5</f>
        <v>144641</v>
      </c>
      <c r="D1777" s="2" t="str">
        <f t="shared" si="26"/>
        <v>Error?</v>
      </c>
    </row>
    <row r="1778" spans="1:4" x14ac:dyDescent="0.2">
      <c r="A1778" s="5">
        <v>1717</v>
      </c>
      <c r="B1778" s="138">
        <f>'Tax Sched 23'!C6</f>
        <v>140441</v>
      </c>
      <c r="D1778" s="2" t="str">
        <f t="shared" si="26"/>
        <v>Error?</v>
      </c>
    </row>
    <row r="1779" spans="1:4" x14ac:dyDescent="0.2">
      <c r="A1779" s="5">
        <v>1718</v>
      </c>
      <c r="B1779" s="138">
        <f>'Tax Sched 23'!C7</f>
        <v>79715</v>
      </c>
      <c r="D1779" s="2" t="str">
        <f t="shared" si="26"/>
        <v>Error?</v>
      </c>
    </row>
    <row r="1780" spans="1:4" x14ac:dyDescent="0.2">
      <c r="A1780" s="5">
        <v>1719</v>
      </c>
      <c r="B1780" s="138">
        <f>'Tax Sched 23'!C8</f>
        <v>44460</v>
      </c>
      <c r="D1780" s="2" t="str">
        <f t="shared" si="26"/>
        <v>Error?</v>
      </c>
    </row>
    <row r="1781" spans="1:4" x14ac:dyDescent="0.2">
      <c r="A1781" s="5">
        <v>1720</v>
      </c>
      <c r="B1781" s="138">
        <f>'Tax Sched 23'!C10</f>
        <v>10203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20893</v>
      </c>
      <c r="D1784" s="2" t="str">
        <f t="shared" si="26"/>
        <v>Error?</v>
      </c>
    </row>
    <row r="1785" spans="1:4" x14ac:dyDescent="0.2">
      <c r="A1785" s="5">
        <v>1724</v>
      </c>
      <c r="B1785" s="138">
        <f>'Tax Sched 23'!C12</f>
        <v>11276</v>
      </c>
      <c r="D1785" s="2" t="str">
        <f t="shared" si="26"/>
        <v>Error?</v>
      </c>
    </row>
    <row r="1786" spans="1:4" x14ac:dyDescent="0.2">
      <c r="A1786" s="5">
        <v>1725</v>
      </c>
      <c r="B1786" s="138">
        <f>'Tax Sched 23'!C14</f>
        <v>8190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1319101</v>
      </c>
      <c r="C1791" s="2" t="s">
        <v>594</v>
      </c>
      <c r="D1791" s="2" t="str">
        <f t="shared" ref="D1791:D1854" si="27">IF(ISBLANK(B1791),"OK",IF(A1791-B1791=0,"OK","Error?"))</f>
        <v>Error?</v>
      </c>
    </row>
    <row r="1792" spans="1:4" x14ac:dyDescent="0.2">
      <c r="A1792" s="5">
        <v>1731</v>
      </c>
      <c r="B1792" s="138">
        <f>'Tax Sched 23'!F4</f>
        <v>930749</v>
      </c>
      <c r="C1792" s="2" t="s">
        <v>594</v>
      </c>
      <c r="D1792" s="2" t="str">
        <f t="shared" si="27"/>
        <v>Error?</v>
      </c>
    </row>
    <row r="1793" spans="1:4" x14ac:dyDescent="0.2">
      <c r="A1793" s="5">
        <v>1732</v>
      </c>
      <c r="B1793" s="138">
        <f>'Tax Sched 23'!F5</f>
        <v>165265</v>
      </c>
      <c r="C1793" s="2" t="s">
        <v>594</v>
      </c>
      <c r="D1793" s="2" t="str">
        <f t="shared" si="27"/>
        <v>Error?</v>
      </c>
    </row>
    <row r="1794" spans="1:4" x14ac:dyDescent="0.2">
      <c r="A1794" s="5">
        <v>1733</v>
      </c>
      <c r="B1794" s="138">
        <f>'Tax Sched 23'!F6</f>
        <v>160450</v>
      </c>
      <c r="C1794" s="2" t="s">
        <v>594</v>
      </c>
      <c r="D1794" s="2" t="str">
        <f t="shared" si="27"/>
        <v>Error?</v>
      </c>
    </row>
    <row r="1795" spans="1:4" x14ac:dyDescent="0.2">
      <c r="A1795" s="5">
        <v>1734</v>
      </c>
      <c r="B1795" s="138">
        <f>'Tax Sched 23'!F7</f>
        <v>91078</v>
      </c>
      <c r="C1795" s="2" t="s">
        <v>594</v>
      </c>
      <c r="D1795" s="2" t="str">
        <f t="shared" si="27"/>
        <v>Error?</v>
      </c>
    </row>
    <row r="1796" spans="1:4" x14ac:dyDescent="0.2">
      <c r="A1796" s="5">
        <v>1735</v>
      </c>
      <c r="B1796" s="138">
        <f>'Tax Sched 23'!F8</f>
        <v>16003</v>
      </c>
      <c r="C1796" s="2" t="s">
        <v>594</v>
      </c>
      <c r="D1796" s="2" t="str">
        <f t="shared" si="27"/>
        <v>Error?</v>
      </c>
    </row>
    <row r="1797" spans="1:4" x14ac:dyDescent="0.2">
      <c r="A1797" s="5">
        <v>1736</v>
      </c>
      <c r="B1797" s="138">
        <f>'Tax Sched 23'!F10</f>
        <v>11673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23914</v>
      </c>
      <c r="C1800" s="2" t="s">
        <v>594</v>
      </c>
      <c r="D1800" s="2" t="str">
        <f t="shared" si="27"/>
        <v>Error?</v>
      </c>
    </row>
    <row r="1801" spans="1:4" x14ac:dyDescent="0.2">
      <c r="A1801" s="5">
        <v>1740</v>
      </c>
      <c r="B1801" s="138">
        <f>'Tax Sched 23'!F12</f>
        <v>12920</v>
      </c>
      <c r="C1801" s="2" t="s">
        <v>594</v>
      </c>
      <c r="D1801" s="2" t="str">
        <f t="shared" si="27"/>
        <v>Error?</v>
      </c>
    </row>
    <row r="1802" spans="1:4" x14ac:dyDescent="0.2">
      <c r="A1802" s="5">
        <v>1741</v>
      </c>
      <c r="B1802" s="138">
        <f>'Tax Sched 23'!F14</f>
        <v>9364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1437419</v>
      </c>
      <c r="C1807" s="2" t="s">
        <v>594</v>
      </c>
      <c r="D1807" s="2" t="str">
        <f t="shared" si="27"/>
        <v>Error?</v>
      </c>
    </row>
    <row r="1808" spans="1:4" x14ac:dyDescent="0.2">
      <c r="A1808" s="5">
        <v>1747</v>
      </c>
      <c r="B1808" s="138">
        <f>'Tax Sched 23'!E4</f>
        <v>1745571</v>
      </c>
      <c r="D1808" s="2" t="str">
        <f t="shared" si="27"/>
        <v>Error?</v>
      </c>
    </row>
    <row r="1809" spans="1:4" x14ac:dyDescent="0.2">
      <c r="A1809" s="5">
        <v>1748</v>
      </c>
      <c r="B1809" s="138">
        <f>'Tax Sched 23'!E5</f>
        <v>309906</v>
      </c>
      <c r="D1809" s="2" t="str">
        <f t="shared" si="27"/>
        <v>Error?</v>
      </c>
    </row>
    <row r="1810" spans="1:4" x14ac:dyDescent="0.2">
      <c r="A1810" s="5">
        <v>1749</v>
      </c>
      <c r="B1810" s="138">
        <f>'Tax Sched 23'!E6</f>
        <v>300891</v>
      </c>
      <c r="D1810" s="2" t="str">
        <f t="shared" si="27"/>
        <v>Error?</v>
      </c>
    </row>
    <row r="1811" spans="1:4" x14ac:dyDescent="0.2">
      <c r="A1811" s="5">
        <v>1750</v>
      </c>
      <c r="B1811" s="138">
        <f>'Tax Sched 23'!E7</f>
        <v>170793</v>
      </c>
      <c r="D1811" s="2" t="str">
        <f t="shared" si="27"/>
        <v>Error?</v>
      </c>
    </row>
    <row r="1812" spans="1:4" x14ac:dyDescent="0.2">
      <c r="A1812" s="5">
        <v>1751</v>
      </c>
      <c r="B1812" s="138">
        <f>'Tax Sched 23'!E8</f>
        <v>60463</v>
      </c>
      <c r="D1812" s="2" t="str">
        <f t="shared" si="27"/>
        <v>Error?</v>
      </c>
    </row>
    <row r="1813" spans="1:4" x14ac:dyDescent="0.2">
      <c r="A1813" s="5">
        <v>1752</v>
      </c>
      <c r="B1813" s="138">
        <f>'Tax Sched 23'!E10</f>
        <v>21876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44807</v>
      </c>
      <c r="D1816" s="2" t="str">
        <f t="shared" si="27"/>
        <v>Error?</v>
      </c>
    </row>
    <row r="1817" spans="1:4" x14ac:dyDescent="0.2">
      <c r="A1817" s="5">
        <v>1756</v>
      </c>
      <c r="B1817" s="138">
        <f>'Tax Sched 23'!E12</f>
        <v>24196</v>
      </c>
      <c r="D1817" s="2" t="str">
        <f t="shared" si="27"/>
        <v>Error?</v>
      </c>
    </row>
    <row r="1818" spans="1:4" x14ac:dyDescent="0.2">
      <c r="A1818" s="5">
        <v>1757</v>
      </c>
      <c r="B1818" s="138">
        <f>'Tax Sched 23'!E14</f>
        <v>17554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2756520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3335000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21109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21109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21109</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23000</v>
      </c>
      <c r="D2008" s="2" t="str">
        <f t="shared" si="30"/>
        <v>Error?</v>
      </c>
    </row>
    <row r="2009" spans="1:4" x14ac:dyDescent="0.2">
      <c r="A2009" s="5">
        <v>1948</v>
      </c>
      <c r="B2009" s="138">
        <f>'Cap Outlay Deprec 26'!C8</f>
        <v>8021078</v>
      </c>
      <c r="D2009" s="2" t="str">
        <f t="shared" si="30"/>
        <v>Error?</v>
      </c>
    </row>
    <row r="2010" spans="1:4" x14ac:dyDescent="0.2">
      <c r="A2010" s="5">
        <v>1949</v>
      </c>
      <c r="B2010" s="138">
        <f>'Cap Outlay Deprec 26'!C10</f>
        <v>128923</v>
      </c>
      <c r="D2010" s="2" t="str">
        <f t="shared" si="30"/>
        <v>Error?</v>
      </c>
    </row>
    <row r="2011" spans="1:4" x14ac:dyDescent="0.2">
      <c r="A2011" s="5">
        <v>1950</v>
      </c>
      <c r="B2011" s="138">
        <f>'Cap Outlay Deprec 26'!C12</f>
        <v>792427</v>
      </c>
      <c r="D2011" s="2" t="str">
        <f t="shared" si="30"/>
        <v>Error?</v>
      </c>
    </row>
    <row r="2012" spans="1:4" x14ac:dyDescent="0.2">
      <c r="A2012" s="5">
        <v>1951</v>
      </c>
      <c r="B2012" s="138">
        <f>'Cap Outlay Deprec 26'!C13</f>
        <v>162626</v>
      </c>
      <c r="D2012" s="2" t="str">
        <f t="shared" si="30"/>
        <v>Error?</v>
      </c>
    </row>
    <row r="2013" spans="1:4" x14ac:dyDescent="0.2">
      <c r="A2013" s="5">
        <v>1952</v>
      </c>
      <c r="B2013" s="138">
        <f>'Cap Outlay Deprec 26'!C16</f>
        <v>9128054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130470</v>
      </c>
      <c r="D2015" s="2" t="str">
        <f t="shared" si="30"/>
        <v>Error?</v>
      </c>
    </row>
    <row r="2016" spans="1:4" x14ac:dyDescent="0.2">
      <c r="A2016" s="5">
        <v>1955</v>
      </c>
      <c r="B2016" s="138">
        <f>'Cap Outlay Deprec 26'!D10</f>
        <v>40277</v>
      </c>
      <c r="D2016" s="2" t="str">
        <f t="shared" si="30"/>
        <v>Error?</v>
      </c>
    </row>
    <row r="2017" spans="1:4" x14ac:dyDescent="0.2">
      <c r="A2017" s="5">
        <v>1956</v>
      </c>
      <c r="B2017" s="138">
        <f>'Cap Outlay Deprec 26'!D12</f>
        <v>70762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241509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2126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2126</v>
      </c>
      <c r="C2025" s="2" t="s">
        <v>594</v>
      </c>
      <c r="D2025" s="2" t="str">
        <f t="shared" si="30"/>
        <v>Error?</v>
      </c>
    </row>
    <row r="2026" spans="1:4" x14ac:dyDescent="0.2">
      <c r="A2026" s="5">
        <v>1965</v>
      </c>
      <c r="B2026" s="138">
        <f>'Cap Outlay Deprec 26'!F5</f>
        <v>23000</v>
      </c>
      <c r="C2026" s="2" t="s">
        <v>594</v>
      </c>
      <c r="D2026" s="2" t="str">
        <f t="shared" si="30"/>
        <v>Error?</v>
      </c>
    </row>
    <row r="2027" spans="1:4" x14ac:dyDescent="0.2">
      <c r="A2027" s="5">
        <v>1966</v>
      </c>
      <c r="B2027" s="138">
        <f>'Cap Outlay Deprec 26'!F8</f>
        <v>8151548</v>
      </c>
      <c r="C2027" s="2" t="s">
        <v>594</v>
      </c>
      <c r="D2027" s="2" t="str">
        <f t="shared" si="30"/>
        <v>Error?</v>
      </c>
    </row>
    <row r="2028" spans="1:4" x14ac:dyDescent="0.2">
      <c r="A2028" s="5">
        <v>1967</v>
      </c>
      <c r="B2028" s="138">
        <f>'Cap Outlay Deprec 26'!F10</f>
        <v>169200</v>
      </c>
      <c r="C2028" s="2" t="s">
        <v>594</v>
      </c>
      <c r="D2028" s="2" t="str">
        <f t="shared" si="30"/>
        <v>Error?</v>
      </c>
    </row>
    <row r="2029" spans="1:4" x14ac:dyDescent="0.2">
      <c r="A2029" s="5">
        <v>1968</v>
      </c>
      <c r="B2029" s="138">
        <f>'Cap Outlay Deprec 26'!F12</f>
        <v>861063</v>
      </c>
      <c r="C2029" s="2" t="s">
        <v>594</v>
      </c>
      <c r="D2029" s="2" t="str">
        <f t="shared" si="30"/>
        <v>Error?</v>
      </c>
    </row>
    <row r="2030" spans="1:4" x14ac:dyDescent="0.2">
      <c r="A2030" s="5">
        <v>1969</v>
      </c>
      <c r="B2030" s="138">
        <f>'Cap Outlay Deprec 26'!F13</f>
        <v>162626</v>
      </c>
      <c r="C2030" s="2" t="s">
        <v>594</v>
      </c>
      <c r="D2030" s="2" t="str">
        <f t="shared" si="30"/>
        <v>Error?</v>
      </c>
    </row>
    <row r="2031" spans="1:4" x14ac:dyDescent="0.2">
      <c r="A2031" s="5">
        <v>1970</v>
      </c>
      <c r="B2031" s="138">
        <f>'Cap Outlay Deprec 26'!F16</f>
        <v>9367437</v>
      </c>
      <c r="C2031" s="2" t="s">
        <v>594</v>
      </c>
      <c r="D2031" s="2" t="str">
        <f t="shared" si="30"/>
        <v>Error?</v>
      </c>
    </row>
    <row r="2032" spans="1:4" x14ac:dyDescent="0.2">
      <c r="A2032" s="10">
        <v>1971</v>
      </c>
      <c r="D2032" s="2" t="str">
        <f t="shared" si="30"/>
        <v>OK</v>
      </c>
    </row>
    <row r="2033" spans="1:4" x14ac:dyDescent="0.2">
      <c r="A2033" s="5">
        <v>1972</v>
      </c>
      <c r="B2033" s="138">
        <f>'Cap Outlay Deprec 26'!H8</f>
        <v>2892823</v>
      </c>
      <c r="D2033" s="2" t="str">
        <f t="shared" si="30"/>
        <v>Error?</v>
      </c>
    </row>
    <row r="2034" spans="1:4" x14ac:dyDescent="0.2">
      <c r="A2034" s="5">
        <v>1973</v>
      </c>
      <c r="B2034" s="138">
        <f>'Cap Outlay Deprec 26'!H10</f>
        <v>75422</v>
      </c>
      <c r="D2034" s="2" t="str">
        <f t="shared" si="30"/>
        <v>Error?</v>
      </c>
    </row>
    <row r="2035" spans="1:4" x14ac:dyDescent="0.2">
      <c r="A2035" s="5">
        <v>1974</v>
      </c>
      <c r="B2035" s="138">
        <f>'Cap Outlay Deprec 26'!H12</f>
        <v>609317</v>
      </c>
      <c r="D2035" s="2" t="str">
        <f t="shared" si="30"/>
        <v>Error?</v>
      </c>
    </row>
    <row r="2036" spans="1:4" x14ac:dyDescent="0.2">
      <c r="A2036" s="5">
        <v>1975</v>
      </c>
      <c r="B2036" s="138">
        <f>'Cap Outlay Deprec 26'!H13</f>
        <v>162626</v>
      </c>
      <c r="D2036" s="2" t="str">
        <f t="shared" si="30"/>
        <v>Error?</v>
      </c>
    </row>
    <row r="2037" spans="1:4" x14ac:dyDescent="0.2">
      <c r="A2037" s="5">
        <v>1976</v>
      </c>
      <c r="B2037" s="138">
        <f>'Cap Outlay Deprec 26'!H16</f>
        <v>3740188</v>
      </c>
      <c r="C2037" s="2" t="s">
        <v>594</v>
      </c>
      <c r="D2037" s="2" t="str">
        <f t="shared" si="30"/>
        <v>Error?</v>
      </c>
    </row>
    <row r="2038" spans="1:4" x14ac:dyDescent="0.2">
      <c r="A2038" s="10">
        <v>1977</v>
      </c>
      <c r="D2038" s="2" t="str">
        <f t="shared" si="30"/>
        <v>OK</v>
      </c>
    </row>
    <row r="2039" spans="1:4" x14ac:dyDescent="0.2">
      <c r="A2039" s="5">
        <v>1978</v>
      </c>
      <c r="B2039" s="138">
        <f>'Cap Outlay Deprec 26'!I8</f>
        <v>163032</v>
      </c>
      <c r="D2039" s="2" t="str">
        <f t="shared" si="30"/>
        <v>Error?</v>
      </c>
    </row>
    <row r="2040" spans="1:4" x14ac:dyDescent="0.2">
      <c r="A2040" s="5">
        <v>1979</v>
      </c>
      <c r="B2040" s="138">
        <f>'Cap Outlay Deprec 26'!I10</f>
        <v>7205</v>
      </c>
      <c r="D2040" s="2" t="str">
        <f t="shared" si="30"/>
        <v>Error?</v>
      </c>
    </row>
    <row r="2041" spans="1:4" x14ac:dyDescent="0.2">
      <c r="A2041" s="5">
        <v>1980</v>
      </c>
      <c r="B2041" s="138">
        <f>'Cap Outlay Deprec 26'!I12</f>
        <v>47450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217687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2126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2126</v>
      </c>
      <c r="C2049" s="2" t="s">
        <v>594</v>
      </c>
      <c r="D2049" s="2" t="str">
        <f t="shared" si="31"/>
        <v>Error?</v>
      </c>
    </row>
    <row r="2050" spans="1:4" x14ac:dyDescent="0.2">
      <c r="A2050" s="10">
        <v>1989</v>
      </c>
      <c r="D2050" s="2" t="str">
        <f t="shared" si="31"/>
        <v>OK</v>
      </c>
    </row>
    <row r="2051" spans="1:4" x14ac:dyDescent="0.2">
      <c r="A2051" s="5">
        <v>1990</v>
      </c>
      <c r="B2051" s="138">
        <f>'Cap Outlay Deprec 26'!K8</f>
        <v>3055855</v>
      </c>
      <c r="C2051" s="2" t="s">
        <v>594</v>
      </c>
      <c r="D2051" s="2" t="str">
        <f t="shared" si="31"/>
        <v>Error?</v>
      </c>
    </row>
    <row r="2052" spans="1:4" x14ac:dyDescent="0.2">
      <c r="A2052" s="5">
        <v>1991</v>
      </c>
      <c r="B2052" s="138">
        <f>'Cap Outlay Deprec 26'!K10</f>
        <v>82627</v>
      </c>
      <c r="C2052" s="2" t="s">
        <v>594</v>
      </c>
      <c r="D2052" s="2" t="str">
        <f t="shared" si="31"/>
        <v>Error?</v>
      </c>
    </row>
    <row r="2053" spans="1:4" x14ac:dyDescent="0.2">
      <c r="A2053" s="5">
        <v>1992</v>
      </c>
      <c r="B2053" s="138">
        <f>'Cap Outlay Deprec 26'!K12</f>
        <v>654641</v>
      </c>
      <c r="C2053" s="2" t="s">
        <v>594</v>
      </c>
      <c r="D2053" s="2" t="str">
        <f t="shared" si="31"/>
        <v>Error?</v>
      </c>
    </row>
    <row r="2054" spans="1:4" x14ac:dyDescent="0.2">
      <c r="A2054" s="5">
        <v>1993</v>
      </c>
      <c r="B2054" s="138">
        <f>'Cap Outlay Deprec 26'!K13</f>
        <v>162626</v>
      </c>
      <c r="C2054" s="2" t="s">
        <v>594</v>
      </c>
      <c r="D2054" s="2" t="str">
        <f t="shared" si="31"/>
        <v>Error?</v>
      </c>
    </row>
    <row r="2055" spans="1:4" x14ac:dyDescent="0.2">
      <c r="A2055" s="5">
        <v>1994</v>
      </c>
      <c r="B2055" s="138">
        <f>'Cap Outlay Deprec 26'!K16</f>
        <v>3955749</v>
      </c>
      <c r="C2055" s="2" t="s">
        <v>594</v>
      </c>
      <c r="D2055" s="2" t="str">
        <f t="shared" si="31"/>
        <v>Error?</v>
      </c>
    </row>
    <row r="2056" spans="1:4" x14ac:dyDescent="0.2">
      <c r="A2056" s="5">
        <v>1995</v>
      </c>
      <c r="B2056" s="138">
        <f>'Cap Outlay Deprec 26'!L5</f>
        <v>23000</v>
      </c>
      <c r="C2056" s="2" t="s">
        <v>594</v>
      </c>
      <c r="D2056" s="2" t="str">
        <f t="shared" si="31"/>
        <v>Error?</v>
      </c>
    </row>
    <row r="2057" spans="1:4" x14ac:dyDescent="0.2">
      <c r="A2057" s="5">
        <v>1996</v>
      </c>
      <c r="B2057" s="138">
        <f>'Cap Outlay Deprec 26'!L8</f>
        <v>5095693</v>
      </c>
      <c r="C2057" s="2" t="s">
        <v>594</v>
      </c>
      <c r="D2057" s="2" t="str">
        <f t="shared" si="31"/>
        <v>Error?</v>
      </c>
    </row>
    <row r="2058" spans="1:4" x14ac:dyDescent="0.2">
      <c r="A2058" s="5">
        <v>1997</v>
      </c>
      <c r="B2058" s="138">
        <f>'Cap Outlay Deprec 26'!L10</f>
        <v>86573</v>
      </c>
      <c r="C2058" s="2" t="s">
        <v>594</v>
      </c>
      <c r="D2058" s="2" t="str">
        <f t="shared" si="31"/>
        <v>Error?</v>
      </c>
    </row>
    <row r="2059" spans="1:4" x14ac:dyDescent="0.2">
      <c r="A2059" s="5">
        <v>1998</v>
      </c>
      <c r="B2059" s="138">
        <f>'Cap Outlay Deprec 26'!L12</f>
        <v>206422</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5411688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110891</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2403739</v>
      </c>
      <c r="C2551" s="2" t="s">
        <v>594</v>
      </c>
      <c r="D2551" s="2" t="str">
        <f t="shared" si="38"/>
        <v>Error?</v>
      </c>
    </row>
    <row r="2552" spans="1:4" x14ac:dyDescent="0.2">
      <c r="A2552" s="10">
        <v>2491</v>
      </c>
      <c r="D2552" s="2" t="str">
        <f t="shared" si="38"/>
        <v>OK</v>
      </c>
    </row>
    <row r="2553" spans="1:4" x14ac:dyDescent="0.2">
      <c r="A2553" s="5">
        <v>2492</v>
      </c>
      <c r="B2553" s="138">
        <f>'Acct Summary 7-8'!C6</f>
        <v>1094060</v>
      </c>
      <c r="C2553" s="2" t="s">
        <v>594</v>
      </c>
      <c r="D2553" s="2" t="str">
        <f t="shared" si="38"/>
        <v>Error?</v>
      </c>
    </row>
    <row r="2554" spans="1:4" x14ac:dyDescent="0.2">
      <c r="A2554" s="5">
        <v>2493</v>
      </c>
      <c r="B2554" s="138">
        <f>'Acct Summary 7-8'!C7</f>
        <v>213976</v>
      </c>
      <c r="C2554" s="2" t="s">
        <v>594</v>
      </c>
      <c r="D2554" s="2" t="str">
        <f t="shared" si="38"/>
        <v>Error?</v>
      </c>
    </row>
    <row r="2555" spans="1:4" x14ac:dyDescent="0.2">
      <c r="A2555" s="5">
        <v>2494</v>
      </c>
      <c r="B2555" s="138">
        <f>'Acct Summary 7-8'!C8</f>
        <v>3711775</v>
      </c>
      <c r="C2555" s="2" t="s">
        <v>594</v>
      </c>
      <c r="D2555" s="2" t="str">
        <f t="shared" si="38"/>
        <v>Error?</v>
      </c>
    </row>
    <row r="2556" spans="1:4" x14ac:dyDescent="0.2">
      <c r="A2556" s="5">
        <v>2495</v>
      </c>
      <c r="B2556" s="138">
        <f>'Acct Summary 7-8'!C12</f>
        <v>2186244</v>
      </c>
      <c r="C2556" s="2" t="s">
        <v>594</v>
      </c>
      <c r="D2556" s="2" t="str">
        <f t="shared" si="38"/>
        <v>Error?</v>
      </c>
    </row>
    <row r="2557" spans="1:4" x14ac:dyDescent="0.2">
      <c r="A2557" s="5">
        <v>2496</v>
      </c>
      <c r="B2557" s="138">
        <f>'Acct Summary 7-8'!C13</f>
        <v>835107</v>
      </c>
      <c r="C2557" s="2" t="s">
        <v>594</v>
      </c>
      <c r="D2557" s="2" t="str">
        <f t="shared" si="38"/>
        <v>Error?</v>
      </c>
    </row>
    <row r="2558" spans="1:4" x14ac:dyDescent="0.2">
      <c r="A2558" s="5">
        <v>2497</v>
      </c>
      <c r="B2558" s="138">
        <f>'Acct Summary 7-8'!C14</f>
        <v>873</v>
      </c>
      <c r="C2558" s="2" t="s">
        <v>594</v>
      </c>
      <c r="D2558" s="2" t="str">
        <f t="shared" si="38"/>
        <v>Error?</v>
      </c>
    </row>
    <row r="2559" spans="1:4" x14ac:dyDescent="0.2">
      <c r="A2559" s="5">
        <v>2498</v>
      </c>
      <c r="B2559" s="138">
        <f>'Acct Summary 7-8'!C15</f>
        <v>110891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3133115</v>
      </c>
      <c r="C2561" s="2" t="s">
        <v>594</v>
      </c>
      <c r="D2561" s="2" t="str">
        <f t="shared" si="39"/>
        <v>Error?</v>
      </c>
    </row>
    <row r="2562" spans="1:4" x14ac:dyDescent="0.2">
      <c r="A2562" s="5">
        <v>2501</v>
      </c>
      <c r="B2562" s="138">
        <f>'Acct Summary 7-8'!C20</f>
        <v>578660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420816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420816</v>
      </c>
      <c r="C2568" s="2" t="s">
        <v>594</v>
      </c>
      <c r="D2568" s="2" t="str">
        <f t="shared" si="39"/>
        <v>Error?</v>
      </c>
    </row>
    <row r="2569" spans="1:4" x14ac:dyDescent="0.2">
      <c r="A2569" s="5">
        <v>2508</v>
      </c>
      <c r="B2569" s="138">
        <f>'Acct Summary 7-8'!D13</f>
        <v>289481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289481</v>
      </c>
      <c r="C2573" s="2" t="s">
        <v>594</v>
      </c>
      <c r="D2573" s="2" t="str">
        <f t="shared" si="39"/>
        <v>Error?</v>
      </c>
    </row>
    <row r="2574" spans="1:4" x14ac:dyDescent="0.2">
      <c r="A2574" s="5">
        <v>2513</v>
      </c>
      <c r="B2574" s="138">
        <f>'Acct Summary 7-8'!D20</f>
        <v>131335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213159</v>
      </c>
      <c r="C2591" s="2" t="s">
        <v>594</v>
      </c>
      <c r="D2591" s="2" t="str">
        <f t="shared" si="39"/>
        <v>Error?</v>
      </c>
    </row>
    <row r="2592" spans="1:4" x14ac:dyDescent="0.2">
      <c r="A2592" s="10">
        <v>2531</v>
      </c>
      <c r="D2592" s="2" t="str">
        <f t="shared" si="39"/>
        <v>OK</v>
      </c>
    </row>
    <row r="2593" spans="1:4" x14ac:dyDescent="0.2">
      <c r="A2593" s="5">
        <v>2532</v>
      </c>
      <c r="B2593" s="138">
        <f>'Acct Summary 7-8'!F6</f>
        <v>161892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375051</v>
      </c>
      <c r="C2595" s="2" t="s">
        <v>594</v>
      </c>
      <c r="D2595" s="2" t="str">
        <f t="shared" si="39"/>
        <v>Error?</v>
      </c>
    </row>
    <row r="2596" spans="1:4" x14ac:dyDescent="0.2">
      <c r="A2596" s="5">
        <v>2535</v>
      </c>
      <c r="B2596" s="138">
        <f>'Acct Summary 7-8'!F13</f>
        <v>263664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263664</v>
      </c>
      <c r="C2600" s="2" t="s">
        <v>594</v>
      </c>
      <c r="D2600" s="2" t="str">
        <f t="shared" si="39"/>
        <v>Error?</v>
      </c>
    </row>
    <row r="2601" spans="1:4" x14ac:dyDescent="0.2">
      <c r="A2601" s="5">
        <v>2540</v>
      </c>
      <c r="B2601" s="138">
        <f>'Acct Summary 7-8'!F20</f>
        <v>111387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160475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160475</v>
      </c>
      <c r="C2606" s="2" t="s">
        <v>594</v>
      </c>
      <c r="D2606" s="2" t="str">
        <f t="shared" si="39"/>
        <v>Error?</v>
      </c>
    </row>
    <row r="2607" spans="1:4" x14ac:dyDescent="0.2">
      <c r="A2607" s="5">
        <v>2546</v>
      </c>
      <c r="B2607" s="138">
        <f>'Acct Summary 7-8'!G12</f>
        <v>48920</v>
      </c>
      <c r="C2607" s="2" t="s">
        <v>594</v>
      </c>
      <c r="D2607" s="2" t="str">
        <f t="shared" si="39"/>
        <v>Error?</v>
      </c>
    </row>
    <row r="2608" spans="1:4" x14ac:dyDescent="0.2">
      <c r="A2608" s="5">
        <v>2547</v>
      </c>
      <c r="B2608" s="138">
        <f>'Acct Summary 7-8'!G13</f>
        <v>74165</v>
      </c>
      <c r="C2608" s="2" t="s">
        <v>594</v>
      </c>
      <c r="D2608" s="2" t="str">
        <f t="shared" si="39"/>
        <v>Error?</v>
      </c>
    </row>
    <row r="2609" spans="1:4" x14ac:dyDescent="0.2">
      <c r="A2609" s="5">
        <v>2548</v>
      </c>
      <c r="B2609" s="138">
        <f>'Acct Summary 7-8'!G14</f>
        <v>13</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123098</v>
      </c>
      <c r="C2612" s="2" t="s">
        <v>594</v>
      </c>
      <c r="D2612" s="2" t="str">
        <f t="shared" si="39"/>
        <v>Error?</v>
      </c>
    </row>
    <row r="2613" spans="1:4" x14ac:dyDescent="0.2">
      <c r="A2613" s="5">
        <v>2552</v>
      </c>
      <c r="B2613" s="138">
        <f>'Acct Summary 7-8'!G20</f>
        <v>37377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361625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361625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300145</v>
      </c>
      <c r="C2634" s="2" t="s">
        <v>594</v>
      </c>
      <c r="D2634" s="2" t="str">
        <f t="shared" si="40"/>
        <v>Error?</v>
      </c>
    </row>
    <row r="2635" spans="1:4" x14ac:dyDescent="0.2">
      <c r="A2635" s="5">
        <v>2574</v>
      </c>
      <c r="B2635" s="138">
        <f>'Acct Summary 7-8'!E17</f>
        <v>300145</v>
      </c>
      <c r="C2635" s="2" t="s">
        <v>594</v>
      </c>
      <c r="D2635" s="2" t="str">
        <f t="shared" si="40"/>
        <v>Error?</v>
      </c>
    </row>
    <row r="2636" spans="1:4" x14ac:dyDescent="0.2">
      <c r="A2636" s="5">
        <v>2575</v>
      </c>
      <c r="B2636" s="138">
        <f>'Acct Summary 7-8'!E20</f>
        <v>61480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223072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223072</v>
      </c>
      <c r="C2658" s="2" t="s">
        <v>594</v>
      </c>
      <c r="D2658" s="2" t="str">
        <f t="shared" si="40"/>
        <v>Error?</v>
      </c>
    </row>
    <row r="2659" spans="1:4" x14ac:dyDescent="0.2">
      <c r="A2659" s="5">
        <v>2598</v>
      </c>
      <c r="B2659" s="138">
        <f>'Acct Summary 7-8'!H13</f>
        <v>215025</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215025</v>
      </c>
      <c r="C2661" s="2" t="s">
        <v>594</v>
      </c>
      <c r="D2661" s="2" t="str">
        <f t="shared" si="40"/>
        <v>Error?</v>
      </c>
    </row>
    <row r="2662" spans="1:4" x14ac:dyDescent="0.2">
      <c r="A2662" s="5">
        <v>2601</v>
      </c>
      <c r="B2662" s="138">
        <f>'Acct Summary 7-8'!H20</f>
        <v>8047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62291</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285905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90999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285905</v>
      </c>
      <c r="D2912" s="2" t="str">
        <f t="shared" si="44"/>
        <v>Error?</v>
      </c>
    </row>
    <row r="2913" spans="1:4" x14ac:dyDescent="0.2">
      <c r="A2913" s="5">
        <v>2852</v>
      </c>
      <c r="B2913" s="138">
        <f>'Assets-Liab 5-6'!I41</f>
        <v>285905</v>
      </c>
      <c r="C2913" s="2" t="s">
        <v>594</v>
      </c>
      <c r="D2913" s="2" t="str">
        <f t="shared" si="44"/>
        <v>Error?</v>
      </c>
    </row>
    <row r="2914" spans="1:4" x14ac:dyDescent="0.2">
      <c r="A2914" s="5">
        <v>2853</v>
      </c>
      <c r="B2914" s="138">
        <f>'Assets-Liab 5-6'!L33</f>
        <v>90999</v>
      </c>
      <c r="D2914" s="2" t="str">
        <f t="shared" si="44"/>
        <v>Error?</v>
      </c>
    </row>
    <row r="2915" spans="1:4" x14ac:dyDescent="0.2">
      <c r="A2915" s="10">
        <v>2854</v>
      </c>
      <c r="D2915" s="2" t="str">
        <f t="shared" si="44"/>
        <v>OK</v>
      </c>
    </row>
    <row r="2916" spans="1:4" x14ac:dyDescent="0.2">
      <c r="A2916" s="5">
        <v>2855</v>
      </c>
      <c r="B2916" s="138">
        <f>'Assets-Liab 5-6'!L34</f>
        <v>90999</v>
      </c>
      <c r="C2916" s="2" t="s">
        <v>594</v>
      </c>
      <c r="D2916" s="2" t="str">
        <f t="shared" si="44"/>
        <v>Error?</v>
      </c>
    </row>
    <row r="2917" spans="1:4" x14ac:dyDescent="0.2">
      <c r="A2917" s="5">
        <v>2856</v>
      </c>
      <c r="B2917" s="138">
        <f>'Assets-Liab 5-6'!L41</f>
        <v>90999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56375</v>
      </c>
      <c r="D3055" s="2" t="str">
        <f t="shared" si="46"/>
        <v>Error?</v>
      </c>
    </row>
    <row r="3056" spans="1:4" x14ac:dyDescent="0.2">
      <c r="A3056" s="5">
        <v>2995</v>
      </c>
      <c r="B3056" s="138">
        <f>'Expenditures 15-22'!D10</f>
        <v>8411</v>
      </c>
      <c r="D3056" s="2" t="str">
        <f t="shared" si="46"/>
        <v>Error?</v>
      </c>
    </row>
    <row r="3057" spans="1:4" x14ac:dyDescent="0.2">
      <c r="A3057" s="5">
        <v>2996</v>
      </c>
      <c r="B3057" s="138">
        <f>'Expenditures 15-22'!E10</f>
        <v>2700</v>
      </c>
      <c r="D3057" s="2" t="str">
        <f t="shared" si="46"/>
        <v>Error?</v>
      </c>
    </row>
    <row r="3058" spans="1:4" x14ac:dyDescent="0.2">
      <c r="A3058" s="5">
        <v>2997</v>
      </c>
      <c r="B3058" s="138">
        <f>'Expenditures 15-22'!F10</f>
        <v>26654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94140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27134</v>
      </c>
      <c r="C3225" s="2" t="s">
        <v>594</v>
      </c>
      <c r="D3225" s="2" t="str">
        <f t="shared" si="49"/>
        <v>Error?</v>
      </c>
    </row>
    <row r="3226" spans="1:4" x14ac:dyDescent="0.2">
      <c r="A3226" s="5">
        <v>3165</v>
      </c>
      <c r="B3226" s="138">
        <f>'Acct Summary 7-8'!I8</f>
        <v>27134</v>
      </c>
      <c r="C3226" s="2" t="s">
        <v>594</v>
      </c>
      <c r="D3226" s="2" t="str">
        <f t="shared" si="49"/>
        <v>Error?</v>
      </c>
    </row>
    <row r="3227" spans="1:4" x14ac:dyDescent="0.2">
      <c r="A3227" s="5">
        <v>3166</v>
      </c>
      <c r="B3227" s="138">
        <f>'Acct Summary 7-8'!I20</f>
        <v>27134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578660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131335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111387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37377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61480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8047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27134</v>
      </c>
      <c r="C3320" s="2" t="s">
        <v>594</v>
      </c>
      <c r="D3320" s="2" t="str">
        <f t="shared" si="50"/>
        <v>Error?</v>
      </c>
    </row>
    <row r="3321" spans="1:4" x14ac:dyDescent="0.2">
      <c r="A3321" s="5">
        <v>3260</v>
      </c>
      <c r="B3321" s="138">
        <f>'Acct Summary 7-8'!I79</f>
        <v>258771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285905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232001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35173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73178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340352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26178</v>
      </c>
      <c r="D3387" s="2" t="str">
        <f t="shared" si="51"/>
        <v>Error?</v>
      </c>
    </row>
    <row r="3388" spans="1:4" x14ac:dyDescent="0.2">
      <c r="A3388" s="5">
        <v>3327</v>
      </c>
      <c r="B3388" s="138">
        <f>'Expenditures 15-22'!D217</f>
        <v>8403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26178</v>
      </c>
      <c r="C3390" s="2" t="s">
        <v>594</v>
      </c>
      <c r="D3390" s="2" t="str">
        <f t="shared" si="51"/>
        <v>Error?</v>
      </c>
    </row>
    <row r="3391" spans="1:4" x14ac:dyDescent="0.2">
      <c r="A3391" s="5">
        <v>3330</v>
      </c>
      <c r="B3391" s="138">
        <f>'Expenditures 15-22'!K217</f>
        <v>8403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1177914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428800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150456</v>
      </c>
      <c r="D3417" s="2" t="str">
        <f t="shared" si="52"/>
        <v>Error?</v>
      </c>
    </row>
    <row r="3418" spans="1:4" x14ac:dyDescent="0.2">
      <c r="A3418" s="10">
        <v>3357</v>
      </c>
      <c r="D3418" s="2" t="str">
        <f t="shared" si="52"/>
        <v>OK</v>
      </c>
    </row>
    <row r="3419" spans="1:4" x14ac:dyDescent="0.2">
      <c r="A3419" s="5">
        <v>3358</v>
      </c>
      <c r="B3419" s="138">
        <f>'Assets-Liab 5-6'!F4</f>
        <v>470648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63628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273334</v>
      </c>
      <c r="D3425" s="2" t="str">
        <f t="shared" si="52"/>
        <v>Error?</v>
      </c>
    </row>
    <row r="3426" spans="1:4" x14ac:dyDescent="0.2">
      <c r="A3426" s="10">
        <v>3365</v>
      </c>
      <c r="D3426" s="2" t="str">
        <f t="shared" si="52"/>
        <v>OK</v>
      </c>
    </row>
    <row r="3427" spans="1:4" x14ac:dyDescent="0.2">
      <c r="A3427" s="5">
        <v>3366</v>
      </c>
      <c r="B3427" s="138">
        <f>'Assets-Liab 5-6'!I4</f>
        <v>223614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90999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72663</v>
      </c>
      <c r="C3446" s="2" t="s">
        <v>594</v>
      </c>
      <c r="D3446" s="2" t="str">
        <f t="shared" si="52"/>
        <v>Error?</v>
      </c>
    </row>
    <row r="3447" spans="1:4" x14ac:dyDescent="0.2">
      <c r="A3447" s="5">
        <v>3386</v>
      </c>
      <c r="B3447" s="138">
        <f>'Tax Sched 23'!D16</f>
        <v>28203</v>
      </c>
      <c r="C3447" s="2" t="s">
        <v>594</v>
      </c>
      <c r="D3447" s="2" t="str">
        <f t="shared" si="52"/>
        <v>Error?</v>
      </c>
    </row>
    <row r="3448" spans="1:4" x14ac:dyDescent="0.2">
      <c r="A3448" s="5">
        <v>3387</v>
      </c>
      <c r="B3448" s="138">
        <f>'Tax Sched 23'!C16</f>
        <v>44460</v>
      </c>
      <c r="D3448" s="2" t="str">
        <f t="shared" si="52"/>
        <v>Error?</v>
      </c>
    </row>
    <row r="3449" spans="1:4" x14ac:dyDescent="0.2">
      <c r="A3449" s="5">
        <v>3388</v>
      </c>
      <c r="B3449" s="138">
        <f>'Tax Sched 23'!F16</f>
        <v>16003</v>
      </c>
      <c r="C3449" s="2" t="s">
        <v>594</v>
      </c>
      <c r="D3449" s="2" t="str">
        <f t="shared" si="52"/>
        <v>Error?</v>
      </c>
    </row>
    <row r="3450" spans="1:4" x14ac:dyDescent="0.2">
      <c r="A3450" s="5">
        <v>3389</v>
      </c>
      <c r="B3450" s="138">
        <f>'Tax Sched 23'!E16</f>
        <v>60463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110392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110392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110392</v>
      </c>
      <c r="D3567" s="2" t="str">
        <f t="shared" si="54"/>
        <v>Error?</v>
      </c>
    </row>
    <row r="3568" spans="1:4" x14ac:dyDescent="0.2">
      <c r="A3568" s="5">
        <v>3507</v>
      </c>
      <c r="B3568" s="138">
        <f>'Assets-Liab 5-6'!K41</f>
        <v>110392</v>
      </c>
      <c r="C3568" s="2" t="s">
        <v>594</v>
      </c>
      <c r="D3568" s="2" t="str">
        <f t="shared" si="54"/>
        <v>Error?</v>
      </c>
    </row>
    <row r="3569" spans="1:4" x14ac:dyDescent="0.2">
      <c r="A3569" s="5">
        <v>3508</v>
      </c>
      <c r="B3569" s="138">
        <f>'Acct Summary 7-8'!K4</f>
        <v>29083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29083</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29083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29083</v>
      </c>
      <c r="C3588" s="2" t="s">
        <v>594</v>
      </c>
      <c r="D3588" s="2" t="str">
        <f t="shared" si="55"/>
        <v>Error?</v>
      </c>
    </row>
    <row r="3589" spans="1:4" x14ac:dyDescent="0.2">
      <c r="A3589" s="5">
        <v>3528</v>
      </c>
      <c r="B3589" s="138">
        <f>'Acct Summary 7-8'!K79</f>
        <v>81309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110392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29083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184388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3896163</v>
      </c>
      <c r="C4122" s="2" t="s">
        <v>594</v>
      </c>
      <c r="D4122" s="2" t="str">
        <f t="shared" si="63"/>
        <v>Error?</v>
      </c>
    </row>
    <row r="4123" spans="1:4" x14ac:dyDescent="0.2">
      <c r="A4123" s="5">
        <v>4062</v>
      </c>
      <c r="B4123" s="138">
        <f>'Acct Summary 7-8'!D10</f>
        <v>420816</v>
      </c>
      <c r="C4123" s="2" t="s">
        <v>594</v>
      </c>
      <c r="D4123" s="2" t="str">
        <f t="shared" si="63"/>
        <v>Error?</v>
      </c>
    </row>
    <row r="4124" spans="1:4" x14ac:dyDescent="0.2">
      <c r="A4124" s="5">
        <v>4063</v>
      </c>
      <c r="B4124" s="138">
        <f>'Acct Summary 7-8'!E10</f>
        <v>361625</v>
      </c>
      <c r="C4124" s="2" t="s">
        <v>594</v>
      </c>
      <c r="D4124" s="2" t="str">
        <f t="shared" si="63"/>
        <v>Error?</v>
      </c>
    </row>
    <row r="4125" spans="1:4" x14ac:dyDescent="0.2">
      <c r="A4125" s="5">
        <v>4064</v>
      </c>
      <c r="B4125" s="138">
        <f>'Acct Summary 7-8'!F10</f>
        <v>375051</v>
      </c>
      <c r="C4125" s="2" t="s">
        <v>594</v>
      </c>
      <c r="D4125" s="2" t="str">
        <f t="shared" si="63"/>
        <v>Error?</v>
      </c>
    </row>
    <row r="4126" spans="1:4" x14ac:dyDescent="0.2">
      <c r="A4126" s="5">
        <v>4065</v>
      </c>
      <c r="B4126" s="138">
        <f>'Acct Summary 7-8'!G10</f>
        <v>160475</v>
      </c>
      <c r="C4126" s="2" t="s">
        <v>594</v>
      </c>
      <c r="D4126" s="2" t="str">
        <f t="shared" si="63"/>
        <v>Error?</v>
      </c>
    </row>
    <row r="4127" spans="1:4" x14ac:dyDescent="0.2">
      <c r="A4127" s="5">
        <v>4066</v>
      </c>
      <c r="B4127" s="138">
        <f>'Acct Summary 7-8'!H10</f>
        <v>223072</v>
      </c>
      <c r="C4127" s="2" t="s">
        <v>594</v>
      </c>
      <c r="D4127" s="2" t="str">
        <f t="shared" si="63"/>
        <v>Error?</v>
      </c>
    </row>
    <row r="4128" spans="1:4" x14ac:dyDescent="0.2">
      <c r="A4128" s="5">
        <v>4067</v>
      </c>
      <c r="B4128" s="138">
        <f>'Acct Summary 7-8'!I10</f>
        <v>27134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29083</v>
      </c>
      <c r="C4130" s="2" t="s">
        <v>594</v>
      </c>
      <c r="D4130" s="2" t="str">
        <f t="shared" si="63"/>
        <v>Error?</v>
      </c>
    </row>
    <row r="4131" spans="1:4" x14ac:dyDescent="0.2">
      <c r="A4131" s="5">
        <v>4070</v>
      </c>
      <c r="B4131" s="138">
        <f>'Acct Summary 7-8'!C18</f>
        <v>184388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3317503</v>
      </c>
      <c r="C4136" s="2" t="s">
        <v>594</v>
      </c>
      <c r="D4136" s="2" t="str">
        <f t="shared" si="63"/>
        <v>Error?</v>
      </c>
    </row>
    <row r="4137" spans="1:4" x14ac:dyDescent="0.2">
      <c r="A4137" s="5">
        <v>4076</v>
      </c>
      <c r="B4137" s="138">
        <f>'Acct Summary 7-8'!D19</f>
        <v>289481</v>
      </c>
      <c r="C4137" s="2" t="s">
        <v>594</v>
      </c>
      <c r="D4137" s="2" t="str">
        <f t="shared" si="63"/>
        <v>Error?</v>
      </c>
    </row>
    <row r="4138" spans="1:4" x14ac:dyDescent="0.2">
      <c r="A4138" s="5">
        <v>4077</v>
      </c>
      <c r="B4138" s="138">
        <f>'Acct Summary 7-8'!E19</f>
        <v>300145</v>
      </c>
      <c r="C4138" s="2" t="s">
        <v>594</v>
      </c>
      <c r="D4138" s="2" t="str">
        <f t="shared" si="63"/>
        <v>Error?</v>
      </c>
    </row>
    <row r="4139" spans="1:4" x14ac:dyDescent="0.2">
      <c r="A4139" s="5">
        <v>4078</v>
      </c>
      <c r="B4139" s="138">
        <f>'Acct Summary 7-8'!F19</f>
        <v>263664</v>
      </c>
      <c r="C4139" s="2" t="s">
        <v>594</v>
      </c>
      <c r="D4139" s="2" t="str">
        <f t="shared" si="63"/>
        <v>Error?</v>
      </c>
    </row>
    <row r="4140" spans="1:4" x14ac:dyDescent="0.2">
      <c r="A4140" s="5">
        <v>4079</v>
      </c>
      <c r="B4140" s="138">
        <f>'Acct Summary 7-8'!G19</f>
        <v>123098</v>
      </c>
      <c r="C4140" s="2" t="s">
        <v>594</v>
      </c>
      <c r="D4140" s="2" t="str">
        <f t="shared" si="63"/>
        <v>Error?</v>
      </c>
    </row>
    <row r="4141" spans="1:4" x14ac:dyDescent="0.2">
      <c r="A4141" s="5">
        <v>4080</v>
      </c>
      <c r="B4141" s="138">
        <f>'Acct Summary 7-8'!H19</f>
        <v>215025</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3165000</v>
      </c>
      <c r="C4171" s="2" t="s">
        <v>594</v>
      </c>
      <c r="D4171" s="2" t="str">
        <f t="shared" si="64"/>
        <v>Error?</v>
      </c>
    </row>
    <row r="4172" spans="1:4" x14ac:dyDescent="0.2">
      <c r="A4172" s="5">
        <v>4111</v>
      </c>
      <c r="B4172" s="138">
        <f>'Short-Term Long-Term Debt 24'!J49</f>
        <v>2974940</v>
      </c>
      <c r="C4172" s="2" t="s">
        <v>594</v>
      </c>
      <c r="D4172" s="2" t="str">
        <f t="shared" si="64"/>
        <v>Error?</v>
      </c>
    </row>
    <row r="4173" spans="1:4" x14ac:dyDescent="0.2">
      <c r="A4173" s="5">
        <v>4112</v>
      </c>
      <c r="B4173" s="138">
        <f>'Short-Term Long-Term Debt 24'!H49</f>
        <v>170000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3311.3999999999996</v>
      </c>
      <c r="C4265" s="2" t="s">
        <v>594</v>
      </c>
      <c r="D4265" s="2" t="str">
        <f t="shared" si="65"/>
        <v>Error?</v>
      </c>
      <c r="E4265" s="128"/>
    </row>
    <row r="4266" spans="1:5" x14ac:dyDescent="0.2">
      <c r="A4266" s="12">
        <v>4205</v>
      </c>
      <c r="B4266" s="138">
        <f>('FP Info 3'!F10)*100000</f>
        <v>587.9</v>
      </c>
      <c r="C4266" s="2" t="s">
        <v>594</v>
      </c>
      <c r="D4266" s="2" t="str">
        <f t="shared" si="65"/>
        <v>Error?</v>
      </c>
      <c r="E4266" s="128"/>
    </row>
    <row r="4267" spans="1:5" x14ac:dyDescent="0.2">
      <c r="A4267" s="12">
        <v>4206</v>
      </c>
      <c r="B4267" s="138">
        <f>('FP Info 3'!H10)*100000</f>
        <v>324</v>
      </c>
      <c r="C4267" s="2" t="s">
        <v>594</v>
      </c>
      <c r="D4267" s="2" t="str">
        <f t="shared" si="65"/>
        <v>Error?</v>
      </c>
      <c r="E4267" s="128"/>
    </row>
    <row r="4268" spans="1:5" x14ac:dyDescent="0.2">
      <c r="A4268" s="12">
        <v>4207</v>
      </c>
      <c r="B4268" s="138">
        <f>('FP Info 3'!J10)*100000</f>
        <v>4223</v>
      </c>
      <c r="C4268" s="2" t="s">
        <v>594</v>
      </c>
      <c r="D4268" s="2" t="str">
        <f t="shared" si="65"/>
        <v>Error?</v>
      </c>
    </row>
    <row r="4269" spans="1:5" x14ac:dyDescent="0.2">
      <c r="A4269" s="12">
        <v>4208</v>
      </c>
      <c r="B4269" s="138">
        <f>'FP Info 3'!J16</f>
        <v>3166935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12188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17722</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17722</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9129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41.5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51323472</v>
      </c>
      <c r="D4995" s="2" t="str">
        <f t="shared" si="77"/>
        <v>Error?</v>
      </c>
    </row>
    <row r="4996" spans="1:4" x14ac:dyDescent="0.2">
      <c r="A4996" s="12">
        <v>4935</v>
      </c>
      <c r="B4996" s="138">
        <f>'FP Info 3'!H31</f>
        <v>7082639.1360000009</v>
      </c>
      <c r="D4996" s="2" t="str">
        <f t="shared" si="77"/>
        <v>Error?</v>
      </c>
    </row>
    <row r="4997" spans="1:4" x14ac:dyDescent="0.2">
      <c r="A4997" s="12">
        <v>4936</v>
      </c>
      <c r="B4997" s="138">
        <f>'FP Info 3'!H37</f>
        <v>3165000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2099878</v>
      </c>
      <c r="D5061" s="2" t="str">
        <f t="shared" si="78"/>
        <v>Error?</v>
      </c>
    </row>
    <row r="5062" spans="1:4" x14ac:dyDescent="0.2">
      <c r="A5062" s="10">
        <v>5001</v>
      </c>
      <c r="D5062" s="2" t="str">
        <f t="shared" si="78"/>
        <v>OK</v>
      </c>
    </row>
    <row r="5063" spans="1:4" x14ac:dyDescent="0.2">
      <c r="A5063" s="5">
        <v>5002</v>
      </c>
      <c r="B5063" s="138">
        <f>'Revenues 9-14'!C7</f>
        <v>21109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2120987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89791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89791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20902</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20902</v>
      </c>
      <c r="C5087" s="2" t="s">
        <v>594</v>
      </c>
      <c r="D5087" s="2" t="str">
        <f t="shared" si="78"/>
        <v>Error?</v>
      </c>
    </row>
    <row r="5088" spans="1:4" x14ac:dyDescent="0.2">
      <c r="A5088" s="5">
        <v>5027</v>
      </c>
      <c r="B5088" s="138">
        <f>'Revenues 9-14'!C65</f>
        <v>10013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10013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44675</v>
      </c>
      <c r="C5096" s="2" t="s">
        <v>594</v>
      </c>
      <c r="D5096" s="2" t="str">
        <f t="shared" si="78"/>
        <v>Error?</v>
      </c>
    </row>
    <row r="5097" spans="1:4" x14ac:dyDescent="0.2">
      <c r="A5097" s="5">
        <v>5036</v>
      </c>
      <c r="B5097" s="138">
        <f>'Revenues 9-14'!C77</f>
        <v>9018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8140</v>
      </c>
      <c r="D5101" s="2" t="str">
        <f t="shared" si="78"/>
        <v>Error?</v>
      </c>
    </row>
    <row r="5102" spans="1:4" x14ac:dyDescent="0.2">
      <c r="A5102" s="5">
        <v>5041</v>
      </c>
      <c r="B5102" s="138">
        <f>'Revenues 9-14'!C82</f>
        <v>17158</v>
      </c>
      <c r="C5102" s="2" t="s">
        <v>594</v>
      </c>
      <c r="D5102" s="2" t="str">
        <f t="shared" si="78"/>
        <v>Error?</v>
      </c>
    </row>
    <row r="5103" spans="1:4" x14ac:dyDescent="0.2">
      <c r="A5103" s="5">
        <v>5042</v>
      </c>
      <c r="B5103" s="138">
        <f>'Revenues 9-14'!C84</f>
        <v>21635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21635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22456</v>
      </c>
      <c r="D5114" s="2" t="str">
        <f t="shared" si="78"/>
        <v>Error?</v>
      </c>
    </row>
    <row r="5115" spans="1:4" x14ac:dyDescent="0.2">
      <c r="A5115" s="5">
        <v>5054</v>
      </c>
      <c r="B5115" s="138">
        <f>'Revenues 9-14'!C98</f>
        <v>51906</v>
      </c>
      <c r="D5115" s="2" t="str">
        <f t="shared" si="78"/>
        <v>Error?</v>
      </c>
    </row>
    <row r="5116" spans="1:4" x14ac:dyDescent="0.2">
      <c r="A5116" s="5">
        <v>5055</v>
      </c>
      <c r="B5116" s="138">
        <f>'Revenues 9-14'!C99</f>
        <v>1750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216</v>
      </c>
      <c r="D5119" s="2" t="str">
        <f t="shared" ref="D5119:D5182" si="79">IF(ISBLANK(B5119),"OK",IF(A5119-B5119=0,"OK","Error?"))</f>
        <v>Error?</v>
      </c>
    </row>
    <row r="5120" spans="1:4" x14ac:dyDescent="0.2">
      <c r="A5120" s="5">
        <v>5059</v>
      </c>
      <c r="B5120" s="138">
        <f>'Revenues 9-14'!C108</f>
        <v>78578</v>
      </c>
      <c r="C5120" s="2" t="s">
        <v>594</v>
      </c>
      <c r="D5120" s="2" t="str">
        <f t="shared" si="79"/>
        <v>Error?</v>
      </c>
    </row>
    <row r="5121" spans="1:4" x14ac:dyDescent="0.2">
      <c r="A5121" s="5">
        <v>5060</v>
      </c>
      <c r="B5121" s="138">
        <f>'Revenues 9-14'!C109</f>
        <v>2403739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937968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937968</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23860</v>
      </c>
      <c r="D5134" s="2" t="str">
        <f t="shared" si="79"/>
        <v>Error?</v>
      </c>
    </row>
    <row r="5135" spans="1:4" x14ac:dyDescent="0.2">
      <c r="A5135" s="5">
        <v>5074</v>
      </c>
      <c r="B5135" s="138">
        <f>'Revenues 9-14'!C126</f>
        <v>27143</v>
      </c>
      <c r="D5135" s="2" t="str">
        <f t="shared" si="79"/>
        <v>Error?</v>
      </c>
    </row>
    <row r="5136" spans="1:4" x14ac:dyDescent="0.2">
      <c r="A5136" s="10">
        <v>5075</v>
      </c>
      <c r="D5136" s="2" t="str">
        <f t="shared" si="79"/>
        <v>OK</v>
      </c>
    </row>
    <row r="5137" spans="1:4" x14ac:dyDescent="0.2">
      <c r="A5137" s="5">
        <v>5076</v>
      </c>
      <c r="B5137" s="138">
        <f>'Revenues 9-14'!C127</f>
        <v>5203</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56206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1159</v>
      </c>
      <c r="D5167" s="2" t="str">
        <f t="shared" si="79"/>
        <v>Error?</v>
      </c>
    </row>
    <row r="5168" spans="1:4" x14ac:dyDescent="0.2">
      <c r="A5168" s="5">
        <v>5107</v>
      </c>
      <c r="B5168" s="138">
        <f>'Revenues 9-14'!C147</f>
        <v>4193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93034</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156092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1094060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54014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18027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72041</v>
      </c>
      <c r="C5246" s="2" t="s">
        <v>594</v>
      </c>
      <c r="D5246" s="2" t="str">
        <f t="shared" si="80"/>
        <v>Error?</v>
      </c>
    </row>
    <row r="5247" spans="1:4" x14ac:dyDescent="0.2">
      <c r="A5247" s="5">
        <v>5186</v>
      </c>
      <c r="B5247" s="138">
        <f>'Revenues 9-14'!C203</f>
        <v>102896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102896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213976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213976</v>
      </c>
      <c r="C5326" s="2" t="s">
        <v>594</v>
      </c>
      <c r="D5326" s="2" t="str">
        <f t="shared" si="82"/>
        <v>Error?</v>
      </c>
    </row>
    <row r="5327" spans="1:4" x14ac:dyDescent="0.2">
      <c r="A5327" s="5">
        <v>5266</v>
      </c>
      <c r="B5327" s="138">
        <f>'Revenues 9-14'!C275</f>
        <v>3711775</v>
      </c>
      <c r="C5327" s="2" t="s">
        <v>594</v>
      </c>
      <c r="D5327" s="2" t="str">
        <f t="shared" si="82"/>
        <v>Error?</v>
      </c>
    </row>
    <row r="5328" spans="1:4" x14ac:dyDescent="0.2">
      <c r="A5328" s="5">
        <v>5267</v>
      </c>
      <c r="B5328" s="138">
        <f>'Revenues 9-14'!D5</f>
        <v>372733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372733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34666</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34666</v>
      </c>
      <c r="C5339" s="2" t="s">
        <v>594</v>
      </c>
      <c r="D5339" s="2" t="str">
        <f t="shared" si="82"/>
        <v>Error?</v>
      </c>
    </row>
    <row r="5340" spans="1:4" x14ac:dyDescent="0.2">
      <c r="A5340" s="5">
        <v>5279</v>
      </c>
      <c r="B5340" s="138">
        <f>'Revenues 9-14'!D65</f>
        <v>1909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1909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262</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11246</v>
      </c>
      <c r="D5354" s="2" t="str">
        <f t="shared" si="82"/>
        <v>Error?</v>
      </c>
    </row>
    <row r="5355" spans="1:4" x14ac:dyDescent="0.2">
      <c r="A5355" s="5">
        <v>5294</v>
      </c>
      <c r="B5355" s="138">
        <f>'Revenues 9-14'!D108</f>
        <v>11508</v>
      </c>
      <c r="C5355" s="2" t="s">
        <v>594</v>
      </c>
      <c r="D5355" s="2" t="str">
        <f t="shared" si="82"/>
        <v>Error?</v>
      </c>
    </row>
    <row r="5356" spans="1:4" x14ac:dyDescent="0.2">
      <c r="A5356" s="5">
        <v>5295</v>
      </c>
      <c r="B5356" s="138">
        <f>'Revenues 9-14'!D109</f>
        <v>420816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420816</v>
      </c>
      <c r="C5508" s="2" t="s">
        <v>594</v>
      </c>
      <c r="D5508" s="2" t="str">
        <f t="shared" si="85"/>
        <v>Error?</v>
      </c>
    </row>
    <row r="5509" spans="1:4" x14ac:dyDescent="0.2">
      <c r="A5509" s="5">
        <v>5448</v>
      </c>
      <c r="B5509" s="138">
        <f>'Revenues 9-14'!E5</f>
        <v>360727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360727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898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898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361625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361625</v>
      </c>
      <c r="C5552" s="2" t="s">
        <v>594</v>
      </c>
      <c r="D5552" s="2" t="str">
        <f t="shared" si="85"/>
        <v>Error?</v>
      </c>
    </row>
    <row r="5553" spans="1:4" x14ac:dyDescent="0.2">
      <c r="A5553" s="5">
        <v>5492</v>
      </c>
      <c r="B5553" s="138">
        <f>'Revenues 9-14'!F5</f>
        <v>205421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205421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1357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1357</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6381</v>
      </c>
      <c r="D5586" s="2" t="str">
        <f t="shared" si="86"/>
        <v>Error?</v>
      </c>
    </row>
    <row r="5587" spans="1:4" x14ac:dyDescent="0.2">
      <c r="A5587" s="5">
        <v>5526</v>
      </c>
      <c r="B5587" s="138">
        <f>'Revenues 9-14'!F108</f>
        <v>6381</v>
      </c>
      <c r="C5587" s="2" t="s">
        <v>594</v>
      </c>
      <c r="D5587" s="2" t="str">
        <f t="shared" si="86"/>
        <v>Error?</v>
      </c>
    </row>
    <row r="5588" spans="1:4" x14ac:dyDescent="0.2">
      <c r="A5588" s="5">
        <v>5527</v>
      </c>
      <c r="B5588" s="138">
        <f>'Revenues 9-14'!F109</f>
        <v>213159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94709</v>
      </c>
      <c r="D5615" s="2" t="str">
        <f t="shared" si="86"/>
        <v>Error?</v>
      </c>
    </row>
    <row r="5616" spans="1:4" x14ac:dyDescent="0.2">
      <c r="A5616" s="10">
        <v>5555</v>
      </c>
      <c r="D5616" s="2" t="str">
        <f t="shared" si="86"/>
        <v>OK</v>
      </c>
    </row>
    <row r="5617" spans="1:4" x14ac:dyDescent="0.2">
      <c r="A5617" s="5">
        <v>5556</v>
      </c>
      <c r="B5617" s="138">
        <f>'Revenues 9-14'!F152</f>
        <v>67183</v>
      </c>
      <c r="D5617" s="2" t="str">
        <f t="shared" si="86"/>
        <v>Error?</v>
      </c>
    </row>
    <row r="5618" spans="1:4" x14ac:dyDescent="0.2">
      <c r="A5618" s="5">
        <v>5557</v>
      </c>
      <c r="B5618" s="138">
        <f>'Revenues 9-14'!F154</f>
        <v>161892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161892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161892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375051</v>
      </c>
      <c r="C5720" s="2" t="s">
        <v>594</v>
      </c>
      <c r="D5720" s="2" t="str">
        <f t="shared" si="88"/>
        <v>Error?</v>
      </c>
    </row>
    <row r="5721" spans="1:4" x14ac:dyDescent="0.2">
      <c r="A5721" s="5">
        <v>5660</v>
      </c>
      <c r="B5721" s="138">
        <f>'Revenues 9-14'!G5</f>
        <v>72663</v>
      </c>
      <c r="D5721" s="2" t="str">
        <f t="shared" si="88"/>
        <v>Error?</v>
      </c>
    </row>
    <row r="5722" spans="1:4" x14ac:dyDescent="0.2">
      <c r="A5722" s="5">
        <v>5661</v>
      </c>
      <c r="B5722" s="138">
        <f>'Revenues 9-14'!G7</f>
        <v>0</v>
      </c>
      <c r="D5722" s="2" t="str">
        <f t="shared" si="88"/>
        <v>Error?</v>
      </c>
    </row>
    <row r="5723" spans="1:4" x14ac:dyDescent="0.2">
      <c r="A5723" s="5">
        <v>5662</v>
      </c>
      <c r="B5723" s="138">
        <f>'Revenues 9-14'!G8</f>
        <v>72663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145326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15000</v>
      </c>
      <c r="C5730" s="2" t="s">
        <v>594</v>
      </c>
      <c r="D5730" s="2" t="str">
        <f t="shared" si="88"/>
        <v>Error?</v>
      </c>
    </row>
    <row r="5731" spans="1:4" x14ac:dyDescent="0.2">
      <c r="A5731" s="5">
        <v>5670</v>
      </c>
      <c r="B5731" s="138">
        <f>'Revenues 9-14'!G65</f>
        <v>149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149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160475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223072</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223072</v>
      </c>
      <c r="C5915" s="2" t="s">
        <v>594</v>
      </c>
      <c r="D5915" s="2" t="str">
        <f t="shared" si="91"/>
        <v>Error?</v>
      </c>
    </row>
    <row r="5916" spans="1:4" x14ac:dyDescent="0.2">
      <c r="A5916" s="5">
        <v>5855</v>
      </c>
      <c r="B5916" s="138">
        <f>'Revenues 9-14'!I5</f>
        <v>26295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26295</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839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839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27134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29053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29053</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30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29083</v>
      </c>
      <c r="C6023" s="2" t="s">
        <v>594</v>
      </c>
      <c r="D6023" s="2" t="str">
        <f t="shared" si="93"/>
        <v>Error?</v>
      </c>
    </row>
    <row r="6024" spans="1:5" x14ac:dyDescent="0.2">
      <c r="A6024" s="5">
        <v>5963</v>
      </c>
      <c r="B6024" s="138">
        <f>'Revenues 9-14'!G109</f>
        <v>160475</v>
      </c>
      <c r="C6024" s="2" t="s">
        <v>594</v>
      </c>
      <c r="D6024" s="2" t="str">
        <f t="shared" si="93"/>
        <v>Error?</v>
      </c>
    </row>
    <row r="6025" spans="1:5" x14ac:dyDescent="0.2">
      <c r="A6025" s="5">
        <v>5964</v>
      </c>
      <c r="B6025" s="138">
        <f>'Revenues 9-14'!H109</f>
        <v>223072</v>
      </c>
      <c r="C6025" s="2" t="s">
        <v>594</v>
      </c>
      <c r="D6025" s="2" t="str">
        <f t="shared" si="93"/>
        <v>Error?</v>
      </c>
    </row>
    <row r="6026" spans="1:5" x14ac:dyDescent="0.2">
      <c r="A6026" s="5">
        <v>5965</v>
      </c>
      <c r="B6026" s="138">
        <f>'Revenues 9-14'!I109</f>
        <v>27134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29083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44675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14636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331.75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34712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34712</v>
      </c>
      <c r="D6215" s="2" t="str">
        <f t="shared" si="96"/>
        <v>Error?</v>
      </c>
      <c r="E6215" s="2" t="s">
        <v>199</v>
      </c>
    </row>
    <row r="6216" spans="1:5" x14ac:dyDescent="0.2">
      <c r="A6216">
        <v>6155</v>
      </c>
      <c r="B6216" s="138">
        <f>'Assets-Liab 5-6'!J41</f>
        <v>34712</v>
      </c>
      <c r="D6216" s="2" t="str">
        <f t="shared" si="96"/>
        <v>Error?</v>
      </c>
      <c r="E6216" s="2" t="s">
        <v>199</v>
      </c>
    </row>
    <row r="6217" spans="1:5" x14ac:dyDescent="0.2">
      <c r="A6217">
        <v>6156</v>
      </c>
      <c r="B6217" s="138">
        <f>'Assets-Liab 5-6'!J4</f>
        <v>34712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54650</v>
      </c>
      <c r="D6220" s="2" t="str">
        <f t="shared" si="96"/>
        <v>Error?</v>
      </c>
      <c r="E6220" s="2" t="s">
        <v>199</v>
      </c>
    </row>
    <row r="6221" spans="1:5" x14ac:dyDescent="0.2">
      <c r="A6221">
        <v>6160</v>
      </c>
      <c r="B6221" s="138">
        <f>'Acct Summary 7-8'!J6</f>
        <v>15000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69650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69650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54118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54118</v>
      </c>
      <c r="D6229" s="2" t="str">
        <f t="shared" si="96"/>
        <v>Error?</v>
      </c>
      <c r="E6229" s="2" t="s">
        <v>199</v>
      </c>
    </row>
    <row r="6230" spans="1:5" x14ac:dyDescent="0.2">
      <c r="A6230">
        <v>6169</v>
      </c>
      <c r="B6230" s="138">
        <f>'Acct Summary 7-8'!J20</f>
        <v>15532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15532</v>
      </c>
      <c r="D6263" s="2" t="str">
        <f t="shared" si="96"/>
        <v>Error?</v>
      </c>
      <c r="E6263" s="2" t="s">
        <v>199</v>
      </c>
    </row>
    <row r="6264" spans="1:5" x14ac:dyDescent="0.2">
      <c r="A6264">
        <v>6203</v>
      </c>
      <c r="B6264" s="138">
        <f>'Acct Summary 7-8'!J79</f>
        <v>19180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34712</v>
      </c>
      <c r="D6266" s="2" t="str">
        <f t="shared" si="96"/>
        <v>Error?</v>
      </c>
      <c r="E6266" s="2" t="s">
        <v>199</v>
      </c>
    </row>
    <row r="6267" spans="1:5" x14ac:dyDescent="0.2">
      <c r="A6267">
        <v>6206</v>
      </c>
      <c r="B6267" s="138">
        <f>'Acct Summary 7-8'!C82</f>
        <v>578660</v>
      </c>
      <c r="D6267" s="2" t="str">
        <f t="shared" si="96"/>
        <v>Error?</v>
      </c>
      <c r="E6267" s="2" t="s">
        <v>199</v>
      </c>
    </row>
    <row r="6268" spans="1:5" x14ac:dyDescent="0.2">
      <c r="A6268">
        <v>6207</v>
      </c>
      <c r="B6268" s="138">
        <f>'Acct Summary 7-8'!D82</f>
        <v>131335</v>
      </c>
      <c r="D6268" s="2" t="str">
        <f t="shared" si="96"/>
        <v>Error?</v>
      </c>
      <c r="E6268" s="2" t="s">
        <v>199</v>
      </c>
    </row>
    <row r="6269" spans="1:5" x14ac:dyDescent="0.2">
      <c r="A6269">
        <v>6208</v>
      </c>
      <c r="B6269" s="138">
        <f>'Acct Summary 7-8'!E82</f>
        <v>61480</v>
      </c>
      <c r="D6269" s="2" t="str">
        <f t="shared" si="96"/>
        <v>Error?</v>
      </c>
      <c r="E6269" s="2" t="s">
        <v>199</v>
      </c>
    </row>
    <row r="6270" spans="1:5" x14ac:dyDescent="0.2">
      <c r="A6270">
        <v>6209</v>
      </c>
      <c r="B6270" s="138">
        <f>'Acct Summary 7-8'!F82</f>
        <v>111387</v>
      </c>
      <c r="D6270" s="2" t="str">
        <f t="shared" si="96"/>
        <v>Error?</v>
      </c>
      <c r="E6270" s="2" t="s">
        <v>199</v>
      </c>
    </row>
    <row r="6271" spans="1:5" x14ac:dyDescent="0.2">
      <c r="A6271">
        <v>6210</v>
      </c>
      <c r="B6271" s="138">
        <f>'Acct Summary 7-8'!G82</f>
        <v>37377</v>
      </c>
      <c r="D6271" s="2" t="str">
        <f t="shared" ref="D6271:D6334" si="97">IF(ISBLANK(B6271),"OK",IF(A6271-B6271=0,"OK","Error?"))</f>
        <v>Error?</v>
      </c>
      <c r="E6271" s="2" t="s">
        <v>199</v>
      </c>
    </row>
    <row r="6272" spans="1:5" x14ac:dyDescent="0.2">
      <c r="A6272">
        <v>6211</v>
      </c>
      <c r="B6272" s="138">
        <f>'Acct Summary 7-8'!H82</f>
        <v>8047</v>
      </c>
      <c r="D6272" s="2" t="str">
        <f t="shared" si="97"/>
        <v>Error?</v>
      </c>
      <c r="E6272" s="2" t="s">
        <v>199</v>
      </c>
    </row>
    <row r="6273" spans="1:5" x14ac:dyDescent="0.2">
      <c r="A6273">
        <v>6212</v>
      </c>
      <c r="B6273" s="138">
        <f>'Acct Summary 7-8'!I82</f>
        <v>27134</v>
      </c>
      <c r="D6273" s="2" t="str">
        <f t="shared" si="97"/>
        <v>Error?</v>
      </c>
      <c r="E6273" s="2" t="s">
        <v>199</v>
      </c>
    </row>
    <row r="6274" spans="1:5" x14ac:dyDescent="0.2">
      <c r="A6274">
        <v>6213</v>
      </c>
      <c r="B6274" s="138">
        <f>'Acct Summary 7-8'!J82</f>
        <v>15532</v>
      </c>
      <c r="D6274" s="2" t="str">
        <f t="shared" si="97"/>
        <v>Error?</v>
      </c>
      <c r="E6274" s="2" t="s">
        <v>199</v>
      </c>
    </row>
    <row r="6275" spans="1:5" x14ac:dyDescent="0.2">
      <c r="A6275">
        <v>6214</v>
      </c>
      <c r="B6275" s="138">
        <f>'Acct Summary 7-8'!K82</f>
        <v>29083</v>
      </c>
      <c r="D6275" s="2" t="str">
        <f t="shared" si="97"/>
        <v>Error?</v>
      </c>
      <c r="E6275" s="2" t="s">
        <v>199</v>
      </c>
    </row>
    <row r="6276" spans="1:5" x14ac:dyDescent="0.2">
      <c r="A6276">
        <v>6215</v>
      </c>
      <c r="B6276" s="138">
        <f>'Acct Summary 7-8'!C83</f>
        <v>0.32553649444912625</v>
      </c>
      <c r="D6276" s="2" t="str">
        <f t="shared" si="97"/>
        <v>Error?</v>
      </c>
      <c r="E6276" s="2" t="s">
        <v>199</v>
      </c>
    </row>
    <row r="6277" spans="1:5" x14ac:dyDescent="0.2">
      <c r="A6277">
        <v>6216</v>
      </c>
      <c r="B6277" s="138">
        <f>'Acct Summary 7-8'!D83</f>
        <v>0.24058876330396234</v>
      </c>
      <c r="D6277" s="2" t="str">
        <f t="shared" si="97"/>
        <v>Error?</v>
      </c>
      <c r="E6277" s="2" t="s">
        <v>199</v>
      </c>
    </row>
    <row r="6278" spans="1:5" x14ac:dyDescent="0.2">
      <c r="A6278">
        <v>6217</v>
      </c>
      <c r="B6278" s="138">
        <f>'Acct Summary 7-8'!E83</f>
        <v>0.32347679680101021</v>
      </c>
      <c r="D6278" s="2" t="str">
        <f t="shared" si="97"/>
        <v>Error?</v>
      </c>
      <c r="E6278" s="2" t="s">
        <v>199</v>
      </c>
    </row>
    <row r="6279" spans="1:5" x14ac:dyDescent="0.2">
      <c r="A6279">
        <v>6218</v>
      </c>
      <c r="B6279" s="138">
        <f>'Acct Summary 7-8'!F83</f>
        <v>0.19976792651125755</v>
      </c>
      <c r="D6279" s="2" t="str">
        <f t="shared" si="97"/>
        <v>Error?</v>
      </c>
      <c r="E6279" s="2" t="s">
        <v>199</v>
      </c>
    </row>
    <row r="6280" spans="1:5" x14ac:dyDescent="0.2">
      <c r="A6280">
        <v>6219</v>
      </c>
      <c r="B6280" s="138">
        <f>'Acct Summary 7-8'!G83</f>
        <v>0.58682136464973156</v>
      </c>
      <c r="D6280" s="2" t="str">
        <f t="shared" si="97"/>
        <v>Error?</v>
      </c>
      <c r="E6280" s="2" t="s">
        <v>199</v>
      </c>
    </row>
    <row r="6281" spans="1:5" x14ac:dyDescent="0.2">
      <c r="A6281">
        <v>6220</v>
      </c>
      <c r="B6281" s="138">
        <f>'Acct Summary 7-8'!H83</f>
        <v>2.9440172097141226E-2</v>
      </c>
      <c r="D6281" s="2" t="str">
        <f t="shared" si="97"/>
        <v>Error?</v>
      </c>
      <c r="E6281" s="2" t="s">
        <v>199</v>
      </c>
    </row>
    <row r="6282" spans="1:5" x14ac:dyDescent="0.2">
      <c r="A6282">
        <v>6221</v>
      </c>
      <c r="B6282" s="138">
        <f>'Acct Summary 7-8'!I83</f>
        <v>9.4905650478305736E-2</v>
      </c>
      <c r="D6282" s="2" t="str">
        <f t="shared" si="97"/>
        <v>Error?</v>
      </c>
      <c r="E6282" s="2" t="s">
        <v>199</v>
      </c>
    </row>
    <row r="6283" spans="1:5" x14ac:dyDescent="0.2">
      <c r="A6283">
        <v>6222</v>
      </c>
      <c r="B6283" s="138">
        <f>'Acct Summary 7-8'!J83</f>
        <v>0.44745333026042866</v>
      </c>
      <c r="D6283" s="2" t="str">
        <f t="shared" si="97"/>
        <v>Error?</v>
      </c>
      <c r="E6283" s="2" t="s">
        <v>199</v>
      </c>
    </row>
    <row r="6284" spans="1:5" x14ac:dyDescent="0.2">
      <c r="A6284">
        <v>6223</v>
      </c>
      <c r="B6284" s="138">
        <f>'Acct Summary 7-8'!K83</f>
        <v>0.26345206174360458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53824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53824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2250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771</v>
      </c>
      <c r="D6350" s="2" t="str">
        <f t="shared" si="98"/>
        <v>Error?</v>
      </c>
      <c r="E6350" s="2" t="s">
        <v>199</v>
      </c>
    </row>
    <row r="6351" spans="1:5" x14ac:dyDescent="0.2">
      <c r="A6351">
        <v>6290</v>
      </c>
      <c r="B6351" s="138">
        <f>'Revenues 9-14'!J108</f>
        <v>771</v>
      </c>
      <c r="D6351" s="2" t="str">
        <f t="shared" si="98"/>
        <v>Error?</v>
      </c>
      <c r="E6351" s="2" t="s">
        <v>199</v>
      </c>
    </row>
    <row r="6352" spans="1:5" x14ac:dyDescent="0.2">
      <c r="A6352">
        <v>6291</v>
      </c>
      <c r="B6352" s="138">
        <f>'Revenues 9-14'!J109</f>
        <v>54650</v>
      </c>
      <c r="D6352" s="2" t="str">
        <f t="shared" si="98"/>
        <v>Error?</v>
      </c>
      <c r="E6352" s="2" t="s">
        <v>199</v>
      </c>
    </row>
    <row r="6353" spans="1:5" x14ac:dyDescent="0.2">
      <c r="A6353">
        <v>6292</v>
      </c>
      <c r="B6353" s="138">
        <f>'Revenues 9-14'!J117</f>
        <v>15000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15000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15000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57357</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78186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50355</v>
      </c>
      <c r="D6981" s="2" t="str">
        <f t="shared" si="108"/>
        <v>Error?</v>
      </c>
    </row>
    <row r="6982" spans="1:4" x14ac:dyDescent="0.2">
      <c r="A6982">
        <v>6921</v>
      </c>
      <c r="B6982" s="138">
        <f>'Expenditures 15-22'!K85</f>
        <v>50355</v>
      </c>
      <c r="D6982" s="2" t="str">
        <f t="shared" si="108"/>
        <v>Error?</v>
      </c>
    </row>
    <row r="6983" spans="1:4" x14ac:dyDescent="0.2">
      <c r="A6983">
        <v>6922</v>
      </c>
      <c r="B6983" s="138">
        <f>'Expenditures 15-22'!H86</f>
        <v>29886</v>
      </c>
      <c r="D6983" s="2" t="str">
        <f t="shared" si="108"/>
        <v>Error?</v>
      </c>
    </row>
    <row r="6984" spans="1:4" x14ac:dyDescent="0.2">
      <c r="A6984">
        <v>6923</v>
      </c>
      <c r="B6984" s="138">
        <f>'Expenditures 15-22'!K86</f>
        <v>29886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30650</v>
      </c>
      <c r="D6987" s="2" t="str">
        <f t="shared" si="108"/>
        <v>Error?</v>
      </c>
    </row>
    <row r="6988" spans="1:4" x14ac:dyDescent="0.2">
      <c r="A6988">
        <v>6927</v>
      </c>
      <c r="B6988" s="138">
        <f>'Expenditures 15-22'!K88</f>
        <v>30650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110891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54118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69650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11684</v>
      </c>
      <c r="D7073" s="2" t="str">
        <f t="shared" si="109"/>
        <v>Error?</v>
      </c>
    </row>
    <row r="7074" spans="1:4" x14ac:dyDescent="0.2">
      <c r="A7074">
        <v>7013</v>
      </c>
      <c r="B7074" s="138">
        <f>'Expenditures 15-22'!K216</f>
        <v>11684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29455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29455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18636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18636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310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310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5717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5717</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54118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54118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54118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54118</v>
      </c>
      <c r="D7224" s="2" t="str">
        <f t="shared" si="111"/>
        <v>Error?</v>
      </c>
    </row>
    <row r="7225" spans="1:4" x14ac:dyDescent="0.2">
      <c r="A7225">
        <v>7164</v>
      </c>
      <c r="B7225" s="138">
        <f>'Expenditures 15-22'!K343</f>
        <v>15532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10964</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9865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217687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2250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4193</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6443</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223072</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6443</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21109</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6443</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29'!D141</f>
        <v>5000</v>
      </c>
      <c r="D7797" s="2" t="str">
        <f t="shared" si="127"/>
        <v>Error?</v>
      </c>
      <c r="E7797" s="4" t="s">
        <v>2018</v>
      </c>
    </row>
    <row r="7798" spans="1:5" x14ac:dyDescent="0.2">
      <c r="A7798">
        <v>7737</v>
      </c>
      <c r="B7798" s="138">
        <f>'Contracts Paid in CY 29'!F141</f>
        <v>5000</v>
      </c>
      <c r="D7798" s="2" t="str">
        <f t="shared" si="127"/>
        <v>Error?</v>
      </c>
      <c r="E7798" s="4" t="s">
        <v>2018</v>
      </c>
    </row>
    <row r="7799" spans="1:5" x14ac:dyDescent="0.2">
      <c r="A7799">
        <v>7738</v>
      </c>
      <c r="B7799" s="138">
        <f>'Contracts Paid in CY 29'!G141</f>
        <v>0</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3"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1798</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Waverly CUSD 6</v>
      </c>
      <c r="B7" s="2422"/>
      <c r="C7" s="2422"/>
      <c r="D7" s="2423"/>
      <c r="E7" s="2424">
        <f>COVER!A13</f>
        <v>1069006026</v>
      </c>
      <c r="F7" s="2425"/>
      <c r="G7" s="2431" t="str">
        <f>COVER!T23</f>
        <v>066-004750</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Hughes, Cameron &amp; Company, LLC</v>
      </c>
      <c r="H9" s="2437"/>
      <c r="I9" s="2437"/>
      <c r="J9" s="2437"/>
      <c r="K9" s="2437"/>
      <c r="L9" s="2438"/>
    </row>
    <row r="10" spans="1:29" ht="13.5" customHeight="1" x14ac:dyDescent="0.2">
      <c r="A10" s="2411">
        <f>COVER!A38</f>
        <v>0</v>
      </c>
      <c r="B10" s="2412"/>
      <c r="C10" s="2412"/>
      <c r="D10" s="2412"/>
      <c r="E10" s="2412"/>
      <c r="F10" s="2413"/>
      <c r="G10" s="2405" t="str">
        <f>COVER!T17</f>
        <v>386 S. Koke Mill Road</v>
      </c>
      <c r="H10" s="2406"/>
      <c r="I10" s="2406"/>
      <c r="J10" s="2406"/>
      <c r="K10" s="2406"/>
      <c r="L10" s="2407"/>
    </row>
    <row r="11" spans="1:29" ht="13.5" customHeight="1" x14ac:dyDescent="0.2">
      <c r="A11" s="1185" t="s">
        <v>1599</v>
      </c>
      <c r="B11" s="1186"/>
      <c r="C11" s="1187"/>
      <c r="D11" s="1192"/>
      <c r="E11" s="1187"/>
      <c r="F11" s="1191"/>
      <c r="G11" s="2405" t="str">
        <f>COVER!T19</f>
        <v>Springfield</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rob@springfieldcpa.net</v>
      </c>
      <c r="J13" s="2418"/>
      <c r="K13" s="2418"/>
      <c r="L13" s="2419"/>
    </row>
    <row r="14" spans="1:29" ht="13.5" customHeight="1" x14ac:dyDescent="0.2">
      <c r="A14" s="2405" t="str">
        <f>COVER!A19</f>
        <v>201 North Miller</v>
      </c>
      <c r="B14" s="2406"/>
      <c r="C14" s="2406"/>
      <c r="D14" s="2406"/>
      <c r="E14" s="2406"/>
      <c r="F14" s="2407"/>
      <c r="G14" s="1196" t="s">
        <v>1247</v>
      </c>
      <c r="H14" s="1194"/>
      <c r="I14" s="1194"/>
      <c r="J14" s="1194"/>
      <c r="K14" s="1194"/>
      <c r="L14" s="1195"/>
    </row>
    <row r="15" spans="1:29" ht="13.5" customHeight="1" x14ac:dyDescent="0.2">
      <c r="A15" s="2405" t="str">
        <f>COVER!A21</f>
        <v>Waverly</v>
      </c>
      <c r="B15" s="2406"/>
      <c r="C15" s="2406"/>
      <c r="D15" s="2406"/>
      <c r="E15" s="2406"/>
      <c r="F15" s="2407"/>
      <c r="G15" s="2402" t="str">
        <f>COVER!T15</f>
        <v>Robert Cameron</v>
      </c>
      <c r="H15" s="2403"/>
      <c r="I15" s="2403"/>
      <c r="J15" s="2403"/>
      <c r="K15" s="2403"/>
      <c r="L15" s="2404"/>
    </row>
    <row r="16" spans="1:29" ht="12.2" customHeight="1" x14ac:dyDescent="0.2">
      <c r="A16" s="2427">
        <f>COVER!A25</f>
        <v>62692</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(217) 787-8822</v>
      </c>
      <c r="H18" s="2422"/>
      <c r="I18" s="2422"/>
      <c r="J18" s="2422"/>
      <c r="K18" s="2421" t="str">
        <f>COVER!X21</f>
        <v>(217) 787-8823</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1799</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1945</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Waverly CUSD 6</v>
      </c>
      <c r="B1" s="2420"/>
      <c r="C1" s="2420"/>
      <c r="D1" s="2420"/>
    </row>
    <row r="2" spans="1:11" s="1215" customFormat="1" ht="12.75" x14ac:dyDescent="0.2">
      <c r="A2" s="2444">
        <f>'Single Audit Cover'!E7</f>
        <v>1069006026</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1813</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1814</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1815</v>
      </c>
    </row>
    <row r="70" spans="1:4" x14ac:dyDescent="0.2">
      <c r="A70" s="1222"/>
      <c r="D70" s="1246" t="s">
        <v>1268</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1946</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Waverly CUSD 6</v>
      </c>
      <c r="B1" s="2447"/>
      <c r="C1" s="2447"/>
      <c r="D1" s="2447"/>
      <c r="E1" s="2447"/>
    </row>
    <row r="2" spans="1:5" x14ac:dyDescent="0.2">
      <c r="A2" s="2448">
        <f>'Single Audit Cover'!E7</f>
        <v>1069006026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213976</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1829</v>
      </c>
      <c r="B14" s="1262"/>
      <c r="C14" s="1262"/>
      <c r="D14" s="1264">
        <f>'ICR Computation 30'!E11</f>
        <v>14636</v>
      </c>
    </row>
    <row r="15" spans="1:5" x14ac:dyDescent="0.2">
      <c r="A15" s="1261"/>
      <c r="B15" s="1262"/>
      <c r="C15" s="1262"/>
    </row>
    <row r="16" spans="1:5" x14ac:dyDescent="0.2">
      <c r="A16" s="1261" t="s">
        <v>1954</v>
      </c>
      <c r="B16" s="1262"/>
      <c r="C16" s="1262"/>
    </row>
    <row r="17" spans="1:4" x14ac:dyDescent="0.2">
      <c r="A17" s="1261" t="s">
        <v>1601</v>
      </c>
      <c r="B17" s="1262" t="s">
        <v>1298</v>
      </c>
      <c r="C17" s="1262"/>
      <c r="D17" s="1264">
        <f>-SUM('Revenues 9-14'!C271:D271,'Revenues 9-14'!F271:G271)</f>
        <v>-12188</v>
      </c>
    </row>
    <row r="19" spans="1:4" ht="13.5" thickBot="1" x14ac:dyDescent="0.25">
      <c r="A19" s="1265" t="s">
        <v>1297</v>
      </c>
      <c r="D19" s="1266">
        <f>SUM(D10:D17)</f>
        <v>216424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216424</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216424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Waverly CUSD 6</v>
      </c>
      <c r="B1" s="2460"/>
      <c r="C1" s="2460"/>
      <c r="D1" s="2460"/>
      <c r="E1" s="2460"/>
      <c r="F1" s="2460"/>
    </row>
    <row r="2" spans="1:7" ht="13.5" customHeight="1" x14ac:dyDescent="0.2">
      <c r="A2" s="2461">
        <f>'Single Audit Cover'!E7</f>
        <v>1069006026</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1830</v>
      </c>
      <c r="C6" s="317"/>
      <c r="D6" s="317"/>
    </row>
    <row r="7" spans="1:7" ht="60.95" customHeight="1" x14ac:dyDescent="0.2">
      <c r="A7" s="2459" t="s">
        <v>1831</v>
      </c>
      <c r="B7" s="2459"/>
      <c r="C7" s="2459"/>
      <c r="D7" s="2459"/>
      <c r="E7" s="2459"/>
      <c r="F7" s="2459"/>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9" t="s">
        <v>1833</v>
      </c>
      <c r="B13" s="2459"/>
      <c r="C13" s="2459"/>
      <c r="D13" s="2459"/>
      <c r="E13" s="2459"/>
      <c r="F13" s="2459"/>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3" t="s">
        <v>1834</v>
      </c>
      <c r="B32" s="2453"/>
      <c r="C32" s="2453"/>
      <c r="D32" s="2453"/>
      <c r="E32" s="2453"/>
      <c r="F32" s="2453"/>
    </row>
    <row r="33" spans="1:6" ht="13.5" customHeight="1" x14ac:dyDescent="0.2">
      <c r="A33" s="328" t="s">
        <v>1509</v>
      </c>
      <c r="B33" s="328"/>
      <c r="C33" s="1288">
        <v>0</v>
      </c>
      <c r="D33" s="1928"/>
      <c r="E33" s="1286"/>
    </row>
    <row r="34" spans="1:6" ht="13.5" customHeight="1" x14ac:dyDescent="0.2">
      <c r="A34" s="328" t="s">
        <v>1947</v>
      </c>
      <c r="B34" s="328"/>
      <c r="C34" s="1289">
        <v>0</v>
      </c>
      <c r="D34" s="1928" t="s">
        <v>1671</v>
      </c>
      <c r="E34" s="2454">
        <f>+C33+C34</f>
        <v>0</v>
      </c>
      <c r="F34" s="245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Waverly CUSD 6</v>
      </c>
      <c r="C1" s="2464"/>
      <c r="D1" s="2464"/>
      <c r="E1" s="2464"/>
      <c r="F1" s="2464"/>
      <c r="G1" s="2464"/>
      <c r="H1" s="2464"/>
      <c r="I1" s="2464"/>
      <c r="J1" s="2464"/>
      <c r="K1" s="2464"/>
      <c r="L1" s="2464"/>
      <c r="M1" s="2464"/>
    </row>
    <row r="2" spans="2:14" ht="15" x14ac:dyDescent="0.2">
      <c r="B2" s="2461">
        <f>'Single Audit Cover'!E7</f>
        <v>1069006026</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1948</v>
      </c>
      <c r="K8" s="1319" t="s">
        <v>1323</v>
      </c>
      <c r="L8" s="1320" t="s">
        <v>1319</v>
      </c>
      <c r="M8" s="1321" t="s">
        <v>30</v>
      </c>
    </row>
    <row r="9" spans="2:14" ht="14.25" x14ac:dyDescent="0.2">
      <c r="B9" s="1325" t="s">
        <v>1321</v>
      </c>
      <c r="C9" s="1313" t="s">
        <v>1837</v>
      </c>
      <c r="D9" s="1314" t="s">
        <v>1838</v>
      </c>
      <c r="E9" s="1322" t="s">
        <v>1663</v>
      </c>
      <c r="F9" s="1323" t="s">
        <v>1948</v>
      </c>
      <c r="G9" s="1324" t="s">
        <v>1663</v>
      </c>
      <c r="H9" s="1317" t="s">
        <v>1664</v>
      </c>
      <c r="I9" s="1319" t="s">
        <v>1948</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1949</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B57" sqref="B57:J6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1636</v>
      </c>
    </row>
    <row r="22" spans="1:4" s="181" customFormat="1" x14ac:dyDescent="0.2">
      <c r="A22" s="219"/>
      <c r="B22" s="226"/>
      <c r="C22" s="227">
        <v>9</v>
      </c>
      <c r="D22" s="231" t="s">
        <v>1726</v>
      </c>
    </row>
    <row r="23" spans="1:4" s="181" customFormat="1" x14ac:dyDescent="0.2">
      <c r="A23" s="219"/>
      <c r="B23" s="234"/>
      <c r="C23" s="227"/>
      <c r="D23" s="235" t="s">
        <v>1637</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1730</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1736</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37622</v>
      </c>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2098</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1744</v>
      </c>
      <c r="G77" s="297" t="s">
        <v>2019</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1231</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2082</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2020</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Waverly CUSD 6</v>
      </c>
      <c r="C1" s="2479"/>
      <c r="D1" s="2479"/>
      <c r="E1" s="2479"/>
      <c r="F1" s="2479"/>
      <c r="G1" s="2479"/>
      <c r="H1" s="2479"/>
      <c r="I1" s="2479"/>
      <c r="J1" s="1422"/>
    </row>
    <row r="2" spans="2:10" s="317" customFormat="1" ht="12.75" customHeight="1" x14ac:dyDescent="0.2">
      <c r="B2" s="2480">
        <f>'Single Audit Cover'!E7</f>
        <v>1069006026</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86" t="s">
        <v>1853</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1950</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Waverly CUSD 6</v>
      </c>
      <c r="C1" s="2478"/>
      <c r="D1" s="2478"/>
      <c r="E1" s="2478"/>
      <c r="F1" s="2478"/>
      <c r="G1" s="2478"/>
      <c r="H1" s="2478"/>
      <c r="I1" s="2478"/>
      <c r="J1" s="2478"/>
      <c r="K1" s="2478"/>
      <c r="L1" s="1374"/>
      <c r="M1" s="1374"/>
    </row>
    <row r="2" spans="1:13" ht="12" customHeight="1" x14ac:dyDescent="0.2">
      <c r="B2" s="2480">
        <f>'Single Audit Cover'!E7</f>
        <v>1069006026</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1951</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1952</v>
      </c>
      <c r="C36" s="1300"/>
      <c r="L36" s="1381"/>
    </row>
    <row r="37" spans="1:13" ht="9.6" customHeight="1" x14ac:dyDescent="0.2">
      <c r="B37" s="1300" t="s">
        <v>1953</v>
      </c>
      <c r="C37" s="1300"/>
    </row>
    <row r="38" spans="1:13" ht="11.85" customHeight="1" x14ac:dyDescent="0.2">
      <c r="B38" s="1420" t="s">
        <v>1848</v>
      </c>
      <c r="C38" s="1420"/>
    </row>
    <row r="39" spans="1:13" ht="9.6" customHeight="1" x14ac:dyDescent="0.2">
      <c r="B39" s="1300" t="s">
        <v>1348</v>
      </c>
      <c r="C39" s="1300"/>
      <c r="M39" s="1421"/>
    </row>
    <row r="40" spans="1:13" ht="12.6" customHeight="1" x14ac:dyDescent="0.2">
      <c r="B40" s="1420" t="s">
        <v>1849</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Waverly CUSD 6</v>
      </c>
      <c r="C1" s="2501"/>
      <c r="D1" s="2501"/>
      <c r="E1" s="2501"/>
      <c r="F1" s="2501"/>
      <c r="G1" s="2501"/>
      <c r="H1" s="2501"/>
      <c r="I1" s="2501"/>
      <c r="J1" s="2501"/>
      <c r="K1" s="2501"/>
      <c r="L1" s="1465"/>
    </row>
    <row r="2" spans="1:12" ht="12.75" customHeight="1" x14ac:dyDescent="0.2">
      <c r="B2" s="2502">
        <f>'Single Audit Cover'!E7</f>
        <v>1069006026</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1951</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Waverly CUSD 6</v>
      </c>
      <c r="C1" s="2478"/>
      <c r="D1" s="2478"/>
      <c r="E1" s="1491"/>
    </row>
    <row r="2" spans="2:5" s="1282" customFormat="1" ht="12.75" customHeight="1" x14ac:dyDescent="0.2">
      <c r="B2" s="2480">
        <f>'Single Audit Cover'!E7</f>
        <v>1069006026</v>
      </c>
      <c r="C2" s="2480"/>
      <c r="D2" s="2480"/>
      <c r="E2" s="1492"/>
    </row>
    <row r="3" spans="2:5" ht="12.75" customHeight="1" x14ac:dyDescent="0.2">
      <c r="B3" s="2494" t="s">
        <v>1868</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1869</v>
      </c>
      <c r="C5" s="328"/>
      <c r="D5" s="328"/>
      <c r="E5" s="328"/>
    </row>
    <row r="6" spans="2:5" s="1282" customFormat="1" ht="13.5" customHeight="1" x14ac:dyDescent="0.2">
      <c r="B6" s="1495" t="s">
        <v>1382</v>
      </c>
      <c r="C6" s="1495" t="s">
        <v>1381</v>
      </c>
      <c r="D6" s="1495" t="s">
        <v>1870</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1871</v>
      </c>
    </row>
    <row r="46" spans="2:5" ht="12.2" customHeight="1" x14ac:dyDescent="0.2">
      <c r="B46" s="1505" t="s">
        <v>1872</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L31" sqref="L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290</v>
      </c>
      <c r="G7" s="222"/>
      <c r="H7" s="222"/>
      <c r="I7" s="222"/>
      <c r="J7" s="352">
        <v>51323472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3.3113999999999998E-2</v>
      </c>
      <c r="E10" s="356" t="s">
        <v>1062</v>
      </c>
      <c r="F10" s="355">
        <v>5.8789999999999997E-3</v>
      </c>
      <c r="G10" s="356" t="s">
        <v>1062</v>
      </c>
      <c r="H10" s="355">
        <v>3.2399999999999998E-3</v>
      </c>
      <c r="I10" s="356" t="s">
        <v>1063</v>
      </c>
      <c r="J10" s="1754">
        <f>ROUND(D10+F10+H10,5)</f>
        <v>4.2229999999999997E-2</v>
      </c>
      <c r="K10" s="222"/>
      <c r="L10" s="355">
        <v>4.15E-4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4534776</v>
      </c>
      <c r="E16" s="356"/>
      <c r="F16" s="1755">
        <f>SUM('Acct Summary 7-8'!C17,'Acct Summary 7-8'!D17,'Acct Summary 7-8'!F17)</f>
        <v>3686260</v>
      </c>
      <c r="G16" s="356"/>
      <c r="H16" s="1755">
        <f>SUM(D16-F16)</f>
        <v>848516</v>
      </c>
      <c r="I16" s="222"/>
      <c r="J16" s="1755">
        <f>SUM('Acct Summary 7-8'!C81,'Acct Summary 7-8'!D81,'Acct Summary 7-8'!F81,'Acct Summary 7-8'!I81)</f>
        <v>3166935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1748</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7082639.1360000009</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3165000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Waverly CUSD 6</v>
      </c>
      <c r="E7" s="391"/>
      <c r="G7" s="252"/>
      <c r="H7" s="387"/>
      <c r="I7" s="387"/>
      <c r="J7" s="387"/>
      <c r="K7" s="387"/>
      <c r="L7" s="329"/>
      <c r="M7" s="329"/>
      <c r="N7" s="329"/>
      <c r="O7" s="329"/>
      <c r="P7" s="329"/>
    </row>
    <row r="8" spans="1:18" ht="12.75" x14ac:dyDescent="0.2">
      <c r="A8" s="329"/>
      <c r="B8" s="329"/>
      <c r="C8" s="389" t="s">
        <v>1187</v>
      </c>
      <c r="D8" s="392">
        <f>COVER!A13</f>
        <v>1069006026</v>
      </c>
      <c r="E8" s="393"/>
      <c r="G8" s="329"/>
      <c r="H8" s="329"/>
      <c r="I8" s="329"/>
      <c r="J8" s="329"/>
      <c r="K8" s="329"/>
      <c r="L8" s="329"/>
      <c r="M8" s="329"/>
      <c r="N8" s="329"/>
      <c r="O8" s="329"/>
      <c r="P8" s="329"/>
    </row>
    <row r="9" spans="1:18" ht="12.75" x14ac:dyDescent="0.2">
      <c r="A9" s="329"/>
      <c r="B9" s="329"/>
      <c r="C9" s="389" t="s">
        <v>737</v>
      </c>
      <c r="D9" s="394" t="str">
        <f>COVER!A15</f>
        <v>Morgan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3166935</v>
      </c>
      <c r="I12" s="404"/>
      <c r="J12" s="404"/>
      <c r="K12" s="405">
        <f>TRUNC((H12/H13*100000),5)/100000</f>
        <v>0.69836635810000003</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4534776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3686260</v>
      </c>
      <c r="I17" s="404"/>
      <c r="J17" s="416"/>
      <c r="K17" s="405">
        <f>TRUNC((H17/H18*100000),5)/100000</f>
        <v>0.81288689889999999</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4534776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3169784</v>
      </c>
      <c r="I24" s="422"/>
      <c r="J24" s="422"/>
      <c r="K24" s="423">
        <f>TRUNC(((H24/H25*100000)/100000),2)</f>
        <v>309.56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10239.61111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1842281.68918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3165000</v>
      </c>
      <c r="I32" s="420"/>
      <c r="J32" s="420"/>
      <c r="K32" s="423">
        <f>TRUNC(100-((((H32/H33*100))*100)/100),2)</f>
        <v>55.31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7082639.1360000009</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D1" colorId="8" zoomScale="110" zoomScaleNormal="110" workbookViewId="0">
      <pane ySplit="2" topLeftCell="A24" activePane="bottomLeft" state="frozen"/>
      <selection activeCell="A47" sqref="A47"/>
      <selection pane="bottomLeft" activeCell="L39" sqref="L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1749</v>
      </c>
      <c r="B4" s="464"/>
      <c r="C4" s="465">
        <v>1177914</v>
      </c>
      <c r="D4" s="466">
        <v>428800</v>
      </c>
      <c r="E4" s="466">
        <v>150456</v>
      </c>
      <c r="F4" s="466">
        <v>470648</v>
      </c>
      <c r="G4" s="466">
        <v>63628</v>
      </c>
      <c r="H4" s="466">
        <v>273334</v>
      </c>
      <c r="I4" s="466">
        <v>223614</v>
      </c>
      <c r="J4" s="467">
        <v>34712</v>
      </c>
      <c r="K4" s="466">
        <v>110392</v>
      </c>
      <c r="L4" s="466">
        <v>90999</v>
      </c>
      <c r="M4" s="468"/>
      <c r="N4" s="469"/>
    </row>
    <row r="5" spans="1:14" x14ac:dyDescent="0.2">
      <c r="A5" s="463" t="s">
        <v>1049</v>
      </c>
      <c r="B5" s="470">
        <v>120</v>
      </c>
      <c r="C5" s="465">
        <v>601378</v>
      </c>
      <c r="D5" s="466">
        <v>117165</v>
      </c>
      <c r="E5" s="466">
        <v>39604</v>
      </c>
      <c r="F5" s="466">
        <v>87974</v>
      </c>
      <c r="G5" s="466"/>
      <c r="H5" s="466"/>
      <c r="I5" s="466">
        <v>62291</v>
      </c>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1779292</v>
      </c>
      <c r="D13" s="1759">
        <f t="shared" ref="D13:L13" si="0">SUM(D4:D12)</f>
        <v>545965</v>
      </c>
      <c r="E13" s="1759">
        <f t="shared" si="0"/>
        <v>190060</v>
      </c>
      <c r="F13" s="1759">
        <f t="shared" si="0"/>
        <v>558622</v>
      </c>
      <c r="G13" s="1759">
        <f t="shared" si="0"/>
        <v>63628</v>
      </c>
      <c r="H13" s="1759">
        <f t="shared" si="0"/>
        <v>273334</v>
      </c>
      <c r="I13" s="1759">
        <f t="shared" si="0"/>
        <v>285905</v>
      </c>
      <c r="J13" s="1759">
        <f t="shared" si="0"/>
        <v>34712</v>
      </c>
      <c r="K13" s="1759">
        <f t="shared" si="0"/>
        <v>110392</v>
      </c>
      <c r="L13" s="1759">
        <f t="shared" si="0"/>
        <v>90999</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23000</v>
      </c>
      <c r="N16" s="484"/>
    </row>
    <row r="17" spans="1:14" s="485" customFormat="1" ht="12.75" customHeight="1" x14ac:dyDescent="0.2">
      <c r="A17" s="482" t="s">
        <v>1470</v>
      </c>
      <c r="B17" s="483">
        <v>230</v>
      </c>
      <c r="C17" s="477"/>
      <c r="D17" s="477"/>
      <c r="E17" s="477"/>
      <c r="F17" s="477"/>
      <c r="G17" s="477"/>
      <c r="H17" s="477"/>
      <c r="I17" s="477"/>
      <c r="J17" s="477"/>
      <c r="K17" s="477"/>
      <c r="L17" s="477"/>
      <c r="M17" s="467">
        <v>8151548</v>
      </c>
      <c r="N17" s="484"/>
    </row>
    <row r="18" spans="1:14" s="485" customFormat="1" ht="12.75" customHeight="1" x14ac:dyDescent="0.2">
      <c r="A18" s="482" t="s">
        <v>1471</v>
      </c>
      <c r="B18" s="483">
        <v>240</v>
      </c>
      <c r="C18" s="477"/>
      <c r="D18" s="477"/>
      <c r="E18" s="477"/>
      <c r="F18" s="477"/>
      <c r="G18" s="477"/>
      <c r="H18" s="477"/>
      <c r="I18" s="477"/>
      <c r="J18" s="477"/>
      <c r="K18" s="477"/>
      <c r="L18" s="477"/>
      <c r="M18" s="467">
        <v>169200</v>
      </c>
      <c r="N18" s="484"/>
    </row>
    <row r="19" spans="1:14" s="485" customFormat="1" ht="12.75" customHeight="1" x14ac:dyDescent="0.2">
      <c r="A19" s="482" t="s">
        <v>1472</v>
      </c>
      <c r="B19" s="483">
        <v>250</v>
      </c>
      <c r="C19" s="477"/>
      <c r="D19" s="477"/>
      <c r="E19" s="477"/>
      <c r="F19" s="477"/>
      <c r="G19" s="477"/>
      <c r="H19" s="477"/>
      <c r="I19" s="477"/>
      <c r="J19" s="477"/>
      <c r="K19" s="477"/>
      <c r="L19" s="477"/>
      <c r="M19" s="467">
        <v>1023690</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190060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2974940</v>
      </c>
    </row>
    <row r="23" spans="1:14" ht="13.5" customHeight="1" thickBot="1" x14ac:dyDescent="0.25">
      <c r="A23" s="1758" t="s">
        <v>664</v>
      </c>
      <c r="B23" s="1763"/>
      <c r="C23" s="468"/>
      <c r="D23" s="468"/>
      <c r="E23" s="468"/>
      <c r="F23" s="468"/>
      <c r="G23" s="468"/>
      <c r="H23" s="468"/>
      <c r="I23" s="468"/>
      <c r="J23" s="468"/>
      <c r="K23" s="468"/>
      <c r="L23" s="468"/>
      <c r="M23" s="1710">
        <f>SUM(M15:M22)</f>
        <v>9367438</v>
      </c>
      <c r="N23" s="1710">
        <f>SUM(N21:N22)</f>
        <v>3165000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1734</v>
      </c>
      <c r="D31" s="467">
        <v>75</v>
      </c>
      <c r="E31" s="467"/>
      <c r="F31" s="466">
        <v>1040</v>
      </c>
      <c r="G31" s="467">
        <v>-66</v>
      </c>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90999</v>
      </c>
      <c r="M33" s="468"/>
      <c r="N33" s="469"/>
    </row>
    <row r="34" spans="1:14" ht="13.5" customHeight="1" thickBot="1" x14ac:dyDescent="0.25">
      <c r="A34" s="1760" t="s">
        <v>675</v>
      </c>
      <c r="B34" s="1761"/>
      <c r="C34" s="1762">
        <f>SUM(C25:C33)</f>
        <v>1734</v>
      </c>
      <c r="D34" s="1762">
        <f t="shared" ref="D34:K34" si="1">SUM(D25:D33)</f>
        <v>75</v>
      </c>
      <c r="E34" s="1762">
        <f t="shared" si="1"/>
        <v>0</v>
      </c>
      <c r="F34" s="1762">
        <f t="shared" si="1"/>
        <v>1040</v>
      </c>
      <c r="G34" s="1762">
        <f t="shared" si="1"/>
        <v>-66</v>
      </c>
      <c r="H34" s="1762">
        <f t="shared" si="1"/>
        <v>0</v>
      </c>
      <c r="I34" s="1762">
        <f t="shared" si="1"/>
        <v>0</v>
      </c>
      <c r="J34" s="1762">
        <f t="shared" si="1"/>
        <v>0</v>
      </c>
      <c r="K34" s="1762">
        <f t="shared" si="1"/>
        <v>0</v>
      </c>
      <c r="L34" s="1743">
        <f>SUM(L33)</f>
        <v>90999</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3165000</v>
      </c>
    </row>
    <row r="37" spans="1:14" ht="13.5" thickBot="1" x14ac:dyDescent="0.25">
      <c r="A37" s="1758" t="s">
        <v>674</v>
      </c>
      <c r="B37" s="1763"/>
      <c r="C37" s="477"/>
      <c r="D37" s="477"/>
      <c r="E37" s="477"/>
      <c r="F37" s="477"/>
      <c r="G37" s="477"/>
      <c r="H37" s="477"/>
      <c r="I37" s="477"/>
      <c r="J37" s="477"/>
      <c r="K37" s="477"/>
      <c r="L37" s="480"/>
      <c r="M37" s="468"/>
      <c r="N37" s="1710">
        <f>SUM(N36:N36)</f>
        <v>3165000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1777558</v>
      </c>
      <c r="D39" s="466">
        <v>545890</v>
      </c>
      <c r="E39" s="466">
        <v>190060</v>
      </c>
      <c r="F39" s="466">
        <v>557582</v>
      </c>
      <c r="G39" s="466">
        <v>63694</v>
      </c>
      <c r="H39" s="466">
        <v>273334</v>
      </c>
      <c r="I39" s="466">
        <v>285905</v>
      </c>
      <c r="J39" s="467">
        <v>34712</v>
      </c>
      <c r="K39" s="466">
        <v>110392</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9367438</v>
      </c>
      <c r="N40" s="497"/>
    </row>
    <row r="41" spans="1:14" ht="13.5" customHeight="1" thickBot="1" x14ac:dyDescent="0.25">
      <c r="A41" s="1758" t="s">
        <v>676</v>
      </c>
      <c r="B41" s="1728"/>
      <c r="C41" s="1710">
        <f>(SUM(C34,C37,C38,C39))</f>
        <v>1779292</v>
      </c>
      <c r="D41" s="1710">
        <f t="shared" ref="D41:L41" si="2">SUM(D34,D37,D38:D39)</f>
        <v>545965</v>
      </c>
      <c r="E41" s="1710">
        <f t="shared" si="2"/>
        <v>190060</v>
      </c>
      <c r="F41" s="1710">
        <f t="shared" si="2"/>
        <v>558622</v>
      </c>
      <c r="G41" s="1710">
        <f t="shared" si="2"/>
        <v>63628</v>
      </c>
      <c r="H41" s="1710">
        <f t="shared" si="2"/>
        <v>273334</v>
      </c>
      <c r="I41" s="1710">
        <f t="shared" si="2"/>
        <v>285905</v>
      </c>
      <c r="J41" s="1710">
        <f t="shared" si="2"/>
        <v>34712</v>
      </c>
      <c r="K41" s="1710">
        <f t="shared" si="2"/>
        <v>110392</v>
      </c>
      <c r="L41" s="1710">
        <f t="shared" si="2"/>
        <v>90999</v>
      </c>
      <c r="M41" s="1710">
        <f>SUM(M40)</f>
        <v>9367438</v>
      </c>
      <c r="N41" s="1710">
        <f>SUM(N37)</f>
        <v>3165000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3" activePane="bottomLeft" state="frozenSplit"/>
      <selection activeCell="A47" sqref="A47"/>
      <selection pane="bottomLeft" activeCell="K13" sqref="K1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1750</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2403739</v>
      </c>
      <c r="D4" s="1764">
        <f>'Revenues 9-14'!D109</f>
        <v>420816</v>
      </c>
      <c r="E4" s="1764">
        <f>'Revenues 9-14'!E109</f>
        <v>361625</v>
      </c>
      <c r="F4" s="1764">
        <f>'Revenues 9-14'!F109</f>
        <v>213159</v>
      </c>
      <c r="G4" s="1764">
        <f>'Revenues 9-14'!G109</f>
        <v>160475</v>
      </c>
      <c r="H4" s="1764">
        <f>'Revenues 9-14'!H109</f>
        <v>223072</v>
      </c>
      <c r="I4" s="1764">
        <f>'Revenues 9-14'!I109</f>
        <v>27134</v>
      </c>
      <c r="J4" s="1764">
        <f>'Revenues 9-14'!J109</f>
        <v>54650</v>
      </c>
      <c r="K4" s="1764">
        <f>'Revenues 9-14'!K109</f>
        <v>29083</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1094060</v>
      </c>
      <c r="D6" s="1765">
        <f>'Revenues 9-14'!D173</f>
        <v>0</v>
      </c>
      <c r="E6" s="1765">
        <f>'Revenues 9-14'!E173</f>
        <v>0</v>
      </c>
      <c r="F6" s="1765">
        <f>'Revenues 9-14'!F173</f>
        <v>161892</v>
      </c>
      <c r="G6" s="1765">
        <f>'Revenues 9-14'!G173</f>
        <v>0</v>
      </c>
      <c r="H6" s="1765">
        <f>'Revenues 9-14'!H173</f>
        <v>0</v>
      </c>
      <c r="I6" s="1765">
        <f>'Revenues 9-14'!I173</f>
        <v>0</v>
      </c>
      <c r="J6" s="1765">
        <f>'Revenues 9-14'!J173</f>
        <v>15000</v>
      </c>
      <c r="K6" s="1765">
        <f>'Revenues 9-14'!K173</f>
        <v>0</v>
      </c>
      <c r="L6" s="347"/>
      <c r="M6" s="513"/>
    </row>
    <row r="7" spans="1:13" ht="15.75" customHeight="1" x14ac:dyDescent="0.2">
      <c r="A7" s="1598" t="s">
        <v>1582</v>
      </c>
      <c r="B7" s="1600">
        <v>4000</v>
      </c>
      <c r="C7" s="1765">
        <f>'Revenues 9-14'!C274</f>
        <v>213976</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3711775</v>
      </c>
      <c r="D8" s="1710">
        <f t="shared" ref="D8:K8" si="0">SUM(D4:D7)</f>
        <v>420816</v>
      </c>
      <c r="E8" s="1710">
        <f t="shared" si="0"/>
        <v>361625</v>
      </c>
      <c r="F8" s="1710">
        <f t="shared" si="0"/>
        <v>375051</v>
      </c>
      <c r="G8" s="1710">
        <f t="shared" si="0"/>
        <v>160475</v>
      </c>
      <c r="H8" s="1710">
        <f t="shared" si="0"/>
        <v>223072</v>
      </c>
      <c r="I8" s="1710">
        <f t="shared" si="0"/>
        <v>27134</v>
      </c>
      <c r="J8" s="1710">
        <f t="shared" si="0"/>
        <v>69650</v>
      </c>
      <c r="K8" s="1710">
        <f t="shared" si="0"/>
        <v>29083</v>
      </c>
      <c r="L8" s="347"/>
    </row>
    <row r="9" spans="1:13" ht="15.75" thickTop="1" x14ac:dyDescent="0.2">
      <c r="A9" s="514" t="s">
        <v>1751</v>
      </c>
      <c r="B9" s="515">
        <v>3998</v>
      </c>
      <c r="C9" s="481">
        <v>184388</v>
      </c>
      <c r="D9" s="516"/>
      <c r="E9" s="481"/>
      <c r="F9" s="481"/>
      <c r="G9" s="517"/>
      <c r="H9" s="481"/>
      <c r="I9" s="509" t="s">
        <v>1231</v>
      </c>
      <c r="J9" s="478"/>
      <c r="K9" s="481"/>
      <c r="L9" s="347"/>
    </row>
    <row r="10" spans="1:13" s="519" customFormat="1" ht="13.5" thickBot="1" x14ac:dyDescent="0.25">
      <c r="A10" s="1758" t="s">
        <v>1235</v>
      </c>
      <c r="B10" s="1731"/>
      <c r="C10" s="1710">
        <f>SUM(C8:C9)</f>
        <v>3896163</v>
      </c>
      <c r="D10" s="1710">
        <f t="shared" ref="D10:K10" si="1">SUM(D8:D9)</f>
        <v>420816</v>
      </c>
      <c r="E10" s="1710">
        <f t="shared" si="1"/>
        <v>361625</v>
      </c>
      <c r="F10" s="1710">
        <f t="shared" si="1"/>
        <v>375051</v>
      </c>
      <c r="G10" s="1710">
        <f t="shared" si="1"/>
        <v>160475</v>
      </c>
      <c r="H10" s="1710">
        <f t="shared" si="1"/>
        <v>223072</v>
      </c>
      <c r="I10" s="1710">
        <f t="shared" si="1"/>
        <v>27134</v>
      </c>
      <c r="J10" s="1710">
        <f t="shared" si="1"/>
        <v>69650</v>
      </c>
      <c r="K10" s="1710">
        <f t="shared" si="1"/>
        <v>29083</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2186244</v>
      </c>
      <c r="D12" s="520" t="s">
        <v>1231</v>
      </c>
      <c r="E12" s="468" t="s">
        <v>1231</v>
      </c>
      <c r="F12" s="468" t="s">
        <v>1231</v>
      </c>
      <c r="G12" s="1764">
        <f>'Expenditures 15-22'!K229</f>
        <v>48920</v>
      </c>
      <c r="H12" s="521"/>
      <c r="I12" s="468" t="s">
        <v>1231</v>
      </c>
      <c r="J12" s="468" t="s">
        <v>1231</v>
      </c>
      <c r="K12" s="521" t="s">
        <v>1231</v>
      </c>
      <c r="L12" s="347"/>
    </row>
    <row r="13" spans="1:13" ht="15.75" customHeight="1" x14ac:dyDescent="0.2">
      <c r="A13" s="1598" t="s">
        <v>477</v>
      </c>
      <c r="B13" s="1600">
        <v>2000</v>
      </c>
      <c r="C13" s="1765">
        <f>'Expenditures 15-22'!K74</f>
        <v>835107</v>
      </c>
      <c r="D13" s="1765">
        <f>'Expenditures 15-22'!K129</f>
        <v>289481</v>
      </c>
      <c r="E13" s="469" t="s">
        <v>1231</v>
      </c>
      <c r="F13" s="1765">
        <f>'Expenditures 15-22'!K184</f>
        <v>263664</v>
      </c>
      <c r="G13" s="1765">
        <f>'Expenditures 15-22'!K279</f>
        <v>74165</v>
      </c>
      <c r="H13" s="1765">
        <f>'Expenditures 15-22'!K303</f>
        <v>215025</v>
      </c>
      <c r="I13" s="468" t="s">
        <v>1231</v>
      </c>
      <c r="J13" s="1765">
        <f>'Expenditures 15-22'!K330</f>
        <v>54118</v>
      </c>
      <c r="K13" s="1769">
        <f>'Expenditures 15-22'!K352</f>
        <v>0</v>
      </c>
      <c r="L13" s="347"/>
    </row>
    <row r="14" spans="1:13" ht="15.75" customHeight="1" x14ac:dyDescent="0.2">
      <c r="A14" s="1598" t="s">
        <v>469</v>
      </c>
      <c r="B14" s="1600">
        <v>3000</v>
      </c>
      <c r="C14" s="1765">
        <f>'Expenditures 15-22'!K75</f>
        <v>873</v>
      </c>
      <c r="D14" s="1765">
        <f>'Expenditures 15-22'!K130</f>
        <v>0</v>
      </c>
      <c r="E14" s="520" t="s">
        <v>1231</v>
      </c>
      <c r="F14" s="1765">
        <f>'Expenditures 15-22'!K185</f>
        <v>0</v>
      </c>
      <c r="G14" s="1765">
        <f>'Expenditures 15-22'!K280</f>
        <v>13</v>
      </c>
      <c r="H14" s="512"/>
      <c r="I14" s="468" t="s">
        <v>1231</v>
      </c>
      <c r="J14" s="468" t="s">
        <v>1231</v>
      </c>
      <c r="K14" s="512" t="s">
        <v>1231</v>
      </c>
      <c r="L14" s="347"/>
    </row>
    <row r="15" spans="1:13" ht="15.75" customHeight="1" x14ac:dyDescent="0.2">
      <c r="A15" s="1598" t="s">
        <v>109</v>
      </c>
      <c r="B15" s="1600">
        <v>4000</v>
      </c>
      <c r="C15" s="1765">
        <f>'Expenditures 15-22'!K102</f>
        <v>110891</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300145</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3133115</v>
      </c>
      <c r="D17" s="1710">
        <f t="shared" si="2"/>
        <v>289481</v>
      </c>
      <c r="E17" s="1710">
        <f t="shared" si="2"/>
        <v>300145</v>
      </c>
      <c r="F17" s="1710">
        <f t="shared" si="2"/>
        <v>263664</v>
      </c>
      <c r="G17" s="1710">
        <f t="shared" si="2"/>
        <v>123098</v>
      </c>
      <c r="H17" s="1710">
        <f t="shared" si="2"/>
        <v>215025</v>
      </c>
      <c r="I17" s="468"/>
      <c r="J17" s="1710">
        <f>SUM(J12:J16)</f>
        <v>54118</v>
      </c>
      <c r="K17" s="1710">
        <f>SUM(K12:K16)</f>
        <v>0</v>
      </c>
      <c r="L17" s="347"/>
    </row>
    <row r="18" spans="1:12" ht="15" customHeight="1" thickTop="1" x14ac:dyDescent="0.2">
      <c r="A18" s="1766" t="s">
        <v>1752</v>
      </c>
      <c r="B18" s="1767">
        <v>4180</v>
      </c>
      <c r="C18" s="1764">
        <f t="shared" ref="C18:H18" si="3">C9</f>
        <v>184388</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3317503</v>
      </c>
      <c r="D19" s="1710">
        <f t="shared" si="4"/>
        <v>289481</v>
      </c>
      <c r="E19" s="1710">
        <f t="shared" si="4"/>
        <v>300145</v>
      </c>
      <c r="F19" s="1710">
        <f t="shared" si="4"/>
        <v>263664</v>
      </c>
      <c r="G19" s="1710">
        <f t="shared" si="4"/>
        <v>123098</v>
      </c>
      <c r="H19" s="1710">
        <f t="shared" si="4"/>
        <v>215025</v>
      </c>
      <c r="I19" s="468"/>
      <c r="J19" s="1710">
        <f>SUM(J17:J18)</f>
        <v>54118</v>
      </c>
      <c r="K19" s="1710">
        <f>SUM(K17:K18)</f>
        <v>0</v>
      </c>
      <c r="L19" s="347"/>
    </row>
    <row r="20" spans="1:12" ht="16.5" thickTop="1" thickBot="1" x14ac:dyDescent="0.25">
      <c r="A20" s="2144" t="s">
        <v>1753</v>
      </c>
      <c r="B20" s="2145"/>
      <c r="C20" s="1768">
        <f>C8-C17</f>
        <v>578660</v>
      </c>
      <c r="D20" s="1768">
        <f t="shared" ref="D20:K20" si="5">D8-D17</f>
        <v>131335</v>
      </c>
      <c r="E20" s="1768">
        <f t="shared" si="5"/>
        <v>61480</v>
      </c>
      <c r="F20" s="1768">
        <f t="shared" si="5"/>
        <v>111387</v>
      </c>
      <c r="G20" s="1768">
        <f t="shared" si="5"/>
        <v>37377</v>
      </c>
      <c r="H20" s="1768">
        <f t="shared" si="5"/>
        <v>8047</v>
      </c>
      <c r="I20" s="1768">
        <f t="shared" si="5"/>
        <v>27134</v>
      </c>
      <c r="J20" s="1768">
        <f t="shared" si="5"/>
        <v>15532</v>
      </c>
      <c r="K20" s="1768">
        <f t="shared" si="5"/>
        <v>29083</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1896</v>
      </c>
      <c r="B30" s="527">
        <v>7160</v>
      </c>
      <c r="C30" s="477"/>
      <c r="D30" s="467"/>
      <c r="E30" s="477"/>
      <c r="F30" s="477"/>
      <c r="G30" s="477"/>
      <c r="H30" s="477"/>
      <c r="I30" s="477"/>
      <c r="J30" s="477"/>
      <c r="K30" s="477"/>
      <c r="L30" s="524"/>
    </row>
    <row r="31" spans="1:12" s="485" customFormat="1" ht="26.25" x14ac:dyDescent="0.2">
      <c r="A31" s="1511" t="s">
        <v>1900</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1899</v>
      </c>
      <c r="B52" s="483">
        <v>8160</v>
      </c>
      <c r="C52" s="477"/>
      <c r="D52" s="477"/>
      <c r="E52" s="477"/>
      <c r="F52" s="477"/>
      <c r="G52" s="477"/>
      <c r="H52" s="477"/>
      <c r="I52" s="477"/>
      <c r="J52" s="477"/>
      <c r="K52" s="1765">
        <f>D30</f>
        <v>0</v>
      </c>
      <c r="L52" s="524"/>
    </row>
    <row r="53" spans="1:12" s="485" customFormat="1" ht="26.25" x14ac:dyDescent="0.2">
      <c r="A53" s="1512" t="s">
        <v>1898</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578660</v>
      </c>
      <c r="D78" s="1724">
        <f t="shared" si="9"/>
        <v>131335</v>
      </c>
      <c r="E78" s="1724">
        <f t="shared" si="9"/>
        <v>61480</v>
      </c>
      <c r="F78" s="1724">
        <f t="shared" si="9"/>
        <v>111387</v>
      </c>
      <c r="G78" s="1724">
        <f t="shared" si="9"/>
        <v>37377</v>
      </c>
      <c r="H78" s="1724">
        <f t="shared" si="9"/>
        <v>8047</v>
      </c>
      <c r="I78" s="1724">
        <f t="shared" si="9"/>
        <v>27134</v>
      </c>
      <c r="J78" s="1724">
        <f t="shared" si="9"/>
        <v>15532</v>
      </c>
      <c r="K78" s="1724">
        <f t="shared" si="9"/>
        <v>29083</v>
      </c>
      <c r="L78" s="533"/>
    </row>
    <row r="79" spans="1:12" ht="13.5" thickTop="1" x14ac:dyDescent="0.2">
      <c r="A79" s="1516" t="s">
        <v>2070</v>
      </c>
      <c r="B79" s="534"/>
      <c r="C79" s="478">
        <v>1198898</v>
      </c>
      <c r="D79" s="535">
        <v>414555</v>
      </c>
      <c r="E79" s="535">
        <v>128580</v>
      </c>
      <c r="F79" s="535">
        <v>446195</v>
      </c>
      <c r="G79" s="535">
        <v>26317</v>
      </c>
      <c r="H79" s="535">
        <v>265287</v>
      </c>
      <c r="I79" s="535">
        <v>258771</v>
      </c>
      <c r="J79" s="535">
        <v>19180</v>
      </c>
      <c r="K79" s="535">
        <v>81309</v>
      </c>
      <c r="L79" s="347"/>
    </row>
    <row r="80" spans="1:12" x14ac:dyDescent="0.2">
      <c r="A80" s="2146" t="s">
        <v>1897</v>
      </c>
      <c r="B80" s="2147"/>
      <c r="C80" s="467"/>
      <c r="D80" s="467"/>
      <c r="E80" s="467"/>
      <c r="F80" s="467"/>
      <c r="G80" s="467"/>
      <c r="H80" s="467"/>
      <c r="I80" s="467"/>
      <c r="J80" s="467"/>
      <c r="K80" s="467"/>
      <c r="L80" s="347"/>
    </row>
    <row r="81" spans="1:12" ht="13.5" thickBot="1" x14ac:dyDescent="0.25">
      <c r="A81" s="2138" t="s">
        <v>2071</v>
      </c>
      <c r="B81" s="2139"/>
      <c r="C81" s="1710">
        <f>(SUM(C78:C80))</f>
        <v>1777558</v>
      </c>
      <c r="D81" s="1710">
        <f>SUM(D78:D80)</f>
        <v>545890</v>
      </c>
      <c r="E81" s="1710">
        <f t="shared" ref="E81:K81" si="10">SUM(E78:E80)</f>
        <v>190060</v>
      </c>
      <c r="F81" s="1710">
        <f t="shared" si="10"/>
        <v>557582</v>
      </c>
      <c r="G81" s="1710">
        <f t="shared" si="10"/>
        <v>63694</v>
      </c>
      <c r="H81" s="1710">
        <f t="shared" si="10"/>
        <v>273334</v>
      </c>
      <c r="I81" s="1710">
        <f t="shared" si="10"/>
        <v>285905</v>
      </c>
      <c r="J81" s="1710">
        <f t="shared" si="10"/>
        <v>34712</v>
      </c>
      <c r="K81" s="1710">
        <f t="shared" si="10"/>
        <v>110392</v>
      </c>
      <c r="L81" s="347"/>
    </row>
    <row r="82" spans="1:12" ht="0.75" customHeight="1" thickTop="1" thickBot="1" x14ac:dyDescent="0.25">
      <c r="A82" s="536" t="s">
        <v>361</v>
      </c>
      <c r="B82" s="537"/>
      <c r="C82" s="538">
        <f>(C81-C79)</f>
        <v>578660</v>
      </c>
      <c r="D82" s="538">
        <f t="shared" ref="D82:K82" si="11">(D81-D79)</f>
        <v>131335</v>
      </c>
      <c r="E82" s="538">
        <f t="shared" si="11"/>
        <v>61480</v>
      </c>
      <c r="F82" s="538">
        <f t="shared" si="11"/>
        <v>111387</v>
      </c>
      <c r="G82" s="538">
        <f t="shared" si="11"/>
        <v>37377</v>
      </c>
      <c r="H82" s="538">
        <f t="shared" si="11"/>
        <v>8047</v>
      </c>
      <c r="I82" s="538">
        <f t="shared" si="11"/>
        <v>27134</v>
      </c>
      <c r="J82" s="538">
        <f t="shared" si="11"/>
        <v>15532</v>
      </c>
      <c r="K82" s="538">
        <f t="shared" si="11"/>
        <v>29083</v>
      </c>
    </row>
    <row r="83" spans="1:12" ht="14.25" hidden="1" thickTop="1" thickBot="1" x14ac:dyDescent="0.25">
      <c r="A83" s="539" t="s">
        <v>362</v>
      </c>
      <c r="B83" s="464"/>
      <c r="C83" s="540">
        <f>C82/C81</f>
        <v>0.32553649444912625</v>
      </c>
      <c r="D83" s="540">
        <f t="shared" ref="D83:K83" si="12">D82/D81</f>
        <v>0.24058876330396234</v>
      </c>
      <c r="E83" s="540">
        <f t="shared" si="12"/>
        <v>0.32347679680101021</v>
      </c>
      <c r="F83" s="540">
        <f t="shared" si="12"/>
        <v>0.19976792651125755</v>
      </c>
      <c r="G83" s="540">
        <f t="shared" si="12"/>
        <v>0.58682136464973156</v>
      </c>
      <c r="H83" s="540">
        <f t="shared" si="12"/>
        <v>2.9440172097141226E-2</v>
      </c>
      <c r="I83" s="540">
        <f t="shared" si="12"/>
        <v>9.4905650478305736E-2</v>
      </c>
      <c r="J83" s="540">
        <f t="shared" si="12"/>
        <v>0.44745333026042866</v>
      </c>
      <c r="K83" s="540">
        <f t="shared" si="12"/>
        <v>0.26345206174360458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1904</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1759</v>
      </c>
      <c r="B5" s="547"/>
      <c r="C5" s="481">
        <v>2099878</v>
      </c>
      <c r="D5" s="481">
        <v>372733</v>
      </c>
      <c r="E5" s="466">
        <v>360727</v>
      </c>
      <c r="F5" s="548">
        <v>205421</v>
      </c>
      <c r="G5" s="466">
        <v>72663</v>
      </c>
      <c r="H5" s="466"/>
      <c r="I5" s="466">
        <v>26295</v>
      </c>
      <c r="J5" s="467">
        <v>53824</v>
      </c>
      <c r="K5" s="466">
        <v>29053</v>
      </c>
    </row>
    <row r="6" spans="1:12" ht="15" x14ac:dyDescent="0.2">
      <c r="A6" s="463" t="s">
        <v>1760</v>
      </c>
      <c r="B6" s="470">
        <v>1130</v>
      </c>
      <c r="C6" s="466"/>
      <c r="D6" s="466"/>
      <c r="E6" s="475"/>
      <c r="F6" s="475"/>
      <c r="G6" s="468"/>
      <c r="H6" s="468"/>
      <c r="I6" s="468"/>
      <c r="J6" s="468"/>
      <c r="K6" s="468"/>
    </row>
    <row r="7" spans="1:12" x14ac:dyDescent="0.2">
      <c r="A7" s="463" t="s">
        <v>112</v>
      </c>
      <c r="B7" s="549">
        <v>1140</v>
      </c>
      <c r="C7" s="466">
        <v>21109</v>
      </c>
      <c r="D7" s="466"/>
      <c r="E7" s="468"/>
      <c r="F7" s="467"/>
      <c r="G7" s="467"/>
      <c r="H7" s="467"/>
      <c r="I7" s="468"/>
      <c r="J7" s="468"/>
      <c r="K7" s="468"/>
    </row>
    <row r="8" spans="1:12" x14ac:dyDescent="0.2">
      <c r="A8" s="463" t="s">
        <v>433</v>
      </c>
      <c r="B8" s="470">
        <v>1150</v>
      </c>
      <c r="C8" s="475"/>
      <c r="D8" s="475"/>
      <c r="E8" s="477"/>
      <c r="F8" s="477"/>
      <c r="G8" s="481">
        <v>72663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2120987</v>
      </c>
      <c r="D12" s="1729">
        <f t="shared" si="0"/>
        <v>372733</v>
      </c>
      <c r="E12" s="1729">
        <f t="shared" si="0"/>
        <v>360727</v>
      </c>
      <c r="F12" s="1729">
        <f t="shared" si="0"/>
        <v>205421</v>
      </c>
      <c r="G12" s="1729">
        <f t="shared" si="0"/>
        <v>145326</v>
      </c>
      <c r="H12" s="1729">
        <f t="shared" si="0"/>
        <v>0</v>
      </c>
      <c r="I12" s="1729">
        <f t="shared" si="0"/>
        <v>26295</v>
      </c>
      <c r="J12" s="1729">
        <f t="shared" si="0"/>
        <v>53824</v>
      </c>
      <c r="K12" s="1710">
        <f t="shared" si="0"/>
        <v>29053</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89791</v>
      </c>
      <c r="D16" s="466">
        <v>34666</v>
      </c>
      <c r="E16" s="466"/>
      <c r="F16" s="466"/>
      <c r="G16" s="466">
        <v>15000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89791</v>
      </c>
      <c r="D18" s="1732">
        <f t="shared" ref="D18:K18" si="1">SUM(D14:D17)</f>
        <v>34666</v>
      </c>
      <c r="E18" s="1732">
        <f t="shared" si="1"/>
        <v>0</v>
      </c>
      <c r="F18" s="1732">
        <f t="shared" si="1"/>
        <v>0</v>
      </c>
      <c r="G18" s="1732">
        <f t="shared" si="1"/>
        <v>15000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v>20902</v>
      </c>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20902</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10013</v>
      </c>
      <c r="D65" s="466">
        <v>1909</v>
      </c>
      <c r="E65" s="466">
        <v>898</v>
      </c>
      <c r="F65" s="467">
        <v>1357</v>
      </c>
      <c r="G65" s="466">
        <v>149</v>
      </c>
      <c r="H65" s="466"/>
      <c r="I65" s="466">
        <v>839</v>
      </c>
      <c r="J65" s="467">
        <v>55</v>
      </c>
      <c r="K65" s="466">
        <v>30</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10013</v>
      </c>
      <c r="D67" s="1710">
        <f t="shared" ref="D67:K67" si="2">SUM(D65:D66)</f>
        <v>1909</v>
      </c>
      <c r="E67" s="1710">
        <f t="shared" si="2"/>
        <v>898</v>
      </c>
      <c r="F67" s="1710">
        <f t="shared" si="2"/>
        <v>1357</v>
      </c>
      <c r="G67" s="1710">
        <f t="shared" si="2"/>
        <v>149</v>
      </c>
      <c r="H67" s="1710">
        <f t="shared" si="2"/>
        <v>0</v>
      </c>
      <c r="I67" s="1710">
        <f t="shared" si="2"/>
        <v>839</v>
      </c>
      <c r="J67" s="1710">
        <f t="shared" si="2"/>
        <v>55</v>
      </c>
      <c r="K67" s="1710">
        <f t="shared" si="2"/>
        <v>30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44675</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44675</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9018</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8140</v>
      </c>
      <c r="D81" s="466"/>
      <c r="E81" s="468"/>
      <c r="F81" s="468"/>
      <c r="G81" s="468"/>
      <c r="H81" s="468"/>
      <c r="I81" s="468"/>
      <c r="J81" s="468"/>
      <c r="K81" s="468"/>
    </row>
    <row r="82" spans="1:11" ht="12.75" customHeight="1" thickBot="1" x14ac:dyDescent="0.25">
      <c r="A82" s="1730" t="s">
        <v>259</v>
      </c>
      <c r="B82" s="1731"/>
      <c r="C82" s="1729">
        <f>SUM(C77:C81)</f>
        <v>17158</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21635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21635</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22456</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51906</v>
      </c>
      <c r="D98" s="466"/>
      <c r="E98" s="512"/>
      <c r="F98" s="466"/>
      <c r="G98" s="512"/>
      <c r="H98" s="512"/>
      <c r="I98" s="510"/>
      <c r="J98" s="512"/>
      <c r="K98" s="512"/>
    </row>
    <row r="99" spans="1:12" ht="12.75" customHeight="1" x14ac:dyDescent="0.2">
      <c r="A99" s="463" t="s">
        <v>875</v>
      </c>
      <c r="B99" s="470">
        <v>1950</v>
      </c>
      <c r="C99" s="489">
        <v>1750</v>
      </c>
      <c r="D99" s="466">
        <v>262</v>
      </c>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2250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223072</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216</v>
      </c>
      <c r="D107" s="466">
        <v>11246</v>
      </c>
      <c r="E107" s="466"/>
      <c r="F107" s="466">
        <v>6381</v>
      </c>
      <c r="G107" s="466"/>
      <c r="H107" s="466"/>
      <c r="I107" s="466"/>
      <c r="J107" s="467">
        <v>771</v>
      </c>
      <c r="K107" s="466"/>
    </row>
    <row r="108" spans="1:12" ht="12.75" customHeight="1" thickBot="1" x14ac:dyDescent="0.25">
      <c r="A108" s="1730" t="s">
        <v>508</v>
      </c>
      <c r="B108" s="1734"/>
      <c r="C108" s="1729">
        <f>SUM(C95:C107)</f>
        <v>78578</v>
      </c>
      <c r="D108" s="1729">
        <f t="shared" ref="D108:K108" si="3">SUM(D95:D107)</f>
        <v>11508</v>
      </c>
      <c r="E108" s="1729">
        <f t="shared" si="3"/>
        <v>0</v>
      </c>
      <c r="F108" s="1729">
        <f t="shared" si="3"/>
        <v>6381</v>
      </c>
      <c r="G108" s="1729">
        <f t="shared" si="3"/>
        <v>0</v>
      </c>
      <c r="H108" s="1729">
        <f t="shared" si="3"/>
        <v>223072</v>
      </c>
      <c r="I108" s="1729">
        <f t="shared" si="3"/>
        <v>0</v>
      </c>
      <c r="J108" s="1729">
        <f t="shared" si="3"/>
        <v>771</v>
      </c>
      <c r="K108" s="1710">
        <f t="shared" si="3"/>
        <v>0</v>
      </c>
    </row>
    <row r="109" spans="1:12" ht="14.25" thickTop="1" thickBot="1" x14ac:dyDescent="0.25">
      <c r="A109" s="1735" t="s">
        <v>266</v>
      </c>
      <c r="B109" s="1736" t="s">
        <v>591</v>
      </c>
      <c r="C109" s="1737">
        <f t="shared" ref="C109:K109" si="4">SUM(C12,C18,C40,C63,C67,C75,C82,C93,C108,)</f>
        <v>2403739</v>
      </c>
      <c r="D109" s="1737">
        <f t="shared" si="4"/>
        <v>420816</v>
      </c>
      <c r="E109" s="1737">
        <f t="shared" si="4"/>
        <v>361625</v>
      </c>
      <c r="F109" s="1737">
        <f t="shared" si="4"/>
        <v>213159</v>
      </c>
      <c r="G109" s="1737">
        <f t="shared" si="4"/>
        <v>160475</v>
      </c>
      <c r="H109" s="1737">
        <f t="shared" si="4"/>
        <v>223072</v>
      </c>
      <c r="I109" s="1737">
        <f t="shared" si="4"/>
        <v>27134</v>
      </c>
      <c r="J109" s="1737">
        <f t="shared" si="4"/>
        <v>54650</v>
      </c>
      <c r="K109" s="1724">
        <f t="shared" si="4"/>
        <v>29083</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1765</v>
      </c>
      <c r="B117" s="562">
        <v>3001</v>
      </c>
      <c r="C117" s="516">
        <v>937968</v>
      </c>
      <c r="D117" s="481"/>
      <c r="E117" s="466"/>
      <c r="F117" s="481"/>
      <c r="G117" s="481"/>
      <c r="H117" s="466"/>
      <c r="I117" s="468"/>
      <c r="J117" s="467">
        <v>15000</v>
      </c>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8" t="s">
        <v>1903</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937968</v>
      </c>
      <c r="D121" s="1729">
        <f t="shared" si="5"/>
        <v>0</v>
      </c>
      <c r="E121" s="1729">
        <f t="shared" si="5"/>
        <v>0</v>
      </c>
      <c r="F121" s="1729">
        <f t="shared" si="5"/>
        <v>0</v>
      </c>
      <c r="G121" s="1729">
        <f t="shared" si="5"/>
        <v>0</v>
      </c>
      <c r="H121" s="1729">
        <f t="shared" si="5"/>
        <v>0</v>
      </c>
      <c r="I121" s="468"/>
      <c r="J121" s="1729">
        <f>SUM(J117:J120)</f>
        <v>15000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23860</v>
      </c>
      <c r="D125" s="561"/>
      <c r="E125" s="468"/>
      <c r="F125" s="466"/>
      <c r="G125" s="468"/>
      <c r="H125" s="468"/>
      <c r="I125" s="468"/>
      <c r="J125" s="468"/>
      <c r="K125" s="468"/>
    </row>
    <row r="126" spans="1:11" ht="12.75" customHeight="1" x14ac:dyDescent="0.2">
      <c r="A126" s="463" t="s">
        <v>922</v>
      </c>
      <c r="B126" s="562">
        <v>3110</v>
      </c>
      <c r="C126" s="551">
        <v>27143</v>
      </c>
      <c r="D126" s="466"/>
      <c r="E126" s="468"/>
      <c r="F126" s="466"/>
      <c r="G126" s="468"/>
      <c r="H126" s="468"/>
      <c r="I126" s="468"/>
      <c r="J126" s="468"/>
      <c r="K126" s="468"/>
    </row>
    <row r="127" spans="1:11" ht="12.75" customHeight="1" x14ac:dyDescent="0.2">
      <c r="A127" s="463" t="s">
        <v>107</v>
      </c>
      <c r="B127" s="562">
        <v>3120</v>
      </c>
      <c r="C127" s="466">
        <v>5203</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56206</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1159</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4193</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94709</v>
      </c>
      <c r="G151" s="467"/>
      <c r="H151" s="468"/>
      <c r="I151" s="468"/>
      <c r="J151" s="468"/>
      <c r="K151" s="468"/>
    </row>
    <row r="152" spans="1:11" ht="12.75" customHeight="1" x14ac:dyDescent="0.2">
      <c r="A152" s="463" t="s">
        <v>1117</v>
      </c>
      <c r="B152" s="562">
        <v>3510</v>
      </c>
      <c r="C152" s="551"/>
      <c r="D152" s="466"/>
      <c r="E152" s="561"/>
      <c r="F152" s="466">
        <v>67183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161892</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v>93034</v>
      </c>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156092</v>
      </c>
      <c r="D172" s="1744">
        <f t="shared" si="6"/>
        <v>0</v>
      </c>
      <c r="E172" s="1744">
        <f t="shared" si="6"/>
        <v>0</v>
      </c>
      <c r="F172" s="1744">
        <f t="shared" si="6"/>
        <v>161892</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1094060</v>
      </c>
      <c r="D173" s="1737">
        <f>SUM(D121,D172)</f>
        <v>0</v>
      </c>
      <c r="E173" s="1737">
        <f>SUM(E121,E172)</f>
        <v>0</v>
      </c>
      <c r="F173" s="1737">
        <f t="shared" ref="F173:K173" si="7">SUM(F121,F172)</f>
        <v>161892</v>
      </c>
      <c r="G173" s="1737">
        <f t="shared" si="7"/>
        <v>0</v>
      </c>
      <c r="H173" s="1737">
        <f t="shared" si="7"/>
        <v>0</v>
      </c>
      <c r="I173" s="1737">
        <f t="shared" si="7"/>
        <v>0</v>
      </c>
      <c r="J173" s="1737">
        <f t="shared" si="7"/>
        <v>15000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1763</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1762</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1905</v>
      </c>
      <c r="B185" s="2167"/>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v>17722</v>
      </c>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17722</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54014</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18027</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72041</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102896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102896</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9129</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12188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213976</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213976</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3711775</v>
      </c>
      <c r="D275" s="1737">
        <f t="shared" si="12"/>
        <v>420816</v>
      </c>
      <c r="E275" s="1737">
        <f t="shared" si="12"/>
        <v>361625</v>
      </c>
      <c r="F275" s="1737">
        <f t="shared" si="12"/>
        <v>375051</v>
      </c>
      <c r="G275" s="1737">
        <f t="shared" si="12"/>
        <v>160475</v>
      </c>
      <c r="H275" s="1737">
        <f t="shared" si="12"/>
        <v>223072</v>
      </c>
      <c r="I275" s="1737">
        <f t="shared" si="12"/>
        <v>27134</v>
      </c>
      <c r="J275" s="1737">
        <f t="shared" si="12"/>
        <v>69650</v>
      </c>
      <c r="K275" s="1724">
        <f t="shared" si="12"/>
        <v>29083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3" activePane="bottomLeft" state="frozen"/>
      <selection activeCell="A47" sqref="A47"/>
      <selection pane="bottomLeft" activeCell="E70" sqref="E7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1426871</v>
      </c>
      <c r="D5" s="466">
        <v>77562</v>
      </c>
      <c r="E5" s="466">
        <v>48</v>
      </c>
      <c r="F5" s="466">
        <v>49840</v>
      </c>
      <c r="G5" s="466"/>
      <c r="H5" s="466"/>
      <c r="I5" s="467"/>
      <c r="J5" s="467"/>
      <c r="K5" s="1693">
        <f>SUM(C5:J5)</f>
        <v>1554321</v>
      </c>
      <c r="L5" s="466">
        <v>1564774</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57357</v>
      </c>
      <c r="D7" s="467">
        <v>10964</v>
      </c>
      <c r="E7" s="467"/>
      <c r="F7" s="467">
        <v>9865</v>
      </c>
      <c r="G7" s="467"/>
      <c r="H7" s="467"/>
      <c r="I7" s="467"/>
      <c r="J7" s="467"/>
      <c r="K7" s="1693">
        <f t="shared" ref="K7:K32" si="0">SUM(C7:J7)</f>
        <v>78186</v>
      </c>
      <c r="L7" s="466">
        <v>78607</v>
      </c>
    </row>
    <row r="8" spans="1:14" x14ac:dyDescent="0.2">
      <c r="A8" s="1526" t="s">
        <v>166</v>
      </c>
      <c r="B8" s="615">
        <v>1200</v>
      </c>
      <c r="C8" s="466">
        <v>232001</v>
      </c>
      <c r="D8" s="466">
        <v>35173</v>
      </c>
      <c r="E8" s="466">
        <v>73178</v>
      </c>
      <c r="F8" s="466"/>
      <c r="G8" s="466"/>
      <c r="H8" s="466"/>
      <c r="I8" s="467"/>
      <c r="J8" s="467"/>
      <c r="K8" s="1693">
        <f t="shared" si="0"/>
        <v>340352</v>
      </c>
      <c r="L8" s="466">
        <v>340439</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56375</v>
      </c>
      <c r="D10" s="466">
        <v>8411</v>
      </c>
      <c r="E10" s="466">
        <v>2700</v>
      </c>
      <c r="F10" s="466">
        <v>26654</v>
      </c>
      <c r="G10" s="466"/>
      <c r="H10" s="466"/>
      <c r="I10" s="467"/>
      <c r="J10" s="467"/>
      <c r="K10" s="1693">
        <f t="shared" si="0"/>
        <v>94140</v>
      </c>
      <c r="L10" s="466">
        <v>96996</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72681</v>
      </c>
      <c r="D14" s="466">
        <v>2868</v>
      </c>
      <c r="E14" s="466">
        <v>25598</v>
      </c>
      <c r="F14" s="466"/>
      <c r="G14" s="466"/>
      <c r="H14" s="466">
        <v>6984</v>
      </c>
      <c r="I14" s="467"/>
      <c r="J14" s="467"/>
      <c r="K14" s="1693">
        <f t="shared" si="0"/>
        <v>108131</v>
      </c>
      <c r="L14" s="466">
        <v>111155</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v>10915</v>
      </c>
      <c r="D18" s="466">
        <v>199</v>
      </c>
      <c r="E18" s="466"/>
      <c r="F18" s="466"/>
      <c r="G18" s="466"/>
      <c r="H18" s="466"/>
      <c r="I18" s="467"/>
      <c r="J18" s="467"/>
      <c r="K18" s="1693">
        <f t="shared" si="0"/>
        <v>11114</v>
      </c>
      <c r="L18" s="466">
        <v>10617</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1766</v>
      </c>
      <c r="B33" s="1691" t="s">
        <v>591</v>
      </c>
      <c r="C33" s="1692">
        <f>SUM(C5:C32)</f>
        <v>1856200</v>
      </c>
      <c r="D33" s="1692">
        <f t="shared" ref="D33:L33" si="1">SUM(D5:D32)</f>
        <v>135177</v>
      </c>
      <c r="E33" s="1692">
        <f t="shared" si="1"/>
        <v>101524</v>
      </c>
      <c r="F33" s="1692">
        <f t="shared" si="1"/>
        <v>86359</v>
      </c>
      <c r="G33" s="1692">
        <f t="shared" si="1"/>
        <v>0</v>
      </c>
      <c r="H33" s="1692">
        <f t="shared" si="1"/>
        <v>6984</v>
      </c>
      <c r="I33" s="1692">
        <f t="shared" si="1"/>
        <v>0</v>
      </c>
      <c r="J33" s="1692">
        <f t="shared" si="1"/>
        <v>0</v>
      </c>
      <c r="K33" s="1692">
        <f t="shared" si="1"/>
        <v>2186244</v>
      </c>
      <c r="L33" s="1692">
        <f t="shared" si="1"/>
        <v>2202588</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63472</v>
      </c>
      <c r="D36" s="481">
        <v>6929</v>
      </c>
      <c r="E36" s="481"/>
      <c r="F36" s="481"/>
      <c r="G36" s="481"/>
      <c r="H36" s="481"/>
      <c r="I36" s="467"/>
      <c r="J36" s="467"/>
      <c r="K36" s="1693">
        <f t="shared" ref="K36:K41" si="2">SUM(C36:J36)</f>
        <v>70401</v>
      </c>
      <c r="L36" s="466">
        <v>70816</v>
      </c>
    </row>
    <row r="37" spans="1:14" x14ac:dyDescent="0.2">
      <c r="A37" s="1526" t="s">
        <v>1151</v>
      </c>
      <c r="B37" s="615">
        <v>2120</v>
      </c>
      <c r="C37" s="466">
        <v>17792</v>
      </c>
      <c r="D37" s="466"/>
      <c r="E37" s="466"/>
      <c r="F37" s="466"/>
      <c r="G37" s="466"/>
      <c r="H37" s="466"/>
      <c r="I37" s="467"/>
      <c r="J37" s="467"/>
      <c r="K37" s="1693">
        <f t="shared" si="2"/>
        <v>17792</v>
      </c>
      <c r="L37" s="466">
        <v>17800</v>
      </c>
    </row>
    <row r="38" spans="1:14" x14ac:dyDescent="0.2">
      <c r="A38" s="1526" t="s">
        <v>207</v>
      </c>
      <c r="B38" s="615">
        <v>2130</v>
      </c>
      <c r="C38" s="466">
        <v>28289</v>
      </c>
      <c r="D38" s="466">
        <v>27</v>
      </c>
      <c r="E38" s="466"/>
      <c r="F38" s="466"/>
      <c r="G38" s="466"/>
      <c r="H38" s="466"/>
      <c r="I38" s="467"/>
      <c r="J38" s="467"/>
      <c r="K38" s="1693">
        <f t="shared" si="2"/>
        <v>28316</v>
      </c>
      <c r="L38" s="466">
        <v>28409</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v>20220</v>
      </c>
      <c r="F40" s="466"/>
      <c r="G40" s="466"/>
      <c r="H40" s="466"/>
      <c r="I40" s="467"/>
      <c r="J40" s="467"/>
      <c r="K40" s="1693">
        <f t="shared" si="2"/>
        <v>20220</v>
      </c>
      <c r="L40" s="466">
        <v>20221</v>
      </c>
    </row>
    <row r="41" spans="1:14" x14ac:dyDescent="0.2">
      <c r="A41" s="1526" t="s">
        <v>1767</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109553</v>
      </c>
      <c r="D42" s="1692">
        <f t="shared" ref="D42:L42" si="3">SUM(D36:D41)</f>
        <v>6956</v>
      </c>
      <c r="E42" s="1692">
        <f t="shared" si="3"/>
        <v>20220</v>
      </c>
      <c r="F42" s="1692">
        <f t="shared" si="3"/>
        <v>0</v>
      </c>
      <c r="G42" s="1692">
        <f t="shared" si="3"/>
        <v>0</v>
      </c>
      <c r="H42" s="1692">
        <f t="shared" si="3"/>
        <v>0</v>
      </c>
      <c r="I42" s="1692">
        <f t="shared" si="3"/>
        <v>0</v>
      </c>
      <c r="J42" s="1692">
        <f t="shared" si="3"/>
        <v>0</v>
      </c>
      <c r="K42" s="1692">
        <f t="shared" si="3"/>
        <v>136729</v>
      </c>
      <c r="L42" s="1692">
        <f t="shared" si="3"/>
        <v>137246</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12343</v>
      </c>
      <c r="D44" s="481">
        <v>1221</v>
      </c>
      <c r="E44" s="481">
        <v>9908</v>
      </c>
      <c r="F44" s="481">
        <v>10666</v>
      </c>
      <c r="G44" s="481">
        <v>9582</v>
      </c>
      <c r="H44" s="481"/>
      <c r="I44" s="467"/>
      <c r="J44" s="467"/>
      <c r="K44" s="1694">
        <f>SUM(C44:J44)</f>
        <v>43720</v>
      </c>
      <c r="L44" s="481">
        <v>51282</v>
      </c>
    </row>
    <row r="45" spans="1:14" x14ac:dyDescent="0.2">
      <c r="A45" s="1526" t="s">
        <v>869</v>
      </c>
      <c r="B45" s="615">
        <v>2220</v>
      </c>
      <c r="C45" s="466"/>
      <c r="D45" s="466"/>
      <c r="E45" s="466"/>
      <c r="F45" s="466">
        <v>2752</v>
      </c>
      <c r="G45" s="466"/>
      <c r="H45" s="466"/>
      <c r="I45" s="467"/>
      <c r="J45" s="467"/>
      <c r="K45" s="1694">
        <f>SUM(C45:J45)</f>
        <v>2752</v>
      </c>
      <c r="L45" s="466">
        <v>2769</v>
      </c>
    </row>
    <row r="46" spans="1:14" x14ac:dyDescent="0.2">
      <c r="A46" s="1526" t="s">
        <v>870</v>
      </c>
      <c r="B46" s="615">
        <v>2230</v>
      </c>
      <c r="C46" s="466"/>
      <c r="D46" s="466"/>
      <c r="E46" s="466">
        <v>2219</v>
      </c>
      <c r="F46" s="466"/>
      <c r="G46" s="466"/>
      <c r="H46" s="466"/>
      <c r="I46" s="467"/>
      <c r="J46" s="467"/>
      <c r="K46" s="1694">
        <f>SUM(C46:J46)</f>
        <v>2219</v>
      </c>
      <c r="L46" s="466">
        <v>2724</v>
      </c>
    </row>
    <row r="47" spans="1:14" ht="12.75" customHeight="1" thickBot="1" x14ac:dyDescent="0.25">
      <c r="A47" s="1690" t="s">
        <v>582</v>
      </c>
      <c r="B47" s="1691" t="s">
        <v>32</v>
      </c>
      <c r="C47" s="1692">
        <f>SUM(C44:C46)</f>
        <v>12343</v>
      </c>
      <c r="D47" s="1692">
        <f t="shared" ref="D47:K47" si="4">SUM(D44:D46)</f>
        <v>1221</v>
      </c>
      <c r="E47" s="1692">
        <f t="shared" si="4"/>
        <v>12127</v>
      </c>
      <c r="F47" s="1692">
        <f t="shared" si="4"/>
        <v>13418</v>
      </c>
      <c r="G47" s="1692">
        <f t="shared" si="4"/>
        <v>9582</v>
      </c>
      <c r="H47" s="1692">
        <f t="shared" si="4"/>
        <v>0</v>
      </c>
      <c r="I47" s="1692">
        <f t="shared" si="4"/>
        <v>0</v>
      </c>
      <c r="J47" s="1692">
        <f t="shared" si="4"/>
        <v>0</v>
      </c>
      <c r="K47" s="1692">
        <f t="shared" si="4"/>
        <v>48691</v>
      </c>
      <c r="L47" s="1692">
        <f>SUM(L44:L46)</f>
        <v>56775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3820</v>
      </c>
      <c r="D49" s="481"/>
      <c r="E49" s="481">
        <v>73806</v>
      </c>
      <c r="F49" s="481"/>
      <c r="G49" s="481"/>
      <c r="H49" s="481"/>
      <c r="I49" s="467"/>
      <c r="J49" s="467"/>
      <c r="K49" s="1694">
        <f>SUM(C49:J49)</f>
        <v>77626</v>
      </c>
      <c r="L49" s="481">
        <v>77756</v>
      </c>
    </row>
    <row r="50" spans="1:14" x14ac:dyDescent="0.2">
      <c r="A50" s="1526" t="s">
        <v>872</v>
      </c>
      <c r="B50" s="615">
        <v>2320</v>
      </c>
      <c r="C50" s="466">
        <v>112088</v>
      </c>
      <c r="D50" s="466">
        <v>2999</v>
      </c>
      <c r="E50" s="466">
        <v>977</v>
      </c>
      <c r="F50" s="466">
        <v>1769</v>
      </c>
      <c r="G50" s="466"/>
      <c r="H50" s="466"/>
      <c r="I50" s="467"/>
      <c r="J50" s="467"/>
      <c r="K50" s="1694">
        <f>SUM(C50:J50)</f>
        <v>117833</v>
      </c>
      <c r="L50" s="466">
        <v>117913</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115908</v>
      </c>
      <c r="D53" s="1692">
        <f t="shared" ref="D53:L53" si="5">SUM(D49:D52)</f>
        <v>2999</v>
      </c>
      <c r="E53" s="1692">
        <f t="shared" si="5"/>
        <v>74783</v>
      </c>
      <c r="F53" s="1692">
        <f t="shared" si="5"/>
        <v>1769</v>
      </c>
      <c r="G53" s="1692">
        <f t="shared" si="5"/>
        <v>0</v>
      </c>
      <c r="H53" s="1692">
        <f t="shared" si="5"/>
        <v>0</v>
      </c>
      <c r="I53" s="1692">
        <f t="shared" si="5"/>
        <v>0</v>
      </c>
      <c r="J53" s="1692">
        <f t="shared" si="5"/>
        <v>0</v>
      </c>
      <c r="K53" s="1692">
        <f t="shared" si="5"/>
        <v>195459</v>
      </c>
      <c r="L53" s="1692">
        <f t="shared" si="5"/>
        <v>195669</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126857</v>
      </c>
      <c r="D55" s="481">
        <v>17713</v>
      </c>
      <c r="E55" s="481">
        <v>332</v>
      </c>
      <c r="F55" s="481">
        <v>137</v>
      </c>
      <c r="G55" s="481"/>
      <c r="H55" s="481"/>
      <c r="I55" s="467"/>
      <c r="J55" s="467"/>
      <c r="K55" s="1694">
        <f>SUM(C55:J55)</f>
        <v>145039</v>
      </c>
      <c r="L55" s="481">
        <v>145521</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126857</v>
      </c>
      <c r="D57" s="1696">
        <f t="shared" ref="D57:K57" si="6">SUM(D55:D56)</f>
        <v>17713</v>
      </c>
      <c r="E57" s="1696">
        <f t="shared" si="6"/>
        <v>332</v>
      </c>
      <c r="F57" s="1696">
        <f t="shared" si="6"/>
        <v>137</v>
      </c>
      <c r="G57" s="1696">
        <f t="shared" si="6"/>
        <v>0</v>
      </c>
      <c r="H57" s="1696">
        <f t="shared" si="6"/>
        <v>0</v>
      </c>
      <c r="I57" s="1696">
        <f t="shared" si="6"/>
        <v>0</v>
      </c>
      <c r="J57" s="1696">
        <f t="shared" si="6"/>
        <v>0</v>
      </c>
      <c r="K57" s="1696">
        <f t="shared" si="6"/>
        <v>145039</v>
      </c>
      <c r="L57" s="1692">
        <f>SUM(L55:L56)</f>
        <v>145521</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38735</v>
      </c>
      <c r="D60" s="466">
        <v>25</v>
      </c>
      <c r="E60" s="466"/>
      <c r="F60" s="466">
        <v>6294</v>
      </c>
      <c r="G60" s="466"/>
      <c r="H60" s="466"/>
      <c r="I60" s="467"/>
      <c r="J60" s="467"/>
      <c r="K60" s="1694">
        <f t="shared" si="7"/>
        <v>45054</v>
      </c>
      <c r="L60" s="466">
        <v>45065</v>
      </c>
      <c r="M60" s="610"/>
      <c r="N60" s="610"/>
    </row>
    <row r="61" spans="1:14" s="343" customFormat="1" x14ac:dyDescent="0.2">
      <c r="A61" s="1526" t="s">
        <v>206</v>
      </c>
      <c r="B61" s="615">
        <v>2540</v>
      </c>
      <c r="C61" s="466">
        <v>66434</v>
      </c>
      <c r="D61" s="466">
        <v>5517</v>
      </c>
      <c r="E61" s="466">
        <v>9859</v>
      </c>
      <c r="F61" s="466">
        <v>9753</v>
      </c>
      <c r="G61" s="466">
        <v>995</v>
      </c>
      <c r="H61" s="466"/>
      <c r="I61" s="467"/>
      <c r="J61" s="467"/>
      <c r="K61" s="1694">
        <f t="shared" si="7"/>
        <v>92558</v>
      </c>
      <c r="L61" s="466">
        <v>96954</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69590</v>
      </c>
      <c r="D63" s="466">
        <v>14137</v>
      </c>
      <c r="E63" s="466"/>
      <c r="F63" s="466">
        <v>79957</v>
      </c>
      <c r="G63" s="466"/>
      <c r="H63" s="466"/>
      <c r="I63" s="467"/>
      <c r="J63" s="467"/>
      <c r="K63" s="1694">
        <f t="shared" si="7"/>
        <v>163684</v>
      </c>
      <c r="L63" s="466">
        <v>164594</v>
      </c>
    </row>
    <row r="64" spans="1:14" s="610" customFormat="1" x14ac:dyDescent="0.2">
      <c r="A64" s="1531" t="s">
        <v>103</v>
      </c>
      <c r="B64" s="631">
        <v>2570</v>
      </c>
      <c r="C64" s="481"/>
      <c r="D64" s="481"/>
      <c r="E64" s="481"/>
      <c r="F64" s="481">
        <v>2943</v>
      </c>
      <c r="G64" s="481"/>
      <c r="H64" s="481"/>
      <c r="I64" s="467"/>
      <c r="J64" s="467"/>
      <c r="K64" s="1694">
        <f t="shared" si="7"/>
        <v>2943</v>
      </c>
      <c r="L64" s="481">
        <v>3000</v>
      </c>
    </row>
    <row r="65" spans="1:14" s="343" customFormat="1" ht="12.75" customHeight="1" thickBot="1" x14ac:dyDescent="0.25">
      <c r="A65" s="1690" t="s">
        <v>743</v>
      </c>
      <c r="B65" s="1691" t="s">
        <v>35</v>
      </c>
      <c r="C65" s="1692">
        <f>SUM(C59:C64)</f>
        <v>174759</v>
      </c>
      <c r="D65" s="1692">
        <f t="shared" ref="D65:L65" si="8">SUM(D59:D64)</f>
        <v>19679</v>
      </c>
      <c r="E65" s="1692">
        <f t="shared" si="8"/>
        <v>9859</v>
      </c>
      <c r="F65" s="1692">
        <f t="shared" si="8"/>
        <v>98947</v>
      </c>
      <c r="G65" s="1692">
        <f t="shared" si="8"/>
        <v>995</v>
      </c>
      <c r="H65" s="1692">
        <f t="shared" si="8"/>
        <v>0</v>
      </c>
      <c r="I65" s="1692">
        <f t="shared" si="8"/>
        <v>0</v>
      </c>
      <c r="J65" s="1692">
        <f t="shared" si="8"/>
        <v>0</v>
      </c>
      <c r="K65" s="1692">
        <f t="shared" si="8"/>
        <v>304239</v>
      </c>
      <c r="L65" s="1692">
        <f t="shared" si="8"/>
        <v>309613</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v>4950</v>
      </c>
      <c r="F70" s="466"/>
      <c r="G70" s="466"/>
      <c r="H70" s="466"/>
      <c r="I70" s="467"/>
      <c r="J70" s="467"/>
      <c r="K70" s="1694">
        <f>SUM(C70:J70)</f>
        <v>4950</v>
      </c>
      <c r="L70" s="466">
        <v>5000</v>
      </c>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4950</v>
      </c>
      <c r="F72" s="1692">
        <f t="shared" si="9"/>
        <v>0</v>
      </c>
      <c r="G72" s="1692">
        <f t="shared" si="9"/>
        <v>0</v>
      </c>
      <c r="H72" s="1692">
        <f t="shared" si="9"/>
        <v>0</v>
      </c>
      <c r="I72" s="1692">
        <f t="shared" si="9"/>
        <v>0</v>
      </c>
      <c r="J72" s="1692">
        <f t="shared" si="9"/>
        <v>0</v>
      </c>
      <c r="K72" s="1692">
        <f t="shared" si="9"/>
        <v>4950</v>
      </c>
      <c r="L72" s="1692">
        <f>SUM(L67:L71)</f>
        <v>5000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539420</v>
      </c>
      <c r="D74" s="1699">
        <f t="shared" ref="D74:K74" si="10">SUM(D42,D47,D53,D57,D65,D72,D73)</f>
        <v>48568</v>
      </c>
      <c r="E74" s="1699">
        <f t="shared" si="10"/>
        <v>122271</v>
      </c>
      <c r="F74" s="1699">
        <f t="shared" si="10"/>
        <v>114271</v>
      </c>
      <c r="G74" s="1699">
        <f t="shared" si="10"/>
        <v>10577</v>
      </c>
      <c r="H74" s="1699">
        <f t="shared" si="10"/>
        <v>0</v>
      </c>
      <c r="I74" s="1699">
        <f t="shared" si="10"/>
        <v>0</v>
      </c>
      <c r="J74" s="1699">
        <f t="shared" si="10"/>
        <v>0</v>
      </c>
      <c r="K74" s="1699">
        <f t="shared" si="10"/>
        <v>835107</v>
      </c>
      <c r="L74" s="1699">
        <f>SUM(L42,L47,L53,L57,L65,L72,L73)</f>
        <v>849824</v>
      </c>
    </row>
    <row r="75" spans="1:14" s="259" customFormat="1" ht="15.75" customHeight="1" thickTop="1" thickBot="1" x14ac:dyDescent="0.25">
      <c r="A75" s="1632" t="s">
        <v>49</v>
      </c>
      <c r="B75" s="1633" t="s">
        <v>596</v>
      </c>
      <c r="C75" s="573">
        <v>873</v>
      </c>
      <c r="D75" s="573"/>
      <c r="E75" s="573"/>
      <c r="F75" s="573"/>
      <c r="G75" s="573"/>
      <c r="H75" s="573"/>
      <c r="I75" s="531"/>
      <c r="J75" s="531"/>
      <c r="K75" s="1692">
        <f>SUM(C75:J75)</f>
        <v>873</v>
      </c>
      <c r="L75" s="576">
        <v>1229</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v>50355</v>
      </c>
      <c r="I85" s="477"/>
      <c r="J85" s="477"/>
      <c r="K85" s="1699">
        <f>H85</f>
        <v>50355</v>
      </c>
      <c r="L85" s="530">
        <v>50356</v>
      </c>
    </row>
    <row r="86" spans="1:12" ht="12.75" customHeight="1" thickTop="1" thickBot="1" x14ac:dyDescent="0.25">
      <c r="A86" s="1534" t="s">
        <v>723</v>
      </c>
      <c r="B86" s="638">
        <v>4220</v>
      </c>
      <c r="C86" s="617"/>
      <c r="D86" s="617"/>
      <c r="E86" s="639"/>
      <c r="F86" s="617"/>
      <c r="G86" s="617"/>
      <c r="H86" s="467">
        <v>29886</v>
      </c>
      <c r="I86" s="477"/>
      <c r="J86" s="477"/>
      <c r="K86" s="1699">
        <f t="shared" ref="K86:K98" si="12">H86</f>
        <v>29886</v>
      </c>
      <c r="L86" s="530">
        <v>29887</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v>30650</v>
      </c>
      <c r="I88" s="477"/>
      <c r="J88" s="477"/>
      <c r="K88" s="1699">
        <f t="shared" si="12"/>
        <v>30650</v>
      </c>
      <c r="L88" s="530">
        <v>30651</v>
      </c>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110891</v>
      </c>
      <c r="I92" s="477"/>
      <c r="J92" s="477"/>
      <c r="K92" s="1699">
        <f t="shared" si="12"/>
        <v>110891</v>
      </c>
      <c r="L92" s="1692">
        <f>SUM(L85:L91)</f>
        <v>110894</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110891</v>
      </c>
      <c r="I102" s="477"/>
      <c r="J102" s="477"/>
      <c r="K102" s="1699">
        <f>SUM(K84,K92,K100,K101)</f>
        <v>110891</v>
      </c>
      <c r="L102" s="1699">
        <f>SUM(L84,L92,L100,L101)</f>
        <v>110894</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2396493</v>
      </c>
      <c r="D114" s="1692">
        <f t="shared" ref="D114:K114" si="13">SUM(D33,D74,D75,D102,D112,D113)</f>
        <v>183745</v>
      </c>
      <c r="E114" s="1692">
        <f t="shared" si="13"/>
        <v>223795</v>
      </c>
      <c r="F114" s="1692">
        <f t="shared" si="13"/>
        <v>200630</v>
      </c>
      <c r="G114" s="1692">
        <f t="shared" si="13"/>
        <v>10577</v>
      </c>
      <c r="H114" s="1692">
        <f>SUM(H33,H74,H75,H102,H112,H113)</f>
        <v>117875</v>
      </c>
      <c r="I114" s="1692">
        <f t="shared" si="13"/>
        <v>0</v>
      </c>
      <c r="J114" s="1692">
        <f t="shared" si="13"/>
        <v>0</v>
      </c>
      <c r="K114" s="1692">
        <f t="shared" si="13"/>
        <v>3133115</v>
      </c>
      <c r="L114" s="1692">
        <f>SUM(L33,L74,L75,L102,L112,L113)</f>
        <v>3164535</v>
      </c>
    </row>
    <row r="115" spans="1:14" ht="13.5" thickTop="1" x14ac:dyDescent="0.2">
      <c r="A115" s="2199" t="s">
        <v>1053</v>
      </c>
      <c r="B115" s="2200"/>
      <c r="C115" s="619"/>
      <c r="D115" s="619"/>
      <c r="E115" s="619"/>
      <c r="F115" s="619"/>
      <c r="G115" s="619"/>
      <c r="H115" s="619"/>
      <c r="I115" s="619"/>
      <c r="J115" s="619"/>
      <c r="K115" s="1706">
        <f>'Revenues 9-14'!C275-'Expenditures 15-22'!K114</f>
        <v>578660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285829</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93534</v>
      </c>
      <c r="D124" s="466">
        <v>11093</v>
      </c>
      <c r="E124" s="466">
        <v>46695</v>
      </c>
      <c r="F124" s="466">
        <v>119647</v>
      </c>
      <c r="G124" s="466">
        <v>18512</v>
      </c>
      <c r="H124" s="466"/>
      <c r="I124" s="467"/>
      <c r="J124" s="467"/>
      <c r="K124" s="1692">
        <f>SUM(C124:J124)</f>
        <v>289481</v>
      </c>
      <c r="L124" s="466">
        <v>12892</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93534</v>
      </c>
      <c r="D127" s="1692">
        <f t="shared" ref="D127:L127" si="14">SUM(D122:D126)</f>
        <v>11093</v>
      </c>
      <c r="E127" s="1692">
        <f t="shared" si="14"/>
        <v>46695</v>
      </c>
      <c r="F127" s="1692">
        <f t="shared" si="14"/>
        <v>119647</v>
      </c>
      <c r="G127" s="1692">
        <f t="shared" si="14"/>
        <v>18512</v>
      </c>
      <c r="H127" s="1692">
        <f t="shared" si="14"/>
        <v>0</v>
      </c>
      <c r="I127" s="1692">
        <f t="shared" si="14"/>
        <v>0</v>
      </c>
      <c r="J127" s="1692">
        <f t="shared" si="14"/>
        <v>0</v>
      </c>
      <c r="K127" s="1692">
        <f t="shared" si="14"/>
        <v>289481</v>
      </c>
      <c r="L127" s="1692">
        <f t="shared" si="14"/>
        <v>12892</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93534</v>
      </c>
      <c r="D129" s="1699">
        <f t="shared" ref="D129:L129" si="15">SUM(D120,D127,D128)</f>
        <v>11093</v>
      </c>
      <c r="E129" s="1699">
        <f t="shared" si="15"/>
        <v>46695</v>
      </c>
      <c r="F129" s="1699">
        <f t="shared" si="15"/>
        <v>119647</v>
      </c>
      <c r="G129" s="1699">
        <f t="shared" si="15"/>
        <v>18512</v>
      </c>
      <c r="H129" s="1699">
        <f t="shared" si="15"/>
        <v>0</v>
      </c>
      <c r="I129" s="1699">
        <f t="shared" si="15"/>
        <v>0</v>
      </c>
      <c r="J129" s="1699">
        <f t="shared" si="15"/>
        <v>0</v>
      </c>
      <c r="K129" s="1699">
        <f t="shared" si="15"/>
        <v>289481</v>
      </c>
      <c r="L129" s="1699">
        <f t="shared" si="15"/>
        <v>298721</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1955</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71"/>
      <c r="C151" s="1692">
        <f>SUM(C129,C130,C139,C149,C150)</f>
        <v>93534</v>
      </c>
      <c r="D151" s="1692">
        <f t="shared" ref="D151:K151" si="16">SUM(D129,D130,D139,D149,D150)</f>
        <v>11093</v>
      </c>
      <c r="E151" s="1692">
        <f t="shared" si="16"/>
        <v>46695</v>
      </c>
      <c r="F151" s="1692">
        <f t="shared" si="16"/>
        <v>119647</v>
      </c>
      <c r="G151" s="1692">
        <f t="shared" si="16"/>
        <v>18512</v>
      </c>
      <c r="H151" s="1692">
        <f t="shared" si="16"/>
        <v>0</v>
      </c>
      <c r="I151" s="1692">
        <f t="shared" si="16"/>
        <v>0</v>
      </c>
      <c r="J151" s="1692">
        <f t="shared" si="16"/>
        <v>0</v>
      </c>
      <c r="K151" s="1692">
        <f t="shared" si="16"/>
        <v>289481</v>
      </c>
      <c r="L151" s="1692">
        <f>SUM(L129,L130,L139,L149,L150)</f>
        <v>298721</v>
      </c>
    </row>
    <row r="152" spans="1:14" ht="12.75" customHeight="1" thickTop="1" x14ac:dyDescent="0.2">
      <c r="A152" s="2192" t="s">
        <v>1240</v>
      </c>
      <c r="B152" s="2193"/>
      <c r="C152" s="619"/>
      <c r="D152" s="619"/>
      <c r="E152" s="619"/>
      <c r="F152" s="619"/>
      <c r="G152" s="619"/>
      <c r="H152" s="619"/>
      <c r="I152" s="619"/>
      <c r="J152" s="617"/>
      <c r="K152" s="1706">
        <f>'Revenues 9-14'!D275-'Expenditures 15-22'!K151</f>
        <v>131335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1956</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1955</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1957</v>
      </c>
      <c r="C158" s="617"/>
      <c r="D158" s="617"/>
      <c r="E158" s="617"/>
      <c r="F158" s="617"/>
      <c r="G158" s="617"/>
      <c r="H158" s="467"/>
      <c r="I158" s="617"/>
      <c r="J158" s="617"/>
      <c r="K158" s="1693">
        <f>H158</f>
        <v>0</v>
      </c>
      <c r="L158" s="467"/>
      <c r="M158" s="620"/>
      <c r="N158" s="620"/>
    </row>
    <row r="159" spans="1:14" s="621" customFormat="1" ht="12" x14ac:dyDescent="0.2">
      <c r="A159" s="1849" t="s">
        <v>1958</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1959</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129645</v>
      </c>
      <c r="I169" s="617"/>
      <c r="J169" s="617"/>
      <c r="K169" s="1693">
        <f>SUM(C169:H169)</f>
        <v>129645</v>
      </c>
      <c r="L169" s="657">
        <v>129646</v>
      </c>
    </row>
    <row r="170" spans="1:14" ht="33.75" customHeight="1" x14ac:dyDescent="0.2">
      <c r="A170" s="670" t="s">
        <v>1768</v>
      </c>
      <c r="B170" s="672" t="s">
        <v>31</v>
      </c>
      <c r="C170" s="617"/>
      <c r="D170" s="617"/>
      <c r="E170" s="617"/>
      <c r="F170" s="617"/>
      <c r="G170" s="617"/>
      <c r="H170" s="569">
        <v>170000</v>
      </c>
      <c r="I170" s="617"/>
      <c r="J170" s="617"/>
      <c r="K170" s="1693">
        <f>SUM(C170:J170)</f>
        <v>170000</v>
      </c>
      <c r="L170" s="569">
        <v>170000</v>
      </c>
    </row>
    <row r="171" spans="1:14" ht="15.75" customHeight="1" x14ac:dyDescent="0.2">
      <c r="A171" s="622" t="s">
        <v>790</v>
      </c>
      <c r="B171" s="673" t="s">
        <v>86</v>
      </c>
      <c r="C171" s="617"/>
      <c r="D171" s="617"/>
      <c r="E171" s="466"/>
      <c r="F171" s="617"/>
      <c r="G171" s="617"/>
      <c r="H171" s="569">
        <v>500</v>
      </c>
      <c r="I171" s="477"/>
      <c r="J171" s="617"/>
      <c r="K171" s="1693">
        <f>SUM(C171:J171)</f>
        <v>500</v>
      </c>
      <c r="L171" s="569">
        <v>500</v>
      </c>
    </row>
    <row r="172" spans="1:14" ht="12.75" customHeight="1" thickBot="1" x14ac:dyDescent="0.25">
      <c r="A172" s="1690" t="s">
        <v>659</v>
      </c>
      <c r="B172" s="1691" t="s">
        <v>513</v>
      </c>
      <c r="C172" s="617"/>
      <c r="D172" s="617"/>
      <c r="E172" s="1699">
        <f>SUM(E168,E169,E170,E171)</f>
        <v>0</v>
      </c>
      <c r="F172" s="617"/>
      <c r="G172" s="617"/>
      <c r="H172" s="1699">
        <f>SUM(H168,H169,H170,H171)</f>
        <v>300145</v>
      </c>
      <c r="I172" s="639"/>
      <c r="J172" s="617"/>
      <c r="K172" s="1699">
        <f>SUM(K168,K169,K170,K171)</f>
        <v>300145</v>
      </c>
      <c r="L172" s="1699">
        <f>SUM(L168,L169,L170,L171)</f>
        <v>300146</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300145</v>
      </c>
      <c r="I174" s="639"/>
      <c r="J174" s="617"/>
      <c r="K174" s="1699">
        <f>SUM(K160,K172,K173)</f>
        <v>300145</v>
      </c>
      <c r="L174" s="1699">
        <f>SUM(L160,L172,L173)</f>
        <v>300146</v>
      </c>
    </row>
    <row r="175" spans="1:14" ht="13.5" thickTop="1" x14ac:dyDescent="0.2">
      <c r="A175" s="2199" t="s">
        <v>1053</v>
      </c>
      <c r="B175" s="2200"/>
      <c r="C175" s="617"/>
      <c r="D175" s="617"/>
      <c r="E175" s="617"/>
      <c r="F175" s="617"/>
      <c r="G175" s="617"/>
      <c r="H175" s="619"/>
      <c r="I175" s="617"/>
      <c r="J175" s="617"/>
      <c r="K175" s="1706">
        <f>'Revenues 9-14'!E275-'Expenditures 15-22'!K174</f>
        <v>61480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116089</v>
      </c>
      <c r="D182" s="466">
        <v>16561</v>
      </c>
      <c r="E182" s="466">
        <v>11002</v>
      </c>
      <c r="F182" s="466">
        <v>30523</v>
      </c>
      <c r="G182" s="466">
        <v>89489</v>
      </c>
      <c r="H182" s="466"/>
      <c r="I182" s="467"/>
      <c r="J182" s="467"/>
      <c r="K182" s="1693">
        <f>SUM(C182:J182)</f>
        <v>263664</v>
      </c>
      <c r="L182" s="466">
        <v>272402</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116089</v>
      </c>
      <c r="D184" s="1699">
        <f t="shared" ref="D184:J184" si="17">SUM(D180,D182,D183)</f>
        <v>16561</v>
      </c>
      <c r="E184" s="1699">
        <f t="shared" si="17"/>
        <v>11002</v>
      </c>
      <c r="F184" s="1699">
        <f t="shared" si="17"/>
        <v>30523</v>
      </c>
      <c r="G184" s="1699">
        <f t="shared" si="17"/>
        <v>89489</v>
      </c>
      <c r="H184" s="1699">
        <f t="shared" si="17"/>
        <v>0</v>
      </c>
      <c r="I184" s="1699">
        <f t="shared" si="17"/>
        <v>0</v>
      </c>
      <c r="J184" s="1699">
        <f t="shared" si="17"/>
        <v>0</v>
      </c>
      <c r="K184" s="1699">
        <f>SUM(K180,K182,K183)</f>
        <v>263664</v>
      </c>
      <c r="L184" s="1699">
        <f>SUM(L180, L182:L183)</f>
        <v>272402</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1769</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116089</v>
      </c>
      <c r="D210" s="1692">
        <f>SUM(D184,D185)</f>
        <v>16561</v>
      </c>
      <c r="E210" s="1692">
        <f>SUM(E184,E185,E196)</f>
        <v>11002</v>
      </c>
      <c r="F210" s="1692">
        <f>SUM(F184,F185)</f>
        <v>30523</v>
      </c>
      <c r="G210" s="1692">
        <f>SUM(G184,G185)</f>
        <v>89489</v>
      </c>
      <c r="H210" s="1692">
        <f>SUM(H184,H185,H196,H208,H209)</f>
        <v>0</v>
      </c>
      <c r="I210" s="1692">
        <f>SUM(I184,I185)</f>
        <v>0</v>
      </c>
      <c r="J210" s="1692">
        <f>SUM(J184,J185)</f>
        <v>0</v>
      </c>
      <c r="K210" s="1693">
        <f>SUM(K184,K185,K196,K208,K209)</f>
        <v>263664</v>
      </c>
      <c r="L210" s="1692">
        <f>SUM(L184,L185,L196,L208,L209)</f>
        <v>272402</v>
      </c>
    </row>
    <row r="211" spans="1:14" ht="13.5" thickTop="1" x14ac:dyDescent="0.2">
      <c r="A211" s="2199" t="s">
        <v>1053</v>
      </c>
      <c r="B211" s="2200"/>
      <c r="C211" s="619"/>
      <c r="D211" s="619"/>
      <c r="E211" s="619"/>
      <c r="F211" s="619"/>
      <c r="G211" s="619"/>
      <c r="H211" s="619"/>
      <c r="I211" s="617"/>
      <c r="J211" s="617"/>
      <c r="K211" s="1706">
        <f>'Revenues 9-14'!F275-'Expenditures 15-22'!K210</f>
        <v>111387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26178</v>
      </c>
      <c r="E215" s="617"/>
      <c r="F215" s="617"/>
      <c r="G215" s="617"/>
      <c r="H215" s="617"/>
      <c r="I215" s="617"/>
      <c r="J215" s="617"/>
      <c r="K215" s="1693">
        <f>D215</f>
        <v>26178</v>
      </c>
      <c r="L215" s="466">
        <v>35150</v>
      </c>
    </row>
    <row r="216" spans="1:14" x14ac:dyDescent="0.2">
      <c r="A216" s="1526" t="s">
        <v>165</v>
      </c>
      <c r="B216" s="615" t="s">
        <v>1024</v>
      </c>
      <c r="C216" s="617"/>
      <c r="D216" s="467">
        <v>11684</v>
      </c>
      <c r="E216" s="617"/>
      <c r="F216" s="617"/>
      <c r="G216" s="617"/>
      <c r="H216" s="617"/>
      <c r="I216" s="617"/>
      <c r="J216" s="617"/>
      <c r="K216" s="1693">
        <f t="shared" ref="K216:K228" si="19">D216</f>
        <v>11684</v>
      </c>
      <c r="L216" s="466">
        <v>3640</v>
      </c>
    </row>
    <row r="217" spans="1:14" x14ac:dyDescent="0.2">
      <c r="A217" s="1526" t="s">
        <v>166</v>
      </c>
      <c r="B217" s="615">
        <v>1200</v>
      </c>
      <c r="C217" s="617"/>
      <c r="D217" s="466">
        <v>8403</v>
      </c>
      <c r="E217" s="617"/>
      <c r="F217" s="617"/>
      <c r="G217" s="617"/>
      <c r="H217" s="617"/>
      <c r="I217" s="617"/>
      <c r="J217" s="617"/>
      <c r="K217" s="1693">
        <f t="shared" si="19"/>
        <v>8403</v>
      </c>
      <c r="L217" s="466">
        <v>8400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2655</v>
      </c>
      <c r="E223" s="617"/>
      <c r="F223" s="617"/>
      <c r="G223" s="617"/>
      <c r="H223" s="617"/>
      <c r="I223" s="617"/>
      <c r="J223" s="617"/>
      <c r="K223" s="1693">
        <f t="shared" si="19"/>
        <v>2655</v>
      </c>
      <c r="L223" s="466">
        <v>2210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48920</v>
      </c>
      <c r="E229" s="617"/>
      <c r="F229" s="617"/>
      <c r="G229" s="617"/>
      <c r="H229" s="617"/>
      <c r="I229" s="617"/>
      <c r="J229" s="617"/>
      <c r="K229" s="1692">
        <f>SUM(K215:K228)</f>
        <v>48920</v>
      </c>
      <c r="L229" s="1692">
        <f>SUM(L215:L228)</f>
        <v>49400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4737</v>
      </c>
      <c r="E234" s="617"/>
      <c r="F234" s="617"/>
      <c r="G234" s="617"/>
      <c r="H234" s="617"/>
      <c r="I234" s="617"/>
      <c r="J234" s="617"/>
      <c r="K234" s="1693">
        <f t="shared" si="20"/>
        <v>4737</v>
      </c>
      <c r="L234" s="466">
        <v>4745</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4737</v>
      </c>
      <c r="E238" s="617"/>
      <c r="F238" s="617"/>
      <c r="G238" s="617"/>
      <c r="H238" s="617"/>
      <c r="I238" s="617"/>
      <c r="J238" s="617"/>
      <c r="K238" s="1692">
        <f>SUM(K232:K237)</f>
        <v>4737</v>
      </c>
      <c r="L238" s="1692">
        <f>SUM(L232:L237)</f>
        <v>4745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589</v>
      </c>
      <c r="E245" s="617"/>
      <c r="F245" s="617"/>
      <c r="G245" s="617"/>
      <c r="H245" s="617"/>
      <c r="I245" s="617"/>
      <c r="J245" s="617"/>
      <c r="K245" s="1694">
        <f>D245</f>
        <v>589</v>
      </c>
      <c r="L245" s="481">
        <v>607</v>
      </c>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1907</v>
      </c>
      <c r="B249" s="684" t="s">
        <v>300</v>
      </c>
      <c r="C249" s="617"/>
      <c r="D249" s="474"/>
      <c r="E249" s="617"/>
      <c r="F249" s="617"/>
      <c r="G249" s="617"/>
      <c r="H249" s="617"/>
      <c r="I249" s="617"/>
      <c r="J249" s="617"/>
      <c r="K249" s="1694">
        <f t="shared" si="21"/>
        <v>0</v>
      </c>
      <c r="L249" s="466"/>
    </row>
    <row r="250" spans="1:12" x14ac:dyDescent="0.2">
      <c r="A250" s="1527" t="s">
        <v>1908</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589</v>
      </c>
      <c r="E257" s="617"/>
      <c r="F257" s="617"/>
      <c r="G257" s="617"/>
      <c r="H257" s="617"/>
      <c r="I257" s="617"/>
      <c r="J257" s="617"/>
      <c r="K257" s="1692">
        <f>SUM(K245:K256)</f>
        <v>589</v>
      </c>
      <c r="L257" s="1692">
        <f>SUM(L245:L256)</f>
        <v>607</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8331</v>
      </c>
      <c r="E259" s="617"/>
      <c r="F259" s="617"/>
      <c r="G259" s="617"/>
      <c r="H259" s="617"/>
      <c r="I259" s="617"/>
      <c r="J259" s="617"/>
      <c r="K259" s="1694">
        <f>D259</f>
        <v>8331</v>
      </c>
      <c r="L259" s="481">
        <v>8337</v>
      </c>
    </row>
    <row r="260" spans="1:14" s="598" customFormat="1" x14ac:dyDescent="0.2">
      <c r="A260" s="1544" t="s">
        <v>1906</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8331</v>
      </c>
      <c r="E261" s="617"/>
      <c r="F261" s="617"/>
      <c r="G261" s="617"/>
      <c r="H261" s="617"/>
      <c r="I261" s="617"/>
      <c r="J261" s="617"/>
      <c r="K261" s="1692">
        <f>SUM(K259:K260)</f>
        <v>8331</v>
      </c>
      <c r="L261" s="1692">
        <f>SUM(L259:L260)</f>
        <v>8337</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6486</v>
      </c>
      <c r="E264" s="617"/>
      <c r="F264" s="617"/>
      <c r="G264" s="617"/>
      <c r="H264" s="617"/>
      <c r="I264" s="617"/>
      <c r="J264" s="617"/>
      <c r="K264" s="1694">
        <f t="shared" ref="K264:K269" si="22">D264</f>
        <v>6486</v>
      </c>
      <c r="L264" s="466">
        <v>6488</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26320</v>
      </c>
      <c r="E266" s="617"/>
      <c r="F266" s="617"/>
      <c r="G266" s="617"/>
      <c r="H266" s="617"/>
      <c r="I266" s="617"/>
      <c r="J266" s="617"/>
      <c r="K266" s="1694">
        <f t="shared" si="22"/>
        <v>26320</v>
      </c>
      <c r="L266" s="466">
        <v>26476</v>
      </c>
    </row>
    <row r="267" spans="1:14" x14ac:dyDescent="0.2">
      <c r="A267" s="1526" t="s">
        <v>1010</v>
      </c>
      <c r="B267" s="615">
        <v>2550</v>
      </c>
      <c r="C267" s="617"/>
      <c r="D267" s="466">
        <v>17833</v>
      </c>
      <c r="E267" s="617"/>
      <c r="F267" s="617"/>
      <c r="G267" s="617"/>
      <c r="H267" s="617"/>
      <c r="I267" s="617"/>
      <c r="J267" s="617"/>
      <c r="K267" s="1694">
        <f t="shared" si="22"/>
        <v>17833</v>
      </c>
      <c r="L267" s="466">
        <v>18395</v>
      </c>
    </row>
    <row r="268" spans="1:14" x14ac:dyDescent="0.2">
      <c r="A268" s="1526" t="s">
        <v>102</v>
      </c>
      <c r="B268" s="615">
        <v>2560</v>
      </c>
      <c r="C268" s="617"/>
      <c r="D268" s="466">
        <v>9869</v>
      </c>
      <c r="E268" s="617"/>
      <c r="F268" s="617"/>
      <c r="G268" s="617"/>
      <c r="H268" s="617"/>
      <c r="I268" s="617"/>
      <c r="J268" s="617"/>
      <c r="K268" s="1694">
        <f t="shared" si="22"/>
        <v>9869</v>
      </c>
      <c r="L268" s="466">
        <v>9990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60508</v>
      </c>
      <c r="E270" s="617"/>
      <c r="F270" s="617"/>
      <c r="G270" s="617"/>
      <c r="H270" s="617"/>
      <c r="I270" s="617"/>
      <c r="J270" s="617"/>
      <c r="K270" s="1692">
        <f>SUM(K263:K269)</f>
        <v>60508</v>
      </c>
      <c r="L270" s="1692">
        <f>SUM(L263:L269)</f>
        <v>61349</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74165</v>
      </c>
      <c r="E279" s="617"/>
      <c r="F279" s="617"/>
      <c r="G279" s="617"/>
      <c r="H279" s="617"/>
      <c r="I279" s="617"/>
      <c r="J279" s="617"/>
      <c r="K279" s="1699">
        <f>SUM(K238,K243,K257,K261,K270,K277,K278)</f>
        <v>74165</v>
      </c>
      <c r="L279" s="1699">
        <f>SUM(L238,L243,L257,L261,L270,L277,L278)</f>
        <v>75038</v>
      </c>
    </row>
    <row r="280" spans="1:12" ht="15.75" customHeight="1" thickTop="1" thickBot="1" x14ac:dyDescent="0.25">
      <c r="A280" s="1646" t="s">
        <v>930</v>
      </c>
      <c r="B280" s="1635">
        <v>3000</v>
      </c>
      <c r="C280" s="617"/>
      <c r="D280" s="576">
        <v>13</v>
      </c>
      <c r="E280" s="617"/>
      <c r="F280" s="617"/>
      <c r="G280" s="617"/>
      <c r="H280" s="617"/>
      <c r="I280" s="617"/>
      <c r="J280" s="617"/>
      <c r="K280" s="1701">
        <f>D280</f>
        <v>13</v>
      </c>
      <c r="L280" s="576">
        <v>20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1955</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123098</v>
      </c>
      <c r="E295" s="617"/>
      <c r="F295" s="617"/>
      <c r="G295" s="617"/>
      <c r="H295" s="1692">
        <f>H293</f>
        <v>0</v>
      </c>
      <c r="I295" s="617"/>
      <c r="J295" s="617"/>
      <c r="K295" s="1692">
        <f>SUM(K229,K279,K280,K285,K293,K294)</f>
        <v>123098</v>
      </c>
      <c r="L295" s="1692">
        <f>SUM(L229,L279,L280,L285,L293,L294)</f>
        <v>124458</v>
      </c>
    </row>
    <row r="296" spans="1:14" ht="13.5" thickTop="1" x14ac:dyDescent="0.2">
      <c r="A296" s="2199" t="s">
        <v>1053</v>
      </c>
      <c r="B296" s="2200"/>
      <c r="C296" s="617"/>
      <c r="D296" s="619"/>
      <c r="E296" s="617"/>
      <c r="F296" s="617"/>
      <c r="G296" s="617"/>
      <c r="H296" s="688"/>
      <c r="I296" s="617"/>
      <c r="J296" s="617"/>
      <c r="K296" s="1706">
        <f>'Revenues 9-14'!G275-'Expenditures 15-22'!K295</f>
        <v>37377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135050</v>
      </c>
      <c r="F301" s="466"/>
      <c r="G301" s="466">
        <v>79975</v>
      </c>
      <c r="H301" s="466"/>
      <c r="I301" s="467"/>
      <c r="J301" s="467"/>
      <c r="K301" s="1693">
        <f>SUM(C301:J301)</f>
        <v>215025</v>
      </c>
      <c r="L301" s="467">
        <v>215006</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135050</v>
      </c>
      <c r="F303" s="1699">
        <f t="shared" si="23"/>
        <v>0</v>
      </c>
      <c r="G303" s="1699">
        <f t="shared" si="23"/>
        <v>79975</v>
      </c>
      <c r="H303" s="1699">
        <f t="shared" si="23"/>
        <v>0</v>
      </c>
      <c r="I303" s="1699">
        <f t="shared" si="23"/>
        <v>0</v>
      </c>
      <c r="J303" s="1699">
        <f t="shared" si="23"/>
        <v>0</v>
      </c>
      <c r="K303" s="1699">
        <f t="shared" si="23"/>
        <v>215025</v>
      </c>
      <c r="L303" s="1699">
        <f t="shared" si="23"/>
        <v>215006</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1960</v>
      </c>
      <c r="B306" s="691" t="s">
        <v>1955</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135050</v>
      </c>
      <c r="F312" s="1692">
        <f>SUM(F303)</f>
        <v>0</v>
      </c>
      <c r="G312" s="1692">
        <f>SUM(G303)</f>
        <v>79975</v>
      </c>
      <c r="H312" s="1692">
        <f>SUM(H303,H310)</f>
        <v>0</v>
      </c>
      <c r="I312" s="1692">
        <f>SUM(I303)</f>
        <v>0</v>
      </c>
      <c r="J312" s="1692">
        <f>SUM(J303)</f>
        <v>0</v>
      </c>
      <c r="K312" s="1692">
        <f>SUM(K303,K310,K311)</f>
        <v>215025</v>
      </c>
      <c r="L312" s="1692">
        <f>SUM(L303,L310,L311)</f>
        <v>215006</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8047</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1907</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v>29455</v>
      </c>
      <c r="F321" s="467"/>
      <c r="G321" s="467"/>
      <c r="H321" s="467"/>
      <c r="I321" s="467"/>
      <c r="J321" s="467"/>
      <c r="K321" s="1693">
        <f t="shared" si="24"/>
        <v>29455</v>
      </c>
      <c r="L321" s="467">
        <v>29455</v>
      </c>
      <c r="M321" s="666"/>
      <c r="N321" s="666"/>
    </row>
    <row r="322" spans="1:14" s="675" customFormat="1" x14ac:dyDescent="0.2">
      <c r="A322" s="1541" t="s">
        <v>256</v>
      </c>
      <c r="B322" s="698" t="s">
        <v>302</v>
      </c>
      <c r="C322" s="467"/>
      <c r="D322" s="467"/>
      <c r="E322" s="467">
        <v>18636</v>
      </c>
      <c r="F322" s="467"/>
      <c r="G322" s="467"/>
      <c r="H322" s="467"/>
      <c r="I322" s="467"/>
      <c r="J322" s="467"/>
      <c r="K322" s="1693">
        <f t="shared" si="24"/>
        <v>18636</v>
      </c>
      <c r="L322" s="467">
        <v>18636</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v>310</v>
      </c>
      <c r="F325" s="467"/>
      <c r="G325" s="467"/>
      <c r="H325" s="467"/>
      <c r="I325" s="467"/>
      <c r="J325" s="467"/>
      <c r="K325" s="1693">
        <f t="shared" si="24"/>
        <v>310</v>
      </c>
      <c r="L325" s="467">
        <v>310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5717</v>
      </c>
      <c r="F327" s="467"/>
      <c r="G327" s="467"/>
      <c r="H327" s="467"/>
      <c r="I327" s="467"/>
      <c r="J327" s="467"/>
      <c r="K327" s="1693">
        <f t="shared" si="24"/>
        <v>5717</v>
      </c>
      <c r="L327" s="467">
        <v>6000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54118</v>
      </c>
      <c r="F330" s="1692">
        <f t="shared" si="25"/>
        <v>0</v>
      </c>
      <c r="G330" s="1692">
        <f t="shared" si="25"/>
        <v>0</v>
      </c>
      <c r="H330" s="1692">
        <f t="shared" si="25"/>
        <v>0</v>
      </c>
      <c r="I330" s="1692">
        <f t="shared" si="25"/>
        <v>0</v>
      </c>
      <c r="J330" s="1692">
        <f t="shared" si="25"/>
        <v>0</v>
      </c>
      <c r="K330" s="1692">
        <f>SUM(K319:K329)</f>
        <v>54118</v>
      </c>
      <c r="L330" s="1692">
        <f>SUM(L319:L329)</f>
        <v>54401</v>
      </c>
      <c r="M330" s="666"/>
      <c r="N330" s="666"/>
    </row>
    <row r="331" spans="1:14" s="675" customFormat="1" ht="12.75" customHeight="1" thickTop="1" x14ac:dyDescent="0.2">
      <c r="A331" s="1854" t="s">
        <v>1961</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1955</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1957</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1962</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54118</v>
      </c>
      <c r="F342" s="1692">
        <f>SUM(F330)</f>
        <v>0</v>
      </c>
      <c r="G342" s="1692">
        <f>SUM(G330)</f>
        <v>0</v>
      </c>
      <c r="H342" s="1692">
        <f>SUM(H330,H334,H340)</f>
        <v>0</v>
      </c>
      <c r="I342" s="1692">
        <f>SUM(I330)</f>
        <v>0</v>
      </c>
      <c r="J342" s="1692">
        <f>SUM(J330)</f>
        <v>0</v>
      </c>
      <c r="K342" s="1692">
        <f>SUM(K330,K334,K340)</f>
        <v>54118</v>
      </c>
      <c r="L342" s="1699">
        <f>SUM(L330,L340,L341)</f>
        <v>54401</v>
      </c>
    </row>
    <row r="343" spans="1:14" ht="12.75" customHeight="1" thickTop="1" x14ac:dyDescent="0.2">
      <c r="A343" s="2185" t="s">
        <v>1053</v>
      </c>
      <c r="B343" s="2186"/>
      <c r="C343" s="617"/>
      <c r="D343" s="617"/>
      <c r="E343" s="617"/>
      <c r="F343" s="617"/>
      <c r="G343" s="617"/>
      <c r="H343" s="617"/>
      <c r="I343" s="617"/>
      <c r="J343" s="617"/>
      <c r="K343" s="1706">
        <f>'Revenues 9-14'!J275-'Expenditures 15-22'!K342</f>
        <v>15532</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v>8000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8000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8000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1963</v>
      </c>
      <c r="B354" s="684" t="s">
        <v>1955</v>
      </c>
      <c r="C354" s="617"/>
      <c r="D354" s="617"/>
      <c r="E354" s="617"/>
      <c r="F354" s="617"/>
      <c r="G354" s="617"/>
      <c r="H354" s="474"/>
      <c r="I354" s="702"/>
      <c r="J354" s="617"/>
      <c r="K354" s="1721">
        <f>H354</f>
        <v>0</v>
      </c>
      <c r="L354" s="471"/>
    </row>
    <row r="355" spans="1:14" ht="12.75" customHeight="1" x14ac:dyDescent="0.2">
      <c r="A355" s="1535" t="s">
        <v>1964</v>
      </c>
      <c r="B355" s="691" t="s">
        <v>1957</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8000</v>
      </c>
    </row>
    <row r="368" spans="1:14" ht="13.5" thickTop="1" x14ac:dyDescent="0.2">
      <c r="A368" s="2199" t="s">
        <v>1053</v>
      </c>
      <c r="B368" s="2200"/>
      <c r="C368" s="655"/>
      <c r="D368" s="655"/>
      <c r="E368" s="627"/>
      <c r="F368" s="627"/>
      <c r="G368" s="627"/>
      <c r="H368" s="627"/>
      <c r="I368" s="627"/>
      <c r="J368" s="624"/>
      <c r="K368" s="1693">
        <f>'Revenues 9-14'!K275-'Expenditures 15-22'!K367</f>
        <v>29083</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F09C570-DA39-47B8-B461-8F8F8F151F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purl.org/dc/dcmitype/"/>
    <ds:schemaRef ds:uri="6ce3111e-7420-4802-b50a-75d4e9a0b980"/>
    <ds:schemaRef ds:uri="http://www.w3.org/XML/1998/namespace"/>
    <ds:schemaRef ds:uri="http://schemas.microsoft.com/office/2006/metadata/properties"/>
    <ds:schemaRef ds:uri="d21dc803-237d-4c68-8692-8d731fd29118"/>
    <ds:schemaRef ds:uri="http://schemas.microsoft.com/sharepoint/v3"/>
    <ds:schemaRef ds:uri="http://schemas.openxmlformats.org/package/2006/metadata/core-properties"/>
    <ds:schemaRef ds:uri="http://schemas.microsoft.com/office/2006/documentManagement/types"/>
    <ds:schemaRef ds:uri="http://schemas.microsoft.com/office/infopath/2007/PartnerControls"/>
    <ds:schemaRef ds:uri="4d435f69-8686-490b-bd6d-b153bf22ab50"/>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2018-11-08T16:09:06Z</cp:lastPrinted>
  <dcterms:created xsi:type="dcterms:W3CDTF">2003-10-29T19:06:34Z</dcterms:created>
  <dcterms:modified xsi:type="dcterms:W3CDTF">2018-11-28T15:05:25Z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