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E7" i="7"/>
  <c r="E13" i="7"/>
  <c r="E5" i="7"/>
  <c r="E13" i="11" l="1"/>
  <c r="D13" i="11"/>
  <c r="E16" i="7" l="1"/>
  <c r="E11" i="7"/>
  <c r="E14" i="7"/>
  <c r="E12" i="7"/>
  <c r="E10" i="7"/>
  <c r="E8" i="7"/>
  <c r="E6"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D1132" i="106"/>
  <c r="K68" i="29"/>
  <c r="K69" i="29"/>
  <c r="B1136" i="106" s="1"/>
  <c r="D1136" i="106" s="1"/>
  <c r="K70" i="29"/>
  <c r="B1137" i="106" s="1"/>
  <c r="D1137" i="106" s="1"/>
  <c r="D1138" i="106"/>
  <c r="K71" i="29"/>
  <c r="B1139" i="106" s="1"/>
  <c r="D1139" i="106" s="1"/>
  <c r="D1140" i="106"/>
  <c r="K73" i="29"/>
  <c r="K78" i="29"/>
  <c r="K79" i="29"/>
  <c r="B2974" i="106" s="1"/>
  <c r="D2974" i="106" s="1"/>
  <c r="K80" i="29"/>
  <c r="K81" i="29"/>
  <c r="B2976" i="106" s="1"/>
  <c r="D2976" i="106" s="1"/>
  <c r="K82" i="29"/>
  <c r="B2977" i="106" s="1"/>
  <c r="D2977" i="106" s="1"/>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s="1"/>
  <c r="B6732" i="106"/>
  <c r="D6732" i="106" s="1"/>
  <c r="B6733" i="106"/>
  <c r="D6733" i="106" s="1"/>
  <c r="B6734" i="106"/>
  <c r="D6734" i="106"/>
  <c r="B6735" i="106"/>
  <c r="D6735" i="106" s="1"/>
  <c r="B6736" i="106"/>
  <c r="D6736" i="106"/>
  <c r="B6737" i="106"/>
  <c r="D6737" i="106" s="1"/>
  <c r="B6738" i="106"/>
  <c r="D6738" i="106" s="1"/>
  <c r="B6739" i="106"/>
  <c r="D6739" i="106" s="1"/>
  <c r="B6740" i="106"/>
  <c r="D6740" i="106" s="1"/>
  <c r="B6741" i="106"/>
  <c r="D6741" i="106" s="1"/>
  <c r="B6742" i="106"/>
  <c r="D6742" i="106"/>
  <c r="B6743" i="106"/>
  <c r="D6743" i="106" s="1"/>
  <c r="B6744" i="106"/>
  <c r="D6744" i="106"/>
  <c r="B6745" i="106"/>
  <c r="D6745" i="106" s="1"/>
  <c r="B6746" i="106"/>
  <c r="D6746" i="106" s="1"/>
  <c r="B6747" i="106"/>
  <c r="D6747" i="106" s="1"/>
  <c r="B6748" i="106"/>
  <c r="D6748" i="106" s="1"/>
  <c r="B6749" i="106"/>
  <c r="D6749" i="106" s="1"/>
  <c r="B6750" i="106"/>
  <c r="D6750" i="106"/>
  <c r="B6751" i="106"/>
  <c r="D6751" i="106" s="1"/>
  <c r="B6752" i="106"/>
  <c r="D6752" i="106"/>
  <c r="B6753" i="106"/>
  <c r="D6753" i="106" s="1"/>
  <c r="B6754" i="106"/>
  <c r="D6754" i="106" s="1"/>
  <c r="B6755" i="106"/>
  <c r="D6755" i="106" s="1"/>
  <c r="B6756" i="106"/>
  <c r="D6756" i="106" s="1"/>
  <c r="B6757" i="106"/>
  <c r="D6757" i="106" s="1"/>
  <c r="B6758" i="106"/>
  <c r="D6758" i="106"/>
  <c r="B6759" i="106"/>
  <c r="D6759" i="106" s="1"/>
  <c r="B6760" i="106"/>
  <c r="D6760" i="106"/>
  <c r="B6761" i="106"/>
  <c r="D6761" i="106" s="1"/>
  <c r="B6762" i="106"/>
  <c r="D6762" i="106" s="1"/>
  <c r="B6763" i="106"/>
  <c r="D6763" i="106" s="1"/>
  <c r="B6764" i="106"/>
  <c r="D6764" i="106" s="1"/>
  <c r="B6765" i="106"/>
  <c r="D6765" i="106" s="1"/>
  <c r="B6766" i="106"/>
  <c r="D6766" i="106"/>
  <c r="B6767" i="106"/>
  <c r="D6767" i="106" s="1"/>
  <c r="B6768" i="106"/>
  <c r="D6768" i="106"/>
  <c r="B6769" i="106"/>
  <c r="D6769" i="106" s="1"/>
  <c r="B6770" i="106"/>
  <c r="D6770" i="106" s="1"/>
  <c r="B6771" i="106"/>
  <c r="D6771" i="106" s="1"/>
  <c r="B6772" i="106"/>
  <c r="D6772" i="106" s="1"/>
  <c r="B6773" i="106"/>
  <c r="D6773" i="106" s="1"/>
  <c r="B6774" i="106"/>
  <c r="D6774" i="106"/>
  <c r="B6775" i="106"/>
  <c r="D6775" i="106" s="1"/>
  <c r="B6776" i="106"/>
  <c r="D6776" i="106"/>
  <c r="B6777" i="106"/>
  <c r="D6777" i="106" s="1"/>
  <c r="B6778" i="106"/>
  <c r="D6778" i="106" s="1"/>
  <c r="B6779" i="106"/>
  <c r="D6779" i="106" s="1"/>
  <c r="B6780" i="106"/>
  <c r="D6780" i="106" s="1"/>
  <c r="B6781" i="106"/>
  <c r="D6781" i="106" s="1"/>
  <c r="B6782" i="106"/>
  <c r="D6782" i="106"/>
  <c r="B6783" i="106"/>
  <c r="D6783" i="106" s="1"/>
  <c r="B6784" i="106"/>
  <c r="D6784" i="106"/>
  <c r="B6785" i="106"/>
  <c r="D6785" i="106" s="1"/>
  <c r="B6786" i="106"/>
  <c r="D6786" i="106" s="1"/>
  <c r="B6787" i="106"/>
  <c r="D6787" i="106" s="1"/>
  <c r="B6788" i="106"/>
  <c r="D6788" i="106" s="1"/>
  <c r="B6789" i="106"/>
  <c r="D6789" i="106" s="1"/>
  <c r="B6790" i="106"/>
  <c r="D6790" i="106"/>
  <c r="B6791" i="106"/>
  <c r="D6791" i="106" s="1"/>
  <c r="B6792" i="106"/>
  <c r="D6792" i="106"/>
  <c r="B6793" i="106"/>
  <c r="D6793" i="106" s="1"/>
  <c r="B6794" i="106"/>
  <c r="D6794" i="106" s="1"/>
  <c r="B6795" i="106"/>
  <c r="D6795" i="106" s="1"/>
  <c r="B6796" i="106"/>
  <c r="D6796" i="106" s="1"/>
  <c r="B6797" i="106"/>
  <c r="D6797" i="106" s="1"/>
  <c r="B6798" i="106"/>
  <c r="D6798" i="106"/>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c r="B6809" i="106"/>
  <c r="D6809" i="106" s="1"/>
  <c r="B6810" i="106"/>
  <c r="D6810" i="106" s="1"/>
  <c r="B6811" i="106"/>
  <c r="D6811" i="106" s="1"/>
  <c r="B6812" i="106"/>
  <c r="D6812" i="106" s="1"/>
  <c r="B6813" i="106"/>
  <c r="D6813" i="106" s="1"/>
  <c r="B6814" i="106"/>
  <c r="D6814" i="106"/>
  <c r="B6815" i="106"/>
  <c r="D6815" i="106" s="1"/>
  <c r="B6816" i="106"/>
  <c r="D6816" i="106"/>
  <c r="B6817" i="106"/>
  <c r="D6817" i="106" s="1"/>
  <c r="B6818" i="106"/>
  <c r="D6818" i="106" s="1"/>
  <c r="B6819" i="106"/>
  <c r="D6819" i="106" s="1"/>
  <c r="B6820" i="106"/>
  <c r="D6820" i="106" s="1"/>
  <c r="B6821" i="106"/>
  <c r="D6821" i="106" s="1"/>
  <c r="B6822" i="106"/>
  <c r="D6822" i="106"/>
  <c r="B6823" i="106"/>
  <c r="D6823" i="106" s="1"/>
  <c r="B6824" i="106"/>
  <c r="D6824" i="106"/>
  <c r="B6825" i="106"/>
  <c r="D6825" i="106" s="1"/>
  <c r="B6826" i="106"/>
  <c r="D6826" i="106" s="1"/>
  <c r="B6827" i="106"/>
  <c r="D6827" i="106" s="1"/>
  <c r="B6828" i="106"/>
  <c r="D6828" i="106" s="1"/>
  <c r="B6829" i="106"/>
  <c r="D6829" i="106" s="1"/>
  <c r="B6830" i="106"/>
  <c r="D6830" i="106"/>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71" i="36"/>
  <c r="D72" i="36"/>
  <c r="D79" i="36"/>
  <c r="B64" i="127"/>
  <c r="B65" i="127"/>
  <c r="D27" i="108"/>
  <c r="E27" i="108"/>
  <c r="G27" i="108"/>
  <c r="E28" i="108"/>
  <c r="F28"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c r="D5232" i="106" s="1"/>
  <c r="D184" i="5"/>
  <c r="B5425" i="106" s="1"/>
  <c r="D5425" i="106" s="1"/>
  <c r="F184" i="5"/>
  <c r="B5658" i="106"/>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J22" i="37"/>
  <c r="L22" i="37"/>
  <c r="D24" i="37"/>
  <c r="B4270" i="106" s="1"/>
  <c r="D4270" i="106" s="1"/>
  <c r="D9" i="7"/>
  <c r="B1767" i="106" s="1"/>
  <c r="D1767" i="106" s="1"/>
  <c r="B5847" i="106"/>
  <c r="D5847" i="106" s="1"/>
  <c r="B5752" i="106"/>
  <c r="D5752" i="106" s="1"/>
  <c r="F106" i="34"/>
  <c r="B1746" i="106"/>
  <c r="D1746" i="106" s="1"/>
  <c r="D17" i="7"/>
  <c r="B4104" i="106" s="1"/>
  <c r="D4104" i="106" s="1"/>
  <c r="D15" i="7"/>
  <c r="B1772" i="106" s="1"/>
  <c r="D1772" i="106" s="1"/>
  <c r="G26" i="108" l="1"/>
  <c r="B7047" i="106"/>
  <c r="D7047" i="106" s="1"/>
  <c r="B4211" i="106"/>
  <c r="D4211" i="106" s="1"/>
  <c r="C352" i="29"/>
  <c r="F128" i="34"/>
  <c r="D109" i="5"/>
  <c r="B5356" i="106" s="1"/>
  <c r="D5356" i="106" s="1"/>
  <c r="H173" i="5"/>
  <c r="F130" i="34"/>
  <c r="I274" i="5"/>
  <c r="F69" i="34"/>
  <c r="F66" i="34"/>
  <c r="F38" i="34"/>
  <c r="E26" i="108"/>
  <c r="H76" i="4"/>
  <c r="B3298" i="106" s="1"/>
  <c r="D3298" i="106" s="1"/>
  <c r="B1124" i="106"/>
  <c r="D1124" i="106" s="1"/>
  <c r="K274" i="5"/>
  <c r="K28" i="118"/>
  <c r="O27" i="118" s="1"/>
  <c r="O29" i="118" s="1"/>
  <c r="N22" i="3"/>
  <c r="B283" i="106" s="1"/>
  <c r="D283" i="106" s="1"/>
  <c r="B7235" i="106"/>
  <c r="D7235" i="106" s="1"/>
  <c r="C342" i="29"/>
  <c r="B7216" i="106" s="1"/>
  <c r="D7216" i="106" s="1"/>
  <c r="B1995" i="106"/>
  <c r="D1995" i="106" s="1"/>
  <c r="F21" i="8"/>
  <c r="B1274" i="106"/>
  <c r="D1274" i="106" s="1"/>
  <c r="G210" i="29"/>
  <c r="B5096" i="106"/>
  <c r="D5096" i="106" s="1"/>
  <c r="L13" i="11"/>
  <c r="B2060" i="106" s="1"/>
  <c r="D2060" i="106" s="1"/>
  <c r="L5" i="11"/>
  <c r="B2056" i="106" s="1"/>
  <c r="D2056" i="106" s="1"/>
  <c r="F19" i="7"/>
  <c r="B1807" i="106" s="1"/>
  <c r="D1807" i="106" s="1"/>
  <c r="L312" i="29"/>
  <c r="F67" i="34"/>
  <c r="G29" i="108"/>
  <c r="E29" i="108"/>
  <c r="K184" i="29"/>
  <c r="F13" i="4" s="1"/>
  <c r="B2596" i="106" s="1"/>
  <c r="D2596" i="106" s="1"/>
  <c r="B1223" i="106"/>
  <c r="D1223" i="106" s="1"/>
  <c r="F34" i="34"/>
  <c r="G109" i="5"/>
  <c r="B6024" i="106" s="1"/>
  <c r="D6024" i="106" s="1"/>
  <c r="D5" i="7"/>
  <c r="B1761" i="106" s="1"/>
  <c r="D1761" i="106" s="1"/>
  <c r="B4395" i="106"/>
  <c r="D4395" i="106" s="1"/>
  <c r="D13" i="7"/>
  <c r="B3726" i="106" s="1"/>
  <c r="D3726" i="106" s="1"/>
  <c r="K41" i="3"/>
  <c r="B3568" i="106" s="1"/>
  <c r="D3568" i="106" s="1"/>
  <c r="D52" i="36"/>
  <c r="G173" i="5"/>
  <c r="B5778" i="106" s="1"/>
  <c r="D5778" i="106" s="1"/>
  <c r="B5770" i="106"/>
  <c r="D5770" i="106" s="1"/>
  <c r="H109" i="5"/>
  <c r="F131" i="34"/>
  <c r="C172" i="5"/>
  <c r="F127" i="34"/>
  <c r="F136" i="34"/>
  <c r="K173" i="5"/>
  <c r="K6" i="4" s="1"/>
  <c r="B3570" i="106" s="1"/>
  <c r="D3570" i="106" s="1"/>
  <c r="F172" i="5"/>
  <c r="B5644" i="106" s="1"/>
  <c r="D5644" i="106" s="1"/>
  <c r="C109" i="5"/>
  <c r="B5121" i="106" s="1"/>
  <c r="D5121" i="106" s="1"/>
  <c r="B3454" i="106"/>
  <c r="D3454" i="106" s="1"/>
  <c r="L15" i="11"/>
  <c r="B3459" i="106" s="1"/>
  <c r="D3459" i="106" s="1"/>
  <c r="E15" i="145"/>
  <c r="G15" i="145" s="1"/>
  <c r="D26" i="108"/>
  <c r="F26" i="108"/>
  <c r="B2836" i="106"/>
  <c r="D2836" i="106" s="1"/>
  <c r="F62" i="34"/>
  <c r="B7733" i="106"/>
  <c r="D7733" i="106" s="1"/>
  <c r="K26" i="12"/>
  <c r="B7743" i="106" s="1"/>
  <c r="D7743" i="106" s="1"/>
  <c r="D12" i="7"/>
  <c r="B1769" i="106" s="1"/>
  <c r="D1769" i="106" s="1"/>
  <c r="D4" i="7"/>
  <c r="B1760" i="106" s="1"/>
  <c r="D1760" i="106" s="1"/>
  <c r="B4173" i="106"/>
  <c r="D4173" i="106" s="1"/>
  <c r="D69" i="36"/>
  <c r="B3647" i="106"/>
  <c r="D3647" i="106" s="1"/>
  <c r="G352" i="29"/>
  <c r="B3254" i="106"/>
  <c r="D3254" i="106" s="1"/>
  <c r="F77" i="4"/>
  <c r="B3255" i="106" s="1"/>
  <c r="D3255" i="106" s="1"/>
  <c r="B1940" i="106"/>
  <c r="D1940" i="106" s="1"/>
  <c r="D68" i="36"/>
  <c r="B1142" i="106"/>
  <c r="D1142" i="106" s="1"/>
  <c r="E38" i="108"/>
  <c r="G38" i="108"/>
  <c r="B1130" i="106"/>
  <c r="D1130" i="106" s="1"/>
  <c r="E30" i="108"/>
  <c r="G30" i="108"/>
  <c r="K92" i="29"/>
  <c r="B2089" i="106" s="1"/>
  <c r="D2089" i="106" s="1"/>
  <c r="B6995" i="106"/>
  <c r="D6995" i="106" s="1"/>
  <c r="D4" i="4"/>
  <c r="B2564" i="106" s="1"/>
  <c r="D2564" i="106" s="1"/>
  <c r="F111" i="34"/>
  <c r="G5" i="4"/>
  <c r="B3409" i="106" s="1"/>
  <c r="D3409" i="106" s="1"/>
  <c r="B7041" i="106"/>
  <c r="D7041" i="106" s="1"/>
  <c r="E109" i="5"/>
  <c r="E4" i="4" s="1"/>
  <c r="B2630" i="106" s="1"/>
  <c r="D2630" i="106" s="1"/>
  <c r="L367" i="29"/>
  <c r="B3668" i="106"/>
  <c r="D3668" i="106" s="1"/>
  <c r="K350" i="29"/>
  <c r="B7242" i="106"/>
  <c r="D7242" i="106" s="1"/>
  <c r="I26" i="12"/>
  <c r="B7741" i="106" s="1"/>
  <c r="D7741" i="106" s="1"/>
  <c r="B1996" i="106"/>
  <c r="D1996" i="106" s="1"/>
  <c r="L342" i="29"/>
  <c r="J41" i="3"/>
  <c r="B6216" i="106" s="1"/>
  <c r="D6216" i="106" s="1"/>
  <c r="E174" i="29"/>
  <c r="B1309" i="106" s="1"/>
  <c r="D1309" i="106" s="1"/>
  <c r="B3621" i="106"/>
  <c r="D3621" i="106" s="1"/>
  <c r="C367" i="29"/>
  <c r="K285" i="29"/>
  <c r="B1410" i="106"/>
  <c r="D1410" i="106" s="1"/>
  <c r="B1329" i="106"/>
  <c r="D1329" i="106" s="1"/>
  <c r="F61" i="34"/>
  <c r="D7" i="7"/>
  <c r="B1763" i="106" s="1"/>
  <c r="D1763" i="106" s="1"/>
  <c r="D11" i="7"/>
  <c r="B1768" i="106" s="1"/>
  <c r="D17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H275" i="5" l="1"/>
  <c r="D7255" i="106"/>
  <c r="D7252" i="106"/>
  <c r="B5906" i="106"/>
  <c r="D5906" i="106" s="1"/>
  <c r="H6" i="4"/>
  <c r="B2656" i="106" s="1"/>
  <c r="D2656" i="106" s="1"/>
  <c r="D7256" i="106"/>
  <c r="D7251" i="106"/>
  <c r="B1879" i="106"/>
  <c r="D1879" i="106" s="1"/>
  <c r="H22" i="37"/>
  <c r="B1365" i="106"/>
  <c r="D1365" i="106" s="1"/>
  <c r="F65" i="34"/>
  <c r="L16" i="11"/>
  <c r="B2061" i="106" s="1"/>
  <c r="D2061" i="106" s="1"/>
  <c r="L114" i="29"/>
  <c r="K342" i="29"/>
  <c r="F13" i="34" s="1"/>
  <c r="B1317" i="106"/>
  <c r="D1317" i="106" s="1"/>
  <c r="C114" i="29"/>
  <c r="B757" i="106" s="1"/>
  <c r="D757" i="106" s="1"/>
  <c r="D19" i="7"/>
  <c r="B1775" i="106" s="1"/>
  <c r="D1775" i="106" s="1"/>
  <c r="G4" i="4"/>
  <c r="B2603" i="106" s="1"/>
  <c r="D2603" i="106" s="1"/>
  <c r="F173" i="5"/>
  <c r="C4" i="4"/>
  <c r="B2551" i="106" s="1"/>
  <c r="D2551" i="106" s="1"/>
  <c r="D44" i="36"/>
  <c r="D51" i="36"/>
  <c r="F73" i="34"/>
  <c r="G15" i="4"/>
  <c r="B6032" i="106" s="1"/>
  <c r="D6032" i="106" s="1"/>
  <c r="H367" i="29"/>
  <c r="B3660" i="106" s="1"/>
  <c r="D3660" i="106" s="1"/>
  <c r="B6025" i="106"/>
  <c r="D6025" i="106" s="1"/>
  <c r="H4" i="4"/>
  <c r="B3670" i="106"/>
  <c r="D3670" i="106" s="1"/>
  <c r="K352" i="29"/>
  <c r="K367" i="29" s="1"/>
  <c r="B3649" i="106"/>
  <c r="D3649" i="106" s="1"/>
  <c r="G367" i="29"/>
  <c r="B3650" i="106" s="1"/>
  <c r="D3650"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1145" i="106" l="1"/>
  <c r="D1145" i="106" s="1"/>
  <c r="B5653" i="106"/>
  <c r="D5653" i="106" s="1"/>
  <c r="F6" i="4"/>
  <c r="B2593" i="106" s="1"/>
  <c r="D2593" i="106" s="1"/>
  <c r="F275" i="5"/>
  <c r="B5720" i="106" s="1"/>
  <c r="D5720" i="106" s="1"/>
  <c r="B5223" i="106"/>
  <c r="D5223" i="106" s="1"/>
  <c r="C6" i="4"/>
  <c r="B2553" i="106" s="1"/>
  <c r="D2553" i="106" s="1"/>
  <c r="K13" i="4"/>
  <c r="B3572" i="106" s="1"/>
  <c r="D3572" i="106" s="1"/>
  <c r="B3672" i="106"/>
  <c r="D3672" i="106" s="1"/>
  <c r="J8" i="4"/>
  <c r="B6223" i="106" s="1"/>
  <c r="D6223" i="106" s="1"/>
  <c r="B2655" i="106"/>
  <c r="D2655" i="106" s="1"/>
  <c r="H8" i="4"/>
  <c r="G41" i="108"/>
  <c r="G44" i="108" s="1"/>
  <c r="G45" i="108" s="1"/>
  <c r="E41" i="108"/>
  <c r="E44" i="108" s="1"/>
  <c r="E45" i="108" s="1"/>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F8" i="4" l="1"/>
  <c r="J19" i="4"/>
  <c r="B6229" i="106" s="1"/>
  <c r="D6229" i="106" s="1"/>
  <c r="J20" i="4"/>
  <c r="J78" i="4" s="1"/>
  <c r="B2658" i="106"/>
  <c r="D2658" i="106" s="1"/>
  <c r="H10" i="4"/>
  <c r="B4127" i="106" s="1"/>
  <c r="D4127"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B2595" i="106" l="1"/>
  <c r="D2595" i="106" s="1"/>
  <c r="D8" i="146"/>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<sst xmlns="http://schemas.openxmlformats.org/spreadsheetml/2006/main" count="5057" uniqueCount="2118">
  <si>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</si>
  <si>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</si>
  <si>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</si>
  <si>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</si>
  <si>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</si>
  <si>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</si>
  <si>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</si>
  <si>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</si>
  <si>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</si>
  <si>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</si>
  <si>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</si>
  <si>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</si>
  <si>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</si>
  <si>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</si>
  <si>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</si>
  <si>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</si>
  <si>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</si>
  <si>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</si>
  <si>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</si>
  <si>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</si>
  <si>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</si>
  <si>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</si>
  <si>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</si>
  <si>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</si>
  <si>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</si>
  <si>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</si>
  <si>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</si>
  <si>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</si>
  <si>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</si>
  <si>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</si>
  <si>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</si>
  <si>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</si>
  <si>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</si>
  <si>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</si>
  <si>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</si>
  <si>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</si>
  <si>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</si>
  <si>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</si>
  <si>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</si>
  <si>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</si>
  <si>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</si>
  <si>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</si>
  <si>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</si>
  <si>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</si>
  <si>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</si>
  <si>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</si>
  <si>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</si>
  <si>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</si>
  <si>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</si>
  <si>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</si>
  <si>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</si>
  <si>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</si>
  <si>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</si>
  <si>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</si>
  <si>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</si>
  <si>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</si>
  <si>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</si>
  <si>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</si>
  <si>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</si>
  <si>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</si>
  <si>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</si>
  <si>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</si>
  <si>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</si>
  <si>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</si>
  <si>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</si>
  <si>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</si>
  <si>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</si>
  <si>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</si>
  <si>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</si>
  <si>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</si>
  <si>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</si>
  <si>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</si>
  <si>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</si>
  <si>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</si>
  <si>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</si>
  <si>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</si>
  <si>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</si>
  <si>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</si>
  <si>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</si>
  <si>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</si>
  <si>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</si>
  <si>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</si>
  <si>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</si>
  <si>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</si>
  <si>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</si>
  <si>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</si>
  <si>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</si>
  <si>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</si>
  <si>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</si>
  <si>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</si>
  <si>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</si>
  <si>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</si>
  <si>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</si>
  <si>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</si>
  <si>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</si>
  <si>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</si>
  <si>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</si>
  <si>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</si>
  <si>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</si>
  <si>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</si>
  <si>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</si>
  <si>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</si>
  <si>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</si>
  <si>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</si>
  <si>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</si>
  <si>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</si>
  <si>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</si>
  <si>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</si>
  <si>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</si>
  <si>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</si>
  <si>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</si>
  <si>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</si>
  <si>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</si>
  <si>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</si>
  <si>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</si>
  <si>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</si>
  <si>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</si>
  <si>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</si>
  <si>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</si>
  <si>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</si>
  <si>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</si>
  <si>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</si>
  <si>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</si>
  <si>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</si>
  <si>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</si>
  <si>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</si>
  <si>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</si>
  <si>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</si>
  <si>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</si>
  <si>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</si>
  <si>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</si>
  <si>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</si>
  <si>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</si>
  <si>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</si>
  <si>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</si>
  <si>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</si>
  <si>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</si>
  <si>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</si>
  <si>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</si>
  <si>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</si>
  <si>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</si>
  <si>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</si>
  <si>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</si>
  <si>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</si>
  <si>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</si>
  <si>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</si>
  <si>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</si>
  <si>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</si>
  <si>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</si>
  <si>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</si>
  <si>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</si>
  <si>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</si>
  <si>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</si>
  <si>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</si>
  <si>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</si>
  <si>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</si>
  <si>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</si>
  <si>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</si>
  <si>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</si>
  <si>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</si>
  <si>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</si>
  <si>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</si>
  <si>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</si>
  <si>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</si>
  <si>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</si>
  <si>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</si>
  <si>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</si>
  <si>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</si>
  <si>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</si>
  <si>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</si>
  <si>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</si>
  <si>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</si>
  <si>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</si>
  <si>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</si>
  <si>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</si>
  <si>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</si>
  <si>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</si>
  <si>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</si>
  <si>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</si>
  <si>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</si>
  <si>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</si>
  <si>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</si>
  <si>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</si>
  <si>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</si>
  <si>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</si>
  <si>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</si>
  <si>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</si>
  <si>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</si>
  <si>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</si>
  <si>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</si>
  <si>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</si>
  <si>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</si>
  <si>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</si>
  <si>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</si>
  <si>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</si>
  <si>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</si>
  <si>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</si>
  <si>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</si>
  <si>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</si>
  <si>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</si>
  <si>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</si>
  <si>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</si>
  <si>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</si>
  <si>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</si>
  <si>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</si>
  <si>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</si>
  <si>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</si>
  <si>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</si>
  <si>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</si>
  <si>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</si>
  <si>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</si>
  <si>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</si>
  <si>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</si>
  <si>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</si>
  <si>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</si>
  <si>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</si>
  <si>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</si>
  <si>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</si>
  <si>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</si>
  <si>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</si>
  <si>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</si>
  <si>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</si>
  <si>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</si>
  <si>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</si>
  <si>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</si>
  <si>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</si>
  <si>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</si>
  <si>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</si>
  <si>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</si>
  <si>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</si>
  <si>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</si>
  <si>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</si>
  <si>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</si>
  <si>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</si>
  <si>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</si>
  <si>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</si>
  <si>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</si>
  <si>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</si>
  <si>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</si>
  <si>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</si>
  <si>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</si>
  <si>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</si>
  <si>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</si>
  <si>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</si>
  <si>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</si>
  <si>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</si>
  <si>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</si>
  <si>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</si>
  <si>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</si>
  <si>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</si>
  <si>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</si>
  <si>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</si>
  <si>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</si>
  <si>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</si>
  <si>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</si>
  <si>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</si>
  <si>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</si>
  <si>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</si>
  <si>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</si>
  <si>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</si>
  <si>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</si>
  <si>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</si>
  <si>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</si>
  <si>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</si>
  <si>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</si>
  <si>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</si>
  <si>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</si>
  <si>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</si>
  <si>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</si>
  <si>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</si>
  <si>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</si>
  <si>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</si>
  <si>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</si>
  <si>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</si>
  <si>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</si>
  <si>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</si>
  <si>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</si>
  <si>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</si>
  <si>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</si>
  <si>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</si>
  <si>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</si>
  <si>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</si>
  <si>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</si>
  <si>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</si>
  <si>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</si>
  <si>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</si>
  <si>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</si>
  <si>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</si>
  <si>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</si>
  <si>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</si>
  <si>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</si>
  <si>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</si>
  <si>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</si>
  <si>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</si>
  <si>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</si>
  <si>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</si>
  <si>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</si>
  <si>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</si>
  <si>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</si>
  <si>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</si>
  <si>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</si>
  <si>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</si>
  <si>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</si>
  <si>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</si>
  <si>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</si>
  <si>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</si>
  <si>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</si>
  <si>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</si>
  <si>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</si>
  <si>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</si>
  <si>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</si>
  <si>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</si>
  <si>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</si>
  <si>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</si>
  <si>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</si>
  <si>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</si>
  <si>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</si>
  <si>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</si>
  <si>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</si>
  <si>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</si>
  <si>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</si>
  <si>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</si>
  <si>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</si>
  <si>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</si>
  <si>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</si>
  <si>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</si>
  <si>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</si>
  <si>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</si>
  <si>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</si>
  <si>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</si>
  <si>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</si>
  <si>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</si>
  <si>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</si>
  <si>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</si>
  <si>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</si>
  <si>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</si>
  <si>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</si>
  <si>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</si>
  <si>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</si>
  <si>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</si>
  <si>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</si>
  <si>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</si>
  <si>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</si>
  <si>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</si>
  <si>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</si>
  <si>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</si>
  <si>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</si>
  <si>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</si>
  <si>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</si>
  <si>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</si>
  <si>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</si>
  <si>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</si>
  <si>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</si>
  <si>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</si>
  <si>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</si>
  <si>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</si>
  <si>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</si>
  <si>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</si>
  <si>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</si>
  <si>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</si>
  <si>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</si>
  <si>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</si>
  <si>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</si>
  <si>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</si>
  <si>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</si>
  <si>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</si>
  <si>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</si>
  <si>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</si>
  <si>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</si>
  <si>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</si>
  <si>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</si>
  <si>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</si>
  <si>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</si>
  <si>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</si>
  <si>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</si>
  <si>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</si>
  <si>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</si>
  <si>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</si>
  <si>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</si>
  <si>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</si>
  <si>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</si>
  <si>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</si>
  <si>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</si>
  <si>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</si>
  <si>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</si>
  <si>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</si>
  <si>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</si>
  <si>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</si>
  <si>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</si>
  <si>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</si>
  <si>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</si>
  <si>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</si>
  <si>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</si>
  <si>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</si>
  <si>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</si>
  <si>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</si>
  <si>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</si>
  <si>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</si>
  <si>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</si>
  <si>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</si>
  <si>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</si>
  <si>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</si>
  <si>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</si>
  <si>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</si>
  <si>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</si>
  <si>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</si>
  <si>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</si>
  <si>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</si>
  <si>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</si>
  <si>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</si>
  <si>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</si>
  <si>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</si>
  <si>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</si>
  <si>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</si>
  <si>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</si>
  <si>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</si>
  <si>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</si>
  <si>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</si>
  <si>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</si>
  <si>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</si>
  <si>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</si>
  <si>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</si>
  <si>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</si>
  <si>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</si>
  <si>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</si>
  <si>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</si>
  <si>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</si>
  <si>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</si>
  <si>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</si>
  <si>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</si>
  <si>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</si>
  <si>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</si>
  <si>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</si>
  <si>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</si>
  <si>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</si>
  <si>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</si>
  <si>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</si>
  <si>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</si>
  <si>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</si>
  <si>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</si>
  <si>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</si>
  <si>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</si>
  <si>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</si>
  <si>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</si>
  <si>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</si>
  <si>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</si>
  <si>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</si>
  <si>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</si>
  <si>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</si>
  <si>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</si>
  <si>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</si>
  <si>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</si>
  <si>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</si>
  <si>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</si>
  <si>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</si>
  <si>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</si>
  <si>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</si>
  <si>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</si>
  <si>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</si>
  <si>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</si>
  <si>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</si>
  <si>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</si>
  <si>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</si>
  <si>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</si>
  <si>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</si>
  <si>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</si>
  <si>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</si>
  <si>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</si>
  <si>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</si>
  <si>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</si>
  <si>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</si>
  <si>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</si>
  <si>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</si>
  <si>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</si>
  <si>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</si>
  <si>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</si>
  <si>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</si>
  <si>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</si>
  <si>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</si>
  <si>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</si>
  <si>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</si>
  <si>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</si>
  <si>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</si>
  <si>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</si>
  <si>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</si>
  <si>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</si>
  <si>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</si>
  <si>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</si>
  <si>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</si>
  <si>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</si>
  <si>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</si>
  <si>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</si>
  <si>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</si>
  <si>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</si>
  <si>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</si>
  <si>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</si>
  <si>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</si>
  <si>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</si>
  <si>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</si>
  <si>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</si>
  <si>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</si>
  <si>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</si>
  <si>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</si>
  <si>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</si>
  <si>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</si>
  <si>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</si>
  <si>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</si>
  <si>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</si>
  <si>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</si>
  <si>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</si>
  <si>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</si>
  <si>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</si>
  <si>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</si>
  <si>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</si>
  <si>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</si>
  <si>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</si>
  <si>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</si>
  <si>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</si>
  <si>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</si>
  <si>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</si>
  <si>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</si>
  <si>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</si>
  <si>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</si>
  <si>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</si>
  <si>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</si>
  <si>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</si>
  <si>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</si>
  <si>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</si>
  <si>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</si>
  <si>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</si>
  <si>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</si>
  <si>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</si>
  <si>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</si>
  <si>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</si>
  <si>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</si>
  <si>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</si>
  <si>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</si>
  <si>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</si>
  <si>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</si>
  <si>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</si>
  <si>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</si>
  <si>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</si>
  <si>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</si>
  <si>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</si>
  <si>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</si>
  <si>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</si>
  <si>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</si>
  <si>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</si>
  <si>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</si>
  <si>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</si>
  <si>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</si>
  <si>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</si>
  <si>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</si>
  <si>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</si>
  <si>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</si>
  <si>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</si>
  <si>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</si>
  <si>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</si>
  <si>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</si>
  <si>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</si>
  <si>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</si>
  <si>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</si>
  <si>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</si>
  <si>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</si>
  <si>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</si>
  <si>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</si>
  <si>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</si>
  <si>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</si>
  <si>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</si>
  <si>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</si>
  <si>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</si>
  <si>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</si>
  <si>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</si>
  <si>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</si>
  <si>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</si>
  <si>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</si>
  <si>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</si>
  <si>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</si>
  <si>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</si>
  <si>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</si>
  <si>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</si>
  <si>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</si>
  <si>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</si>
  <si>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</si>
  <si>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</si>
  <si>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</si>
  <si>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</si>
  <si>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</si>
  <si>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</si>
  <si>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</si>
  <si>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</si>
  <si>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</si>
  <si>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</si>
  <si>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</si>
  <si>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</si>
  <si>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</si>
  <si>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</si>
  <si>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</si>
  <si>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</si>
  <si>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</si>
  <si>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</si>
  <si>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</si>
  <si>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</si>
  <si>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</si>
  <si>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</si>
  <si>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</si>
  <si>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</si>
  <si>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</si>
  <si>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</si>
  <si>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</si>
  <si>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</si>
  <si>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</si>
  <si>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</si>
  <si>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</si>
  <si>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</si>
  <si>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</si>
  <si>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</si>
  <si>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</si>
  <si>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</si>
  <si>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</si>
  <si>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</si>
  <si>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</si>
  <si>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</si>
  <si>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</si>
  <si>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</si>
  <si>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</si>
  <si>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</si>
  <si>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</si>
  <si>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</si>
  <si>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</si>
  <si>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</si>
  <si>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</si>
  <si>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</si>
  <si>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</si>
  <si>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</si>
  <si>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</si>
  <si>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</si>
  <si>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</si>
  <si>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</si>
  <si>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</si>
  <si>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</si>
  <si>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</si>
  <si>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</si>
  <si>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</si>
  <si>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</si>
  <si>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</si>
  <si>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</si>
  <si>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</si>
  <si>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</si>
  <si>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</si>
  <si>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</si>
  <si>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</si>
  <si>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</si>
  <si>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</si>
  <si>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</si>
  <si>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</si>
  <si>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</si>
  <si>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</si>
  <si>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</si>
  <si>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</si>
  <si>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</si>
  <si>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</si>
  <si>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</si>
  <si>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</si>
  <si>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</si>
  <si>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</si>
  <si>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</si>
  <si>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</si>
  <si>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</si>
  <si>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</si>
  <si>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</si>
  <si>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</si>
  <si>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</si>
  <si>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</si>
  <si>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</si>
  <si>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</si>
  <si>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</si>
  <si>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</si>
  <si>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</si>
  <si>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</si>
  <si>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</si>
  <si>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</si>
  <si>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</si>
  <si>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</si>
  <si>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</si>
  <si>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</si>
  <si>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</si>
  <si>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</si>
  <si>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</si>
  <si>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</si>
  <si>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</si>
  <si>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</si>
  <si>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</si>
  <si>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</si>
  <si>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</si>
  <si>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</si>
  <si>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</si>
  <si>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</si>
  <si>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</si>
  <si>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</si>
  <si>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</si>
  <si>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</si>
  <si>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</si>
  <si>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</si>
  <si>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</si>
  <si>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</si>
  <si>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</si>
  <si>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</si>
  <si>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</si>
  <si>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</si>
  <si>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</si>
  <si>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</si>
  <si>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</si>
  <si>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</si>
  <si>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</si>
  <si>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</si>
  <si>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</si>
  <si>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</si>
  <si>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</si>
  <si>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</si>
  <si>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</si>
  <si>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</si>
  <si>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</si>
  <si>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</si>
  <si>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</si>
  <si>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</si>
  <si>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</si>
  <si>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</si>
  <si>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</si>
  <si>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</si>
  <si>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</si>
  <si>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</si>
  <si>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</si>
  <si>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</si>
  <si>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</si>
  <si>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</si>
  <si>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</si>
  <si>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</si>
  <si>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</si>
  <si>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</si>
  <si>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</si>
  <si>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</si>
  <si>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</si>
  <si>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</si>
  <si>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</si>
  <si>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</si>
  <si>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</si>
  <si>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</si>
  <si>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</si>
  <si>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</si>
  <si>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</si>
  <si>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</si>
  <si>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</si>
  <si>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</si>
  <si>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</si>
  <si>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</si>
  <si>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</si>
  <si>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</si>
  <si>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</si>
  <si>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</si>
  <si>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</si>
  <si>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</si>
  <si>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</si>
  <si>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</si>
  <si>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</si>
  <si>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</si>
  <si>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</si>
  <si>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</si>
  <si>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</si>
  <si>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</si>
  <si>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</si>
  <si>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</si>
  <si>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</si>
  <si>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</si>
  <si>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</si>
  <si>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</si>
  <si>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</si>
  <si>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</si>
  <si>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</si>
  <si>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</si>
  <si>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</si>
  <si>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</si>
  <si>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</si>
  <si>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</si>
  <si>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</si>
  <si>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</si>
  <si>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</si>
  <si>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</si>
  <si>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</si>
  <si>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</si>
  <si>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</si>
  <si>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</si>
  <si>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</si>
  <si>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</si>
  <si>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</si>
  <si>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</si>
  <si>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</si>
  <si>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</si>
  <si>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</si>
  <si>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</si>
  <si>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</si>
  <si>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</si>
  <si>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</si>
  <si>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</si>
  <si>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</si>
  <si>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</si>
  <si>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</si>
  <si>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</si>
  <si>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</si>
  <si>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</si>
  <si>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</si>
  <si>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</si>
  <si>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</si>
  <si>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</si>
  <si>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</si>
  <si>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</si>
  <si>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</si>
  <si>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</si>
  <si>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</si>
  <si>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</si>
  <si>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</si>
  <si>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</si>
  <si>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</si>
  <si>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</si>
  <si>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</si>
  <si>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</si>
  <si>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</si>
  <si>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</si>
  <si>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</si>
  <si>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</si>
  <si>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</si>
  <si>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</si>
  <si>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</si>
  <si>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</si>
  <si>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</si>
  <si>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</si>
  <si>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</si>
  <si>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</si>
  <si>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</si>
  <si>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</si>
  <si>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</si>
  <si>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</si>
  <si>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</si>
  <si>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</si>
  <si>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</si>
  <si>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</si>
  <si>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</si>
  <si>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</si>
  <si>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</si>
  <si>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</si>
  <si>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</si>
  <si>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</si>
  <si>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</si>
  <si>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</si>
  <si>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</si>
  <si>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</si>
  <si>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</si>
  <si>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</si>
  <si>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</si>
  <si>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</si>
  <si>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</si>
  <si>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</si>
  <si>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</si>
  <si>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</si>
  <si>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</si>
  <si>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</si>
  <si>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</si>
  <si>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</si>
  <si>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</si>
  <si>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</si>
  <si>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</si>
  <si>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</si>
  <si>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</si>
  <si>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</si>
  <si>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</si>
  <si>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</si>
  <si>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</si>
  <si>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</si>
  <si>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</si>
  <si>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</si>
  <si>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</si>
  <si>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</si>
  <si>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</si>
  <si>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</si>
  <si>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</si>
  <si>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</si>
  <si>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</si>
  <si>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</si>
  <si>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</si>
  <si>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</si>
  <si>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</si>
  <si>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</si>
  <si>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</si>
  <si>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</si>
  <si>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</si>
  <si>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</si>
  <si>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</si>
  <si>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</si>
  <si>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</si>
  <si>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</si>
  <si>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</si>
  <si>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</si>
  <si>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</si>
  <si>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</si>
  <si>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</si>
  <si>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</si>
  <si>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</si>
  <si>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</si>
  <si>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</si>
  <si>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</si>
  <si>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</si>
  <si>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</si>
  <si>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</si>
  <si>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</si>
  <si>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</si>
  <si>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</si>
  <si>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</si>
  <si>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</si>
  <si>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</si>
  <si>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</si>
  <si>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</si>
  <si>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</si>
  <si>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</si>
  <si>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</si>
  <si>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</si>
  <si>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</si>
  <si>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</si>
  <si>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</si>
  <si>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</si>
  <si>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</si>
  <si>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</si>
  <si>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</si>
  <si>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</si>
  <si>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</si>
  <si>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</si>
  <si>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</si>
  <si>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</si>
  <si>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</si>
  <si>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</si>
  <si>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</si>
  <si>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</si>
  <si>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</si>
  <si>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</si>
  <si>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</si>
  <si>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</si>
  <si>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</si>
  <si>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</si>
  <si>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</si>
  <si>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</si>
  <si>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</si>
  <si>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</si>
  <si>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</si>
  <si>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</si>
  <si>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</si>
  <si>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</si>
  <si>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</si>
  <si>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</si>
  <si>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</si>
  <si>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</si>
  <si>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</si>
  <si>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</si>
  <si>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</si>
  <si>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</si>
  <si>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</si>
  <si>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</si>
  <si>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</si>
  <si>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</si>
  <si>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</si>
  <si>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</si>
  <si>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</si>
  <si>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</si>
  <si>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</si>
  <si>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</si>
  <si>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</si>
  <si>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</si>
  <si>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</si>
  <si>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</si>
  <si>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</si>
  <si>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</si>
  <si>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</si>
  <si>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</si>
  <si>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</si>
  <si>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</si>
  <si>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</si>
  <si>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</si>
  <si>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</si>
  <si>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</si>
  <si>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</si>
  <si>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</si>
  <si>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</si>
  <si>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</si>
  <si>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</si>
  <si>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</si>
  <si>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</si>
  <si>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</si>
  <si>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</si>
  <si>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</si>
  <si>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</si>
  <si>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</si>
  <si>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</si>
  <si>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</si>
  <si>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</si>
  <si>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</si>
  <si>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</si>
  <si>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</si>
  <si>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</si>
  <si>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</si>
  <si>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</si>
  <si>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</si>
  <si>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</si>
  <si>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</si>
  <si>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</si>
  <si>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</si>
  <si>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</si>
  <si>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</si>
  <si>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</si>
  <si>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</si>
  <si>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</si>
  <si>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</si>
  <si>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</si>
  <si>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</si>
  <si>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</si>
  <si>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</si>
  <si>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</si>
  <si>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</si>
  <si>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</si>
  <si>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</si>
  <si>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</si>
  <si>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</si>
  <si>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</si>
  <si>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</si>
  <si>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</si>
  <si>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</si>
  <si>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</si>
  <si>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</si>
  <si>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</si>
  <si>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</si>
  <si>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</si>
  <si>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</si>
  <si>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</si>
  <si>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</si>
  <si>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</si>
  <si>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</si>
  <si>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</si>
  <si>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</si>
  <si>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</si>
  <si>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</si>
  <si>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</si>
  <si>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</si>
  <si>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</si>
  <si>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</si>
  <si>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</si>
  <si>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</si>
  <si>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</si>
  <si>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</si>
  <si>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</si>
  <si>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</si>
  <si>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</si>
  <si>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</si>
  <si>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</si>
  <si>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</si>
  <si>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</si>
  <si>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</si>
  <si>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</si>
  <si>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</si>
  <si>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</si>
  <si>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</si>
  <si>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</si>
  <si>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</si>
  <si>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</si>
  <si>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</si>
  <si>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</si>
  <si>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</si>
  <si>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</si>
  <si>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</si>
  <si>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</si>
  <si>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</si>
  <si>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</si>
  <si>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</si>
  <si>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</si>
  <si>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</si>
  <si>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</si>
  <si>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</si>
  <si>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</si>
  <si>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</si>
  <si>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</si>
  <si>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</si>
  <si>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</si>
  <si>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</si>
  <si>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</si>
  <si>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</si>
  <si>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</si>
  <si>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</si>
  <si>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</si>
  <si>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</si>
  <si>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</si>
  <si>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</si>
  <si>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</si>
  <si>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</si>
  <si>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</si>
  <si>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</si>
  <si>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</si>
  <si>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</si>
  <si>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</si>
  <si>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</si>
  <si>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</si>
  <si>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</si>
  <si>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</si>
  <si>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</si>
  <si>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</si>
  <si>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</si>
  <si>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</si>
  <si>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</si>
  <si>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</si>
  <si>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</si>
  <si>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</si>
  <si>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</si>
  <si>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</si>
  <si>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</si>
  <si>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</si>
  <si>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</si>
  <si>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</si>
  <si>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</si>
  <si>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</si>
  <si>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</si>
  <si>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</si>
  <si>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</si>
  <si>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</si>
  <si>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</si>
  <si>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</si>
  <si>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</si>
  <si>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</si>
  <si>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</si>
  <si>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</si>
  <si>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</si>
  <si>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</si>
  <si>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</si>
  <si>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</si>
  <si>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</si>
  <si>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</si>
  <si>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</si>
  <si>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</si>
  <si>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</si>
  <si>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</si>
  <si>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</si>
  <si>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</si>
  <si>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</si>
  <si>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</si>
  <si>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</si>
  <si>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</si>
  <si>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</si>
  <si>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</si>
  <si>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</si>
  <si>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</si>
  <si>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</si>
  <si>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</si>
  <si>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</si>
  <si>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</si>
  <si>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</si>
  <si>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</si>
  <si>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</si>
  <si>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</si>
  <si>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</si>
  <si>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</si>
  <si>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</si>
  <si>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</si>
  <si>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</si>
  <si>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</si>
  <si>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</si>
  <si>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</si>
  <si>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</si>
  <si>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</si>
  <si>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</si>
  <si>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</si>
  <si>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</si>
  <si>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</si>
  <si>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</si>
  <si>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</si>
  <si>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</si>
  <si>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</si>
  <si>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</si>
  <si>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</si>
  <si>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</si>
  <si>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</si>
  <si>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</si>
  <si>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</si>
  <si>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</si>
  <si>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</si>
  <si>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</si>
  <si>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</si>
  <si>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</si>
  <si>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</si>
  <si>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</si>
  <si>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</si>
  <si>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</si>
  <si>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</si>
  <si>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</si>
  <si>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</si>
  <si>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</si>
  <si>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</si>
  <si>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</si>
  <si>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</si>
  <si>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</si>
  <si>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</si>
  <si>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</si>
  <si>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</si>
  <si>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</si>
  <si>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</si>
  <si>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</si>
  <si>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</si>
  <si>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</si>
  <si>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</si>
  <si>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</si>
  <si>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</si>
  <si>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</si>
  <si>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</si>
  <si>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</si>
  <si>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</si>
  <si>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</si>
  <si>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</si>
  <si>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</si>
  <si>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</si>
  <si>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</si>
  <si>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</si>
  <si>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</si>
  <si>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</si>
  <si>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</si>
  <si>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</si>
  <si>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</si>
  <si>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</si>
  <si>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</si>
  <si>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</si>
  <si>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</si>
  <si>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</si>
  <si>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</si>
  <si>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</si>
  <si>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</si>
  <si>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</si>
  <si>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</si>
  <si>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</si>
  <si>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</si>
  <si>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</si>
  <si>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</si>
  <si>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</si>
  <si>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</si>
  <si>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</si>
  <si>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</si>
  <si>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</si>
  <si>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</si>
  <si>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</si>
  <si>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</si>
  <si>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</si>
  <si>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</si>
  <si>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</si>
  <si>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</si>
  <si>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</si>
  <si>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</si>
  <si>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</si>
  <si>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</si>
  <si>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</si>
  <si>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</si>
  <si>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</si>
  <si>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</si>
  <si>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</si>
  <si>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</si>
  <si>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</si>
  <si>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</si>
  <si>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</si>
  <si>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</si>
  <si>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</si>
  <si>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</si>
  <si>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</si>
  <si>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</si>
  <si>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</si>
  <si>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</si>
  <si>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</si>
  <si>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</si>
  <si>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</si>
  <si>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</si>
  <si>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</si>
  <si>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</si>
  <si>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</si>
  <si>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</si>
  <si>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</si>
  <si>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</si>
  <si>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</si>
  <si>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</si>
  <si>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</si>
  <si>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</si>
  <si>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</si>
  <si>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</si>
  <si>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</si>
  <si>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</si>
  <si>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</si>
  <si>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</si>
  <si>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</si>
  <si>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</si>
  <si>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</si>
  <si>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</si>
  <si>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</si>
  <si>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</si>
  <si>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</si>
  <si>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</si>
  <si>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</si>
  <si>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</si>
  <si>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</si>
  <si>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</si>
  <si>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</si>
  <si>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</si>
  <si>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</si>
  <si>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</si>
  <si>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</si>
  <si>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</si>
  <si>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</si>
  <si>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</si>
  <si>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</si>
  <si>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</si>
  <si>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</si>
  <si>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</si>
  <si>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</si>
  <si>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</si>
  <si>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</si>
  <si>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</si>
  <si>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</si>
  <si>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</si>
  <si>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</si>
  <si>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</si>
  <si>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</si>
  <si>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</si>
  <si>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</si>
  <si>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</si>
  <si>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</si>
  <si>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</si>
  <si>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</si>
  <si>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</si>
  <si>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</si>
  <si>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</si>
  <si>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</si>
  <si>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</si>
  <si>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</si>
  <si>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</si>
  <si>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</si>
  <si>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</si>
  <si>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</si>
  <si>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</si>
  <si>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</si>
  <si>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</si>
  <si>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</si>
  <si>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</si>
  <si>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</si>
  <si>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</si>
  <si>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</si>
  <si>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</si>
  <si>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</si>
  <si>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</si>
  <si>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</si>
  <si>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</si>
  <si>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</si>
  <si>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</si>
  <si>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</si>
  <si>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</si>
  <si>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</si>
  <si>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</si>
  <si>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</si>
  <si>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</si>
  <si>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</si>
  <si>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</si>
  <si>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</si>
  <si>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</si>
  <si>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</si>
  <si>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</si>
  <si>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</si>
  <si>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</si>
  <si>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</si>
  <si>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</si>
  <si>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</si>
  <si>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</si>
  <si>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</si>
  <si>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</si>
  <si>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</si>
  <si>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</si>
  <si>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</si>
  <si>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</si>
  <si>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</si>
  <si>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</si>
  <si>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</si>
  <si>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</si>
  <si>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</si>
  <si>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</si>
  <si>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</si>
  <si>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</si>
  <si>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</si>
  <si>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</si>
  <si>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</si>
  <si>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</si>
  <si>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</si>
  <si>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</si>
  <si>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</si>
  <si>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</si>
  <si>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</si>
  <si>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</si>
  <si>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</si>
  <si>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</si>
  <si>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</si>
  <si>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</si>
  <si>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</si>
  <si>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</si>
  <si>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</si>
  <si>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</si>
  <si>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</si>
  <si>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</si>
  <si>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</si>
  <si>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</si>
  <si>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</si>
  <si>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</si>
  <si>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</si>
  <si>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</si>
  <si>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</si>
  <si>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</si>
  <si>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</si>
  <si>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</si>
  <si>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</si>
  <si>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</si>
  <si>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</si>
  <si>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</si>
  <si>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</si>
  <si>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</si>
  <si>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</si>
  <si>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</si>
  <si>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</si>
  <si>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</si>
  <si>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</si>
  <si>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</si>
  <si>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</si>
  <si>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</si>
  <si>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</si>
  <si>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</si>
  <si>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</si>
  <si>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</si>
  <si>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</si>
  <si>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</si>
  <si>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</si>
  <si>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</si>
  <si>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</si>
  <si>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</si>
  <si>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</si>
  <si>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</si>
  <si>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</si>
  <si>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</si>
  <si>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</si>
  <si>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</si>
  <si>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</si>
  <si>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</si>
  <si>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</si>
  <si>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</si>
  <si>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</si>
  <si>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</si>
  <si>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</si>
  <si>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</si>
  <si>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</si>
  <si>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</si>
  <si>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</si>
  <si>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</si>
  <si>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</si>
  <si>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</si>
  <si>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</si>
  <si>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</si>
  <si>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</si>
  <si>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</si>
  <si>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</si>
  <si>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</si>
  <si>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</si>
  <si>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</si>
  <si>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</si>
  <si>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</si>
  <si>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</si>
  <si>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</si>
  <si>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</si>
  <si>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</si>
  <si>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</si>
  <si>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</si>
  <si>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</si>
  <si>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</si>
  <si>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</si>
  <si>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</si>
  <si>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</si>
  <si>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</si>
  <si>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</si>
  <si>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</si>
  <si>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</si>
  <si>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</si>
  <si>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</si>
  <si>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</si>
  <si>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</si>
  <si>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</si>
  <si>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</si>
  <si>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</si>
  <si>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</si>
  <si>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</si>
  <si>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</si>
  <si>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</si>
  <si>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</si>
  <si>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</si>
  <si>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</si>
  <si>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</si>
  <si>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</si>
  <si>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</si>
  <si>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</si>
  <si>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</si>
  <si>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</si>
  <si>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</si>
  <si>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</si>
  <si>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</si>
  <si>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</si>
  <si>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</si>
  <si>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</si>
  <si>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</si>
  <si>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</si>
  <si>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</si>
  <si>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</si>
  <si>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</si>
  <si>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</si>
  <si>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</si>
  <si>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</si>
  <si>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</si>
  <si>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</si>
  <si>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</si>
  <si>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</si>
  <si>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</si>
  <si>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</si>
  <si>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</si>
  <si>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</si>
  <si>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</si>
  <si>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</si>
  <si>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</si>
  <si>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</si>
  <si>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</si>
  <si>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</si>
  <si>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</si>
  <si>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</si>
  <si>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</si>
  <si>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</si>
  <si>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</si>
  <si>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</si>
  <si>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</si>
  <si>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</si>
  <si>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</si>
  <si>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</si>
  <si>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</si>
  <si>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</si>
  <si>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</si>
  <si>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</si>
  <si>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</si>
  <si>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</si>
  <si>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</si>
  <si>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</si>
  <si>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</si>
  <si>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</si>
  <si>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</si>
  <si>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</si>
  <si>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</si>
  <si>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</si>
  <si>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</si>
  <si>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</si>
  <si>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</si>
  <si>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</si>
  <si>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</si>
  <si>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</si>
  <si>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</si>
  <si>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</si>
  <si>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</si>
  <si>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</si>
  <si>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</si>
  <si>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</si>
  <si>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</si>
  <si>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</si>
  <si>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</si>
  <si>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</si>
  <si>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</si>
  <si>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</si>
  <si>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</si>
  <si>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</si>
  <si>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</si>
  <si>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</si>
  <si>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</si>
  <si>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</si>
  <si>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</si>
  <si>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</si>
  <si>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</si>
  <si>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</si>
  <si>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</si>
  <si>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</si>
  <si>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</si>
  <si>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</si>
  <si>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</si>
  <si>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</si>
  <si>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</si>
  <si>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</si>
  <si>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</si>
  <si>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</si>
  <si>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</si>
  <si>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</si>
  <si>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</si>
  <si>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</si>
  <si>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</si>
  <si>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</si>
  <si>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</si>
  <si>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</si>
  <si>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</si>
  <si>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</si>
  <si>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</si>
  <si>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</si>
  <si>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</si>
  <si>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</si>
  <si>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</si>
  <si>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</si>
  <si>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</si>
  <si>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</si>
  <si>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</si>
  <si>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</si>
  <si>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</si>
  <si>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</si>
  <si>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</si>
  <si>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</si>
  <si>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</si>
  <si>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</si>
  <si>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</si>
  <si>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</si>
  <si>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</si>
  <si>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</si>
  <si>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</si>
  <si>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</si>
  <si>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</si>
  <si>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</si>
  <si>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</si>
  <si>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</si>
  <si>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</si>
  <si>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</si>
  <si>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</si>
  <si>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</si>
  <si>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</si>
  <si>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</si>
  <si>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</si>
  <si>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</si>
  <si>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</si>
  <si>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</si>
  <si>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</si>
  <si>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</si>
  <si>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</si>
  <si>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</si>
  <si>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</si>
  <si>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</si>
  <si>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</si>
  <si>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</si>
  <si>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</si>
  <si>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</si>
  <si>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</si>
  <si>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</si>
  <si>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</si>
  <si>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</si>
  <si>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</si>
  <si>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</si>
  <si>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</si>
  <si>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</si>
  <si>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</si>
  <si>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</si>
  <si>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</si>
  <si>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</si>
  <si>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</si>
  <si>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</si>
  <si>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</si>
  <si>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</si>
  <si>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</si>
  <si>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</si>
  <si>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</si>
  <si>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</si>
  <si>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</si>
  <si>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</si>
  <si>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</si>
  <si>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</si>
  <si>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</si>
  <si>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</si>
  <si>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</si>
  <si>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</si>
  <si>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</si>
  <si>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</si>
  <si>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</si>
  <si>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</si>
  <si>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</si>
  <si>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</si>
  <si>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</si>
  <si>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</si>
  <si>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</si>
  <si>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</si>
  <si>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</si>
  <si>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</si>
  <si>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</si>
  <si>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</si>
  <si>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</si>
  <si>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</si>
  <si>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</si>
  <si>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</si>
  <si>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</si>
  <si>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</si>
  <si>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</si>
  <si>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</si>
  <si>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</si>
  <si>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</si>
  <si>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</si>
  <si>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</si>
  <si>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</si>
  <si>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</si>
  <si>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</si>
  <si>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</si>
  <si>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</si>
  <si>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</si>
  <si>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</si>
  <si>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</si>
  <si>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</si>
  <si>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</si>
  <si>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</si>
  <si>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</si>
  <si>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</si>
  <si>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</si>
  <si>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</si>
  <si>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</si>
  <si>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</si>
  <si>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</si>
  <si>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</si>
  <si>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</si>
  <si>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</si>
  <si>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</si>
  <si>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</si>
  <si>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</si>
  <si>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</si>
  <si>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</si>
  <si>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</si>
  <si>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</si>
  <si>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</si>
  <si>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</si>
  <si>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</si>
  <si>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</si>
  <si>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</si>
  <si>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</si>
  <si>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</si>
  <si>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</si>
  <si>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</si>
  <si>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</si>
  <si>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</si>
  <si>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</si>
  <si>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</si>
  <si>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</si>
  <si>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</si>
  <si>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</si>
  <si>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</si>
  <si>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</si>
  <si>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</si>
  <si>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</si>
  <si>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</si>
  <si>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</si>
  <si>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</si>
  <si>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</si>
  <si>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</si>
  <si>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</si>
  <si>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</si>
  <si>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</si>
  <si>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</si>
  <si>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</si>
  <si>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</si>
  <si>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</si>
  <si>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</si>
  <si>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</si>
  <si>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</si>
  <si>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</si>
  <si>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</si>
  <si>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</si>
  <si>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</si>
  <si>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</si>
  <si>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</si>
  <si>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</si>
  <si>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</si>
  <si>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</si>
  <si>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</si>
  <si>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</si>
  <si>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</si>
  <si>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</si>
  <si>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</si>
  <si>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</si>
  <si>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</si>
  <si>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</si>
  <si>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</si>
  <si>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</si>
  <si>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</si>
  <si>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</si>
  <si>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</si>
  <si>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</si>
  <si>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</si>
  <si>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</si>
  <si>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</si>
  <si>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</si>
  <si>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</si>
  <si>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</si>
  <si>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</si>
  <si>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</si>
  <si>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</si>
  <si>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</si>
  <si>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</si>
  <si>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</si>
  <si>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</si>
  <si>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</si>
  <si>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</si>
  <si>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</si>
  <si>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</si>
  <si>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</si>
  <si>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</si>
  <si>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</si>
  <si>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</si>
  <si>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</si>
  <si>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</si>
  <si>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</si>
  <si>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</si>
  <si>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</si>
  <si>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</si>
  <si>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</si>
  <si>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</si>
  <si>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</si>
  <si>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</si>
  <si>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</si>
  <si>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</si>
  <si>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</si>
  <si>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</si>
  <si>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</si>
  <si>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</si>
  <si>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</si>
  <si>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</si>
  <si>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</si>
  <si>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</si>
  <si>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</si>
  <si>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</si>
  <si>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</si>
  <si>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</si>
  <si>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</si>
  <si>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</si>
  <si>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</si>
  <si>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</si>
  <si>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</si>
  <si>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</si>
  <si>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</si>
  <si>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</si>
  <si>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</si>
  <si>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</si>
  <si>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</si>
  <si>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</si>
  <si>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</si>
  <si>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</si>
  <si>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</si>
  <si>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</si>
  <si>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</si>
  <si>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</si>
  <si>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</si>
  <si>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</si>
  <si>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</si>
  <si>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</si>
  <si>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</si>
  <si>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</si>
  <si>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</si>
  <si>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</si>
  <si>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</si>
  <si>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</si>
  <si>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</si>
  <si>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</si>
  <si>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</si>
  <si>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</si>
  <si>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</si>
  <si>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</si>
  <si>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</si>
  <si>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</si>
  <si>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</si>
  <si>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</si>
  <si>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</si>
  <si>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</si>
  <si>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</si>
  <si>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</si>
  <si>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</si>
  <si>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</si>
  <si>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</si>
  <si>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</si>
  <si>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</si>
  <si>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</si>
  <si>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</si>
  <si>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</si>
  <si>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</si>
  <si>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</si>
  <si>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</si>
  <si>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</si>
  <si>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</si>
  <si>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</si>
  <si>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</si>
  <si>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</si>
  <si>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</si>
  <si>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</si>
  <si>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</si>
  <si>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</si>
  <si>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</si>
  <si>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</si>
  <si>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</si>
  <si>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</si>
  <si>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</si>
  <si>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</si>
  <si>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</si>
  <si>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</si>
  <si>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</si>
  <si>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</si>
  <si>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</si>
  <si>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</si>
  <si>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</si>
  <si>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</si>
  <si>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</si>
  <si>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</si>
  <si>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</si>
  <si>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</si>
  <si>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</si>
  <si>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</si>
  <si>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</si>
  <si>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</si>
  <si>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</si>
  <si>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</si>
  <si>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</si>
  <si>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</si>
  <si>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</si>
  <si>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</si>
  <si>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</si>
  <si>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</si>
  <si>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</si>
  <si>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</si>
  <si>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</si>
  <si>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</si>
  <si>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</si>
  <si>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</si>
  <si>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</si>
  <si>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</si>
  <si>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</si>
  <si>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</si>
  <si>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</si>
  <si>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</si>
  <si>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</si>
  <si>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</si>
  <si>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</si>
  <si>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</si>
  <si>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</si>
  <si>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</si>
  <si>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</si>
  <si>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</si>
  <si>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</si>
  <si>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</si>
  <si>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</si>
  <si>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</si>
  <si>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</si>
  <si>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</si>
  <si>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</si>
  <si>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</si>
  <si>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</si>
  <si>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</si>
  <si>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</si>
  <si>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</si>
  <si>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</si>
  <si>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</si>
  <si>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</si>
  <si>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</si>
  <si>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</si>
  <si>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</si>
  <si>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</si>
  <si>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</si>
  <si>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</si>
  <si>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</si>
  <si>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</si>
  <si>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</si>
  <si>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</si>
  <si>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</si>
  <si>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</si>
  <si>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</si>
  <si>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</si>
  <si>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</si>
  <si>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</si>
  <si>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</si>
  <si>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</si>
  <si>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</si>
  <si>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</si>
  <si>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</si>
  <si>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</si>
  <si>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</si>
  <si>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</si>
  <si>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</si>
  <si>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</si>
  <si>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</si>
  <si>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</si>
  <si>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</si>
  <si>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</si>
  <si>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</si>
  <si>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</si>
  <si>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</si>
  <si>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</si>
  <si>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</si>
  <si>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</si>
  <si>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</si>
  <si>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</si>
  <si>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</si>
  <si>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</si>
  <si>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</si>
  <si>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</si>
  <si>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</si>
  <si>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</si>
  <si>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</si>
  <si>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</si>
  <si>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</si>
  <si>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</si>
  <si>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</si>
  <si>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</si>
  <si>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</si>
  <si>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</si>
  <si>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</si>
  <si>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</si>
  <si>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</si>
  <si>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</si>
  <si>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</si>
  <si>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</si>
  <si>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</si>
  <si>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</si>
  <si>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</si>
  <si>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</si>
  <si>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</si>
  <si>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</si>
  <si>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</si>
  <si>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</si>
  <si>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</si>
  <si>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</si>
  <si>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</si>
  <si>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</si>
  <si>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</si>
  <si>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</si>
  <si>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</si>
  <si>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</si>
  <si>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</si>
  <si>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</si>
  <si>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</si>
  <si>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</si>
  <si>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</si>
  <si>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</si>
  <si>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</si>
  <si>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</si>
  <si>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</si>
  <si>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</si>
  <si>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</si>
  <si>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</si>
  <si>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</si>
  <si>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</si>
  <si>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</si>
  <si>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</si>
  <si>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</si>
  <si>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</si>
  <si>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</si>
  <si>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</si>
  <si>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</si>
  <si>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</si>
  <si>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</si>
  <si>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</si>
  <si>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</si>
  <si>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</si>
  <si>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</si>
  <si>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</si>
  <si>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</si>
  <si>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</si>
  <si>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</si>
  <si>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</si>
  <si>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</si>
  <si>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</si>
  <si>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</si>
  <si>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</si>
  <si>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Morgan</t>
  </si>
  <si>
    <t>Franklin CUSD 1</t>
  </si>
  <si>
    <t>110 State Street</t>
  </si>
  <si>
    <t>kallen@franklinhigh.com</t>
  </si>
  <si>
    <t>Scheffel Boyle</t>
  </si>
  <si>
    <t>Danny Phipps, CPA</t>
  </si>
  <si>
    <t>106 W. County Road</t>
  </si>
  <si>
    <t>Jerseyville</t>
  </si>
  <si>
    <t>IL</t>
  </si>
  <si>
    <t>618-498-6841</t>
  </si>
  <si>
    <t>618-498-6842</t>
  </si>
  <si>
    <t>217-675-2395</t>
  </si>
  <si>
    <t>217-675-2396</t>
  </si>
  <si>
    <t>Curt Simonson</t>
  </si>
  <si>
    <t>csimonson@franklinhigh.com</t>
  </si>
  <si>
    <t>In addition to the financial statement being prepared on the regulatory, cash basis of accounting, the District has omitted disclosures required by GASB 54.</t>
  </si>
  <si>
    <t>2017 Series General Obligation Bonds</t>
  </si>
  <si>
    <t>General Obligation Bonds</t>
  </si>
  <si>
    <t>Waverly CUSD #6</t>
  </si>
  <si>
    <t>x</t>
  </si>
  <si>
    <t>Four Rivers Special Education District</t>
  </si>
  <si>
    <t>No barriers to implementation</t>
  </si>
  <si>
    <t>CACC</t>
  </si>
  <si>
    <t>Waverly CUSD #6 &amp; New Berlin CUSD #16</t>
  </si>
  <si>
    <t>Page 15, Line 41, Other Support Services - Pupils</t>
  </si>
  <si>
    <t>Page 16, Line 56, Other Support Services - School Admin</t>
  </si>
  <si>
    <t>None</t>
  </si>
  <si>
    <t>Audit Checklist - There were no contracts for indirect cost rate computation.</t>
  </si>
  <si>
    <t>Page 12, Line 171 Other Restricted Revenue from State Sources</t>
  </si>
  <si>
    <t>Education - $1,500 State Library Grant</t>
  </si>
  <si>
    <t>Education - Supplies &amp; Materials - $1,735 Graduation &amp; Student Awards Expense</t>
  </si>
  <si>
    <t>Education - Salaries - $49,149 Principal's Secretary Salary</t>
  </si>
  <si>
    <t>Education - Employee Benefits - $9,199 Principal's Secretary Health Benefits</t>
  </si>
  <si>
    <t>Page 21, Line 260, Other Support Services - School Administration</t>
  </si>
  <si>
    <t>Municipal Retirement/Social Security Fund - Employee Benefits - $5,210 HS Secretary IMRF</t>
  </si>
  <si>
    <t>Municipal Retirement/Social Security Fund - Employee Benefits - $3,047 HS Secretary FICA</t>
  </si>
  <si>
    <t>Municipal Retirement/Social Security Fund - Employee Benefits - $713 HS Secretary Medicare</t>
  </si>
  <si>
    <t>066.005101</t>
  </si>
  <si>
    <t>Page 25, Line 22, Other Disbursements</t>
  </si>
  <si>
    <t>School Facility Occupancy Taxes - $25,880 Bond Interest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</si>
</sst>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1369868</xdr:colOff>
          <xdr:row>5</xdr:row>
          <xdr:rowOff>156730</xdr:rowOff>
        </xdr:from>
        <xdr:to>
          <xdr:col>1</xdr:col>
          <xdr:colOff>2281670</xdr:colOff>
          <xdr:row>10</xdr:row>
          <xdr:rowOff>30308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0DFF89E-85C3-4DFA-AA11-8614390810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337705</xdr:colOff>
          <xdr:row>6</xdr:row>
          <xdr:rowOff>0</xdr:rowOff>
        </xdr:from>
        <xdr:to>
          <xdr:col>1</xdr:col>
          <xdr:colOff>1249507</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97E0DCA-F3FA-4ED6-9221-DF3DF60D1B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2436667</xdr:colOff>
          <xdr:row>6</xdr:row>
          <xdr:rowOff>8660</xdr:rowOff>
        </xdr:from>
        <xdr:to>
          <xdr:col>1</xdr:col>
          <xdr:colOff>3351067</xdr:colOff>
          <xdr:row>10</xdr:row>
          <xdr:rowOff>46760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E5AC3A9A-DDF0-49F6-B989-19A5CB87FA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3440258</xdr:colOff>
          <xdr:row>6</xdr:row>
          <xdr:rowOff>14721</xdr:rowOff>
        </xdr:from>
        <xdr:to>
          <xdr:col>2</xdr:col>
          <xdr:colOff>361951</xdr:colOff>
          <xdr:row>10</xdr:row>
          <xdr:rowOff>55419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FD9FA78-EEC1-4726-86BA-2E9855F6D9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1069001026</v>
      </c>
      <c r="B13" s="2035"/>
      <c r="C13" s="2035"/>
      <c r="D13" s="2035"/>
      <c r="E13" s="2035"/>
      <c r="F13" s="2035"/>
      <c r="G13" s="2035"/>
      <c r="H13" s="2036"/>
      <c r="I13" s="31"/>
      <c r="J13" s="30"/>
      <c r="K13" s="28"/>
      <c r="L13" s="30"/>
      <c r="M13" s="30"/>
      <c r="N13" s="30"/>
      <c r="O13" s="30"/>
      <c r="P13" s="30"/>
      <c r="Q13" s="30"/>
      <c r="R13" s="30"/>
      <c r="S13" s="30"/>
      <c r="T13" s="2039" t="s">
        <v>2082</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2078</v>
      </c>
      <c r="B15" s="2037"/>
      <c r="C15" s="2037"/>
      <c r="D15" s="2037"/>
      <c r="E15" s="2037"/>
      <c r="F15" s="2037"/>
      <c r="G15" s="2037"/>
      <c r="H15" s="2038"/>
      <c r="T15" s="2043" t="s">
        <v>2083</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2079</v>
      </c>
      <c r="B17" s="1994"/>
      <c r="C17" s="1994"/>
      <c r="D17" s="1994"/>
      <c r="E17" s="1994"/>
      <c r="F17" s="1994"/>
      <c r="G17" s="1994"/>
      <c r="H17" s="2019"/>
      <c r="T17" s="2050" t="s">
        <v>2084</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2080</v>
      </c>
      <c r="B19" s="1979"/>
      <c r="C19" s="1979"/>
      <c r="D19" s="1979"/>
      <c r="E19" s="1979"/>
      <c r="F19" s="1979"/>
      <c r="G19" s="1979"/>
      <c r="H19" s="1959"/>
      <c r="I19" s="30"/>
      <c r="J19" s="99"/>
      <c r="K19" s="40"/>
      <c r="L19" s="38"/>
      <c r="M19" s="112" t="s">
        <v>333</v>
      </c>
      <c r="P19" s="27"/>
      <c r="Q19" s="27"/>
      <c r="R19" s="27"/>
      <c r="S19" s="31"/>
      <c r="T19" s="2033" t="s">
        <v>2085</v>
      </c>
      <c r="U19" s="1958"/>
      <c r="V19" s="1958"/>
      <c r="W19" s="1959"/>
      <c r="X19" s="2048" t="s">
        <v>2086</v>
      </c>
      <c r="Y19" s="2049"/>
      <c r="Z19" s="2046">
        <v>62052</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2079</v>
      </c>
      <c r="B21" s="1958"/>
      <c r="C21" s="1958"/>
      <c r="D21" s="1958"/>
      <c r="E21" s="1958"/>
      <c r="F21" s="1958"/>
      <c r="G21" s="1958"/>
      <c r="H21" s="1959"/>
      <c r="I21" s="2013" t="s">
        <v>699</v>
      </c>
      <c r="J21" s="2008"/>
      <c r="K21" s="2008"/>
      <c r="L21" s="2008"/>
      <c r="M21" s="2008"/>
      <c r="N21" s="2008"/>
      <c r="O21" s="2008"/>
      <c r="P21" s="2008"/>
      <c r="Q21" s="2008"/>
      <c r="R21" s="2008"/>
      <c r="S21" s="2014"/>
      <c r="T21" s="2058" t="s">
        <v>2087</v>
      </c>
      <c r="U21" s="2059"/>
      <c r="V21" s="2059"/>
      <c r="W21" s="2059"/>
      <c r="X21" s="2064" t="s">
        <v>2088</v>
      </c>
      <c r="Y21" s="2065"/>
      <c r="Z21" s="2065"/>
      <c r="AA21" s="2066"/>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2081</v>
      </c>
      <c r="B23" s="2011"/>
      <c r="C23" s="2011"/>
      <c r="D23" s="2011"/>
      <c r="E23" s="2011"/>
      <c r="F23" s="2011"/>
      <c r="G23" s="2011"/>
      <c r="H23" s="2012"/>
      <c r="T23" s="2056" t="s">
        <v>2115</v>
      </c>
      <c r="U23" s="2057"/>
      <c r="V23" s="2057"/>
      <c r="W23" s="2057"/>
      <c r="X23" s="2061">
        <v>43373</v>
      </c>
      <c r="Y23" s="2062"/>
      <c r="Z23" s="2062"/>
      <c r="AA23" s="2063"/>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62638</v>
      </c>
      <c r="B25" s="1958"/>
      <c r="C25" s="1958"/>
      <c r="D25" s="1958"/>
      <c r="E25" s="1958"/>
      <c r="F25" s="1958"/>
      <c r="G25" s="1958"/>
      <c r="H25" s="1959"/>
      <c r="I25" s="113"/>
      <c r="J25" s="1982"/>
      <c r="K25" s="1982"/>
      <c r="L25" s="1982"/>
      <c r="M25" s="1982"/>
      <c r="N25" s="1982"/>
      <c r="O25" s="1982"/>
      <c r="P25" s="1982"/>
      <c r="Q25" s="1982"/>
      <c r="R25" s="1982"/>
      <c r="S25" s="1983"/>
      <c r="T25" s="2053"/>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2091</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2092</v>
      </c>
      <c r="B40" s="1972"/>
      <c r="C40" s="1973"/>
      <c r="D40" s="1973"/>
      <c r="E40" s="1973"/>
      <c r="F40" s="1974"/>
      <c r="G40" s="1974"/>
      <c r="H40" s="1975"/>
      <c r="I40" s="1996"/>
      <c r="J40" s="1997"/>
      <c r="K40" s="1997"/>
      <c r="L40" s="1997"/>
      <c r="M40" s="1997"/>
      <c r="N40" s="1997"/>
      <c r="O40" s="1997"/>
      <c r="P40" s="1997"/>
      <c r="Q40" s="1997"/>
      <c r="R40" s="1997"/>
      <c r="S40" s="1998"/>
      <c r="T40" s="1996"/>
      <c r="U40" s="2060"/>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2089</v>
      </c>
      <c r="B42" s="1977"/>
      <c r="C42" s="1978"/>
      <c r="D42" s="1976" t="s">
        <v>2090</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1887196</v>
      </c>
      <c r="C4" s="1546"/>
      <c r="D4" s="1774">
        <f>B4-C4</f>
        <v>1887196</v>
      </c>
      <c r="E4" s="1546">
        <f>733+471+2054770+1</f>
        <v>2055975</v>
      </c>
      <c r="F4" s="1774">
        <f>E4-C4</f>
        <v>2055975</v>
      </c>
    </row>
    <row r="5" spans="1:6" ht="13.7" customHeight="1" x14ac:dyDescent="0.2">
      <c r="A5" s="716" t="s">
        <v>925</v>
      </c>
      <c r="B5" s="1772">
        <f>'Revenues 9-14'!D5</f>
        <v>378183</v>
      </c>
      <c r="C5" s="585"/>
      <c r="D5" s="1775">
        <f t="shared" ref="D5:D18" si="0">B5-C5</f>
        <v>378183</v>
      </c>
      <c r="E5" s="585">
        <f>105+67+29360</f>
        <v>29532</v>
      </c>
      <c r="F5" s="1775">
        <f>E5-C5</f>
        <v>29532</v>
      </c>
    </row>
    <row r="6" spans="1:6" ht="13.7" customHeight="1" x14ac:dyDescent="0.2">
      <c r="A6" s="716" t="s">
        <v>431</v>
      </c>
      <c r="B6" s="1772">
        <f>'Revenues 9-14'!E5</f>
        <v>0</v>
      </c>
      <c r="C6" s="585"/>
      <c r="D6" s="1775">
        <f t="shared" si="0"/>
        <v>0</v>
      </c>
      <c r="E6" s="585">
        <f>95+60+263925</f>
        <v>264080</v>
      </c>
      <c r="F6" s="1775">
        <f t="shared" ref="F6:F18" si="1">E6-C6</f>
        <v>264080</v>
      </c>
    </row>
    <row r="7" spans="1:6" ht="13.7" customHeight="1" x14ac:dyDescent="0.2">
      <c r="A7" s="716" t="s">
        <v>157</v>
      </c>
      <c r="B7" s="1772">
        <f>'Revenues 9-14'!F5</f>
        <v>133366</v>
      </c>
      <c r="C7" s="585"/>
      <c r="D7" s="1775">
        <f t="shared" si="0"/>
        <v>133366</v>
      </c>
      <c r="E7" s="585">
        <f>35+23+97872</f>
        <v>97930</v>
      </c>
      <c r="F7" s="1775">
        <f t="shared" si="1"/>
        <v>97930</v>
      </c>
    </row>
    <row r="8" spans="1:6" ht="13.7" customHeight="1" x14ac:dyDescent="0.2">
      <c r="A8" s="716" t="s">
        <v>1241</v>
      </c>
      <c r="B8" s="1772">
        <f>'Revenues 9-14'!G5</f>
        <v>47632</v>
      </c>
      <c r="C8" s="585"/>
      <c r="D8" s="1775">
        <f t="shared" si="0"/>
        <v>47632</v>
      </c>
      <c r="E8" s="585">
        <f>35+22+99951</f>
        <v>100008</v>
      </c>
      <c r="F8" s="1775">
        <f t="shared" si="1"/>
        <v>100008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19060</v>
      </c>
      <c r="C10" s="585"/>
      <c r="D10" s="1775">
        <f t="shared" si="0"/>
        <v>19060</v>
      </c>
      <c r="E10" s="585">
        <f>7+4+19577</f>
        <v>19588</v>
      </c>
      <c r="F10" s="1775">
        <f t="shared" si="1"/>
        <v>19588</v>
      </c>
    </row>
    <row r="11" spans="1:6" x14ac:dyDescent="0.2">
      <c r="A11" s="716" t="s">
        <v>429</v>
      </c>
      <c r="B11" s="1772">
        <f>'Revenues 9-14'!J5</f>
        <v>47632</v>
      </c>
      <c r="C11" s="585"/>
      <c r="D11" s="1775">
        <f t="shared" si="0"/>
        <v>47632</v>
      </c>
      <c r="E11" s="585">
        <f>17+11+48939</f>
        <v>48967</v>
      </c>
      <c r="F11" s="1775">
        <f t="shared" si="1"/>
        <v>48967</v>
      </c>
    </row>
    <row r="12" spans="1:6" ht="13.7" customHeight="1" x14ac:dyDescent="0.2">
      <c r="A12" s="716" t="s">
        <v>159</v>
      </c>
      <c r="B12" s="1772">
        <f>'Revenues 9-14'!K5</f>
        <v>14296</v>
      </c>
      <c r="C12" s="585"/>
      <c r="D12" s="1775">
        <f t="shared" si="0"/>
        <v>14296</v>
      </c>
      <c r="E12" s="585">
        <f>0+0+983</f>
        <v>983</v>
      </c>
      <c r="F12" s="1775">
        <f t="shared" si="1"/>
        <v>983</v>
      </c>
    </row>
    <row r="13" spans="1:6" ht="13.7" customHeight="1" x14ac:dyDescent="0.2">
      <c r="A13" s="716" t="s">
        <v>993</v>
      </c>
      <c r="B13" s="1772">
        <f>SUM('Revenues 9-14'!C6:D6)</f>
        <v>23819</v>
      </c>
      <c r="C13" s="585"/>
      <c r="D13" s="1775">
        <f t="shared" si="0"/>
        <v>23819</v>
      </c>
      <c r="E13" s="585">
        <f>8+6+24472</f>
        <v>24486</v>
      </c>
      <c r="F13" s="1775">
        <f t="shared" si="1"/>
        <v>24486</v>
      </c>
    </row>
    <row r="14" spans="1:6" ht="13.7" customHeight="1" x14ac:dyDescent="0.2">
      <c r="A14" s="716" t="s">
        <v>430</v>
      </c>
      <c r="B14" s="1772">
        <f>SUM('Revenues 9-14'!C7:D7,'Revenues 9-14'!F7:H7)</f>
        <v>40010</v>
      </c>
      <c r="C14" s="585"/>
      <c r="D14" s="1775">
        <f t="shared" si="0"/>
        <v>40010</v>
      </c>
      <c r="E14" s="585">
        <f>15+9+41113</f>
        <v>41137</v>
      </c>
      <c r="F14" s="1775">
        <f t="shared" si="1"/>
        <v>41137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38109</v>
      </c>
      <c r="C16" s="585"/>
      <c r="D16" s="1775">
        <f t="shared" si="0"/>
        <v>38109</v>
      </c>
      <c r="E16" s="585">
        <f>14+9+39981</f>
        <v>40004</v>
      </c>
      <c r="F16" s="1775">
        <f t="shared" si="1"/>
        <v>40004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2629303</v>
      </c>
      <c r="C19" s="1773">
        <f>SUM(C4:C18)</f>
        <v>0</v>
      </c>
      <c r="D19" s="1773">
        <f>SUM(D4:D18)</f>
        <v>2629303</v>
      </c>
      <c r="E19" s="1773">
        <f>SUM(E4:E18)</f>
        <v>2722690</v>
      </c>
      <c r="F19" s="1773">
        <f>SUM(F4:F18)</f>
        <v>2722690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I56" sqref="I5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42970</v>
      </c>
      <c r="C31" s="735">
        <v>6280000</v>
      </c>
      <c r="D31" s="736">
        <v>7</v>
      </c>
      <c r="E31" s="735"/>
      <c r="F31" s="735">
        <v>6280000</v>
      </c>
      <c r="G31" s="735"/>
      <c r="H31" s="735"/>
      <c r="I31" s="1778">
        <f>((E31+F31)-H31)+G31</f>
        <v>6280000</v>
      </c>
      <c r="J31" s="735">
        <v>6280000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6280000</v>
      </c>
      <c r="D49" s="746"/>
      <c r="E49" s="1778">
        <f t="shared" ref="E49:J49" si="2">SUM(E31:E48)</f>
        <v>0</v>
      </c>
      <c r="F49" s="1778">
        <f t="shared" si="2"/>
        <v>6280000</v>
      </c>
      <c r="G49" s="1778">
        <f t="shared" si="2"/>
        <v>0</v>
      </c>
      <c r="H49" s="1778">
        <f t="shared" si="2"/>
        <v>0</v>
      </c>
      <c r="I49" s="1778">
        <f t="shared" si="2"/>
        <v>6280000</v>
      </c>
      <c r="J49" s="1778">
        <f t="shared" si="2"/>
        <v>6280000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2095</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3" sqref="J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v>184923</v>
      </c>
      <c r="K3" s="766">
        <v>1207</v>
      </c>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40010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208756</v>
      </c>
      <c r="K8" s="770"/>
    </row>
    <row r="9" spans="1:11" x14ac:dyDescent="0.2">
      <c r="A9" s="779" t="s">
        <v>140</v>
      </c>
      <c r="B9" s="780"/>
      <c r="C9" s="780"/>
      <c r="D9" s="780"/>
      <c r="E9" s="781"/>
      <c r="F9" s="778" t="s">
        <v>908</v>
      </c>
      <c r="G9" s="783"/>
      <c r="H9" s="772"/>
      <c r="I9" s="772"/>
      <c r="J9" s="782"/>
      <c r="K9" s="766">
        <v>3748</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40010</v>
      </c>
      <c r="I12" s="1780">
        <f>SUM(I5:I11)</f>
        <v>0</v>
      </c>
      <c r="J12" s="1780">
        <f>SUM(J5:J11)</f>
        <v>208756</v>
      </c>
      <c r="K12" s="1780">
        <f>SUM(K5:K11)</f>
        <v>3748</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40010</v>
      </c>
      <c r="I14" s="772"/>
      <c r="J14" s="774"/>
      <c r="K14" s="766">
        <v>2834</v>
      </c>
    </row>
    <row r="15" spans="1:11" x14ac:dyDescent="0.2">
      <c r="A15" s="2235" t="s">
        <v>4</v>
      </c>
      <c r="B15" s="2235"/>
      <c r="C15" s="2235"/>
      <c r="D15" s="2235"/>
      <c r="E15" s="2236"/>
      <c r="F15" s="790" t="s">
        <v>910</v>
      </c>
      <c r="G15" s="772"/>
      <c r="H15" s="765"/>
      <c r="I15" s="765"/>
      <c r="J15" s="766">
        <v>1630</v>
      </c>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v>25880</v>
      </c>
      <c r="K22" s="766"/>
    </row>
    <row r="23" spans="1:11" ht="13.5" thickBot="1" x14ac:dyDescent="0.25">
      <c r="A23" s="2265" t="s">
        <v>962</v>
      </c>
      <c r="B23" s="2264"/>
      <c r="C23" s="2264"/>
      <c r="D23" s="2264"/>
      <c r="E23" s="2264"/>
      <c r="F23" s="1783"/>
      <c r="G23" s="1780">
        <f>SUM(G14:G16,G21,G22)</f>
        <v>0</v>
      </c>
      <c r="H23" s="1780">
        <f>SUM(H14:H16,H21,H22)</f>
        <v>40010</v>
      </c>
      <c r="I23" s="1780">
        <f>SUM(I14:I16,I21,I22)</f>
        <v>0</v>
      </c>
      <c r="J23" s="1780">
        <f>SUM(J14:J16,J21,J22)</f>
        <v>27510</v>
      </c>
      <c r="K23" s="1780">
        <f>SUM(K14:K16,K21,K22)</f>
        <v>2834</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366169</v>
      </c>
      <c r="K24" s="1785">
        <f>SUM(K3,K12)-K23</f>
        <v>2121</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366169</v>
      </c>
      <c r="K26" s="1780">
        <f>K24-K25</f>
        <v>2121</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N3" sqref="N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17486</v>
      </c>
      <c r="D5" s="842"/>
      <c r="E5" s="842"/>
      <c r="F5" s="1782">
        <f>(C5+D5)-E5</f>
        <v>17486</v>
      </c>
      <c r="G5" s="838"/>
      <c r="H5" s="843"/>
      <c r="I5" s="843"/>
      <c r="J5" s="843"/>
      <c r="K5" s="794"/>
      <c r="L5" s="1791">
        <f>F5-K5</f>
        <v>17486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1496973</v>
      </c>
      <c r="D8" s="845"/>
      <c r="E8" s="845"/>
      <c r="F8" s="1782">
        <f>(C8+D8)-E8</f>
        <v>1496973</v>
      </c>
      <c r="G8" s="844">
        <v>50</v>
      </c>
      <c r="H8" s="766">
        <v>1202348</v>
      </c>
      <c r="I8" s="766">
        <v>6441</v>
      </c>
      <c r="J8" s="766"/>
      <c r="K8" s="1791">
        <f>(H8+I8)-J8</f>
        <v>1208789</v>
      </c>
      <c r="L8" s="1791">
        <f>F8-K8</f>
        <v>288184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45278</v>
      </c>
      <c r="D10" s="847"/>
      <c r="E10" s="847"/>
      <c r="F10" s="1786">
        <f>(C10+D10)-E10</f>
        <v>45278</v>
      </c>
      <c r="G10" s="844">
        <v>20</v>
      </c>
      <c r="H10" s="848">
        <v>38128</v>
      </c>
      <c r="I10" s="848">
        <v>505</v>
      </c>
      <c r="J10" s="848"/>
      <c r="K10" s="1791">
        <f>(H10+I10)-J10</f>
        <v>38633</v>
      </c>
      <c r="L10" s="1791">
        <f>F10-K10</f>
        <v>6645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1090872</v>
      </c>
      <c r="D12" s="845">
        <v>34675</v>
      </c>
      <c r="E12" s="845"/>
      <c r="F12" s="1782">
        <f>(C12+D12)-E12</f>
        <v>1125547</v>
      </c>
      <c r="G12" s="844">
        <v>10</v>
      </c>
      <c r="H12" s="766">
        <v>1048778</v>
      </c>
      <c r="I12" s="766">
        <v>10609</v>
      </c>
      <c r="J12" s="766"/>
      <c r="K12" s="1791">
        <f>(H12+I12)-J12</f>
        <v>1059387</v>
      </c>
      <c r="L12" s="1791">
        <f>F12-K12</f>
        <v>66160</v>
      </c>
    </row>
    <row r="13" spans="1:14" ht="14.25" thickTop="1" thickBot="1" x14ac:dyDescent="0.25">
      <c r="A13" s="849" t="s">
        <v>1184</v>
      </c>
      <c r="B13" s="841">
        <v>252</v>
      </c>
      <c r="C13" s="845">
        <v>542042</v>
      </c>
      <c r="D13" s="845">
        <f>65002+5000</f>
        <v>70002</v>
      </c>
      <c r="E13" s="845">
        <f>66729+5000</f>
        <v>71729</v>
      </c>
      <c r="F13" s="1782">
        <f>(C13+D13)-E13</f>
        <v>540315</v>
      </c>
      <c r="G13" s="844">
        <v>5</v>
      </c>
      <c r="H13" s="766">
        <v>444558</v>
      </c>
      <c r="I13" s="766">
        <v>47140</v>
      </c>
      <c r="J13" s="766">
        <v>66729</v>
      </c>
      <c r="K13" s="1791">
        <f>(H13+I13)-J13</f>
        <v>424969</v>
      </c>
      <c r="L13" s="1791">
        <f>F13-K13</f>
        <v>115346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544294</v>
      </c>
      <c r="D15" s="845">
        <v>3804052</v>
      </c>
      <c r="E15" s="845"/>
      <c r="F15" s="1782">
        <f>(C15+D15)-E15</f>
        <v>4348346</v>
      </c>
      <c r="G15" s="850" t="s">
        <v>917</v>
      </c>
      <c r="H15" s="782"/>
      <c r="I15" s="782"/>
      <c r="J15" s="782"/>
      <c r="K15" s="782"/>
      <c r="L15" s="1791">
        <f>F15-K15</f>
        <v>4348346</v>
      </c>
    </row>
    <row r="16" spans="1:14" ht="15" customHeight="1" thickTop="1" thickBot="1" x14ac:dyDescent="0.25">
      <c r="A16" s="1787" t="s">
        <v>664</v>
      </c>
      <c r="B16" s="1788">
        <v>200</v>
      </c>
      <c r="C16" s="1782">
        <f>SUM(C3,C5:C6,C8:C10,C12:C15)</f>
        <v>3736945</v>
      </c>
      <c r="D16" s="1782">
        <f>SUM(D3,D5:D6,D8:D10,D12:D15)</f>
        <v>3908729</v>
      </c>
      <c r="E16" s="1782">
        <f>SUM(E3,E5:E6,E8:E10,E12:E15)</f>
        <v>71729</v>
      </c>
      <c r="F16" s="1782">
        <f>SUM(F3,F5:F6,F8:F10,F12:F15)</f>
        <v>7573945</v>
      </c>
      <c r="G16" s="844"/>
      <c r="H16" s="1782">
        <f>SUM(H3,H6,H8:H10,H12:H14,)</f>
        <v>2733812</v>
      </c>
      <c r="I16" s="1782">
        <f>SUM(I3,I6,I8:I10,I12:I14,)</f>
        <v>64695</v>
      </c>
      <c r="J16" s="1782">
        <f>SUM(J3,J6,J8:J10,J12:J14,)</f>
        <v>66729</v>
      </c>
      <c r="K16" s="1782">
        <f>(H16+I16)-J16</f>
        <v>2731778</v>
      </c>
      <c r="L16" s="1782">
        <f>F16-K16</f>
        <v>4842167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64695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H19" sqref="H19"/>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2931267</v>
      </c>
      <c r="G8" s="866"/>
    </row>
    <row r="9" spans="1:7" x14ac:dyDescent="0.2">
      <c r="A9" s="870" t="s">
        <v>480</v>
      </c>
      <c r="B9" s="871" t="s">
        <v>1989</v>
      </c>
      <c r="C9" s="872"/>
      <c r="D9" s="870" t="s">
        <v>522</v>
      </c>
      <c r="E9" s="869"/>
      <c r="F9" s="1935">
        <f>'Expenditures 15-22'!K151</f>
        <v>413966</v>
      </c>
      <c r="G9" s="873"/>
    </row>
    <row r="10" spans="1:7" x14ac:dyDescent="0.2">
      <c r="A10" s="870" t="s">
        <v>520</v>
      </c>
      <c r="B10" s="871" t="s">
        <v>1990</v>
      </c>
      <c r="C10" s="872"/>
      <c r="D10" s="870" t="s">
        <v>522</v>
      </c>
      <c r="E10" s="869"/>
      <c r="F10" s="1935">
        <f>'Expenditures 15-22'!K174</f>
        <v>25880</v>
      </c>
      <c r="G10" s="873"/>
    </row>
    <row r="11" spans="1:7" x14ac:dyDescent="0.2">
      <c r="A11" s="870" t="s">
        <v>481</v>
      </c>
      <c r="B11" s="871" t="s">
        <v>1991</v>
      </c>
      <c r="C11" s="872"/>
      <c r="D11" s="870" t="s">
        <v>522</v>
      </c>
      <c r="E11" s="869"/>
      <c r="F11" s="1935">
        <f>'Expenditures 15-22'!K210</f>
        <v>269948</v>
      </c>
      <c r="G11" s="873"/>
    </row>
    <row r="12" spans="1:7" x14ac:dyDescent="0.2">
      <c r="A12" s="870" t="s">
        <v>482</v>
      </c>
      <c r="B12" s="871" t="s">
        <v>1992</v>
      </c>
      <c r="C12" s="872"/>
      <c r="D12" s="870" t="s">
        <v>522</v>
      </c>
      <c r="E12" s="869"/>
      <c r="F12" s="1935">
        <f>'Expenditures 15-22'!K295</f>
        <v>141262</v>
      </c>
      <c r="G12" s="873"/>
    </row>
    <row r="13" spans="1:7" x14ac:dyDescent="0.2">
      <c r="A13" s="870" t="s">
        <v>108</v>
      </c>
      <c r="B13" s="871" t="s">
        <v>1993</v>
      </c>
      <c r="C13" s="872"/>
      <c r="D13" s="870" t="s">
        <v>522</v>
      </c>
      <c r="E13" s="869"/>
      <c r="F13" s="1935">
        <f>'Expenditures 15-22'!K342</f>
        <v>49279</v>
      </c>
      <c r="G13" s="874"/>
    </row>
    <row r="14" spans="1:7" ht="12" customHeight="1" thickBot="1" x14ac:dyDescent="0.25">
      <c r="A14" s="1792"/>
      <c r="B14" s="1793"/>
      <c r="C14" s="1794"/>
      <c r="D14" s="1795" t="s">
        <v>522</v>
      </c>
      <c r="E14" s="1796" t="s">
        <v>1015</v>
      </c>
      <c r="F14" s="1797">
        <f>SUM(F8:F13)</f>
        <v>3831602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54949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194604</v>
      </c>
      <c r="G53" s="866"/>
    </row>
    <row r="54" spans="1:7" x14ac:dyDescent="0.2">
      <c r="A54" s="870" t="s">
        <v>479</v>
      </c>
      <c r="B54" s="870" t="s">
        <v>1552</v>
      </c>
      <c r="C54" s="890" t="s">
        <v>1039</v>
      </c>
      <c r="D54" s="886" t="s">
        <v>1157</v>
      </c>
      <c r="E54" s="869"/>
      <c r="F54" s="1939">
        <f>'Expenditures 15-22'!G114</f>
        <v>13574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10206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5896</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50560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618</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330407</v>
      </c>
      <c r="G76" s="866"/>
    </row>
    <row r="77" spans="1:8" s="894" customFormat="1" ht="12" customHeight="1" thickTop="1" thickBot="1" x14ac:dyDescent="0.25">
      <c r="A77" s="1801"/>
      <c r="B77" s="1798"/>
      <c r="C77" s="1794"/>
      <c r="D77" s="1799" t="s">
        <v>2012</v>
      </c>
      <c r="E77" s="1796"/>
      <c r="F77" s="1802">
        <f>(F14-F76)</f>
        <v>3501195</v>
      </c>
      <c r="G77" s="870"/>
    </row>
    <row r="78" spans="1:8" s="894" customFormat="1" ht="12" customHeight="1" thickTop="1" x14ac:dyDescent="0.2">
      <c r="A78" s="1803"/>
      <c r="B78" s="1798"/>
      <c r="C78" s="1794"/>
      <c r="D78" s="1799" t="s">
        <v>2059</v>
      </c>
      <c r="E78" s="1796"/>
      <c r="F78" s="899">
        <v>274</v>
      </c>
      <c r="G78" s="900"/>
      <c r="H78" s="870"/>
    </row>
    <row r="79" spans="1:8" s="894" customFormat="1" ht="12" customHeight="1" thickBot="1" x14ac:dyDescent="0.25">
      <c r="A79" s="1804"/>
      <c r="B79" s="1798"/>
      <c r="C79" s="1794"/>
      <c r="D79" s="1799" t="s">
        <v>2013</v>
      </c>
      <c r="E79" s="1796" t="s">
        <v>1015</v>
      </c>
      <c r="F79" s="1805">
        <f>IF(F78&gt;0,F77/F78," Complete Line 78")</f>
        <v>12778.083941605839</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54989</v>
      </c>
      <c r="G94" s="913"/>
    </row>
    <row r="95" spans="1:7" x14ac:dyDescent="0.2">
      <c r="A95" s="909" t="s">
        <v>142</v>
      </c>
      <c r="B95" s="909" t="s">
        <v>177</v>
      </c>
      <c r="C95" s="911">
        <v>1700</v>
      </c>
      <c r="D95" s="919" t="str">
        <f>'Revenues 9-14'!A82</f>
        <v>Total District/School Activity Income</v>
      </c>
      <c r="E95" s="907"/>
      <c r="F95" s="1811">
        <f>SUM('Revenues 9-14'!C82,'Revenues 9-14'!D82)</f>
        <v>9419</v>
      </c>
      <c r="G95" s="913"/>
    </row>
    <row r="96" spans="1:7" x14ac:dyDescent="0.2">
      <c r="A96" s="909" t="s">
        <v>479</v>
      </c>
      <c r="B96" s="909" t="s">
        <v>178</v>
      </c>
      <c r="C96" s="911">
        <f>'Revenues 9-14'!B84</f>
        <v>1811</v>
      </c>
      <c r="D96" s="912" t="str">
        <f>'Revenues 9-14'!A84</f>
        <v>Rentals - Regular Textbooks</v>
      </c>
      <c r="E96" s="907"/>
      <c r="F96" s="1811">
        <f>'Revenues 9-14'!C84</f>
        <v>7175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20220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105372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4666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958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3748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227287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18467</v>
      </c>
      <c r="G128" s="931"/>
    </row>
    <row r="129" spans="1:7" x14ac:dyDescent="0.2">
      <c r="A129" s="928" t="s">
        <v>685</v>
      </c>
      <c r="B129" s="928" t="s">
        <v>803</v>
      </c>
      <c r="C129" s="933">
        <v>4200</v>
      </c>
      <c r="D129" s="930" t="str">
        <f>'Revenues 9-14'!A201</f>
        <v>Total Food Service</v>
      </c>
      <c r="E129" s="907"/>
      <c r="F129" s="1811">
        <f>SUM('Revenues 9-14'!C201,'Revenues 9-14'!G201)</f>
        <v>66538</v>
      </c>
      <c r="G129" s="931"/>
    </row>
    <row r="130" spans="1:7" x14ac:dyDescent="0.2">
      <c r="A130" s="928" t="s">
        <v>689</v>
      </c>
      <c r="B130" s="928" t="s">
        <v>804</v>
      </c>
      <c r="C130" s="933">
        <v>4300</v>
      </c>
      <c r="D130" s="934" t="str">
        <f>'Revenues 9-14'!A211</f>
        <v>Total Title I</v>
      </c>
      <c r="E130" s="907"/>
      <c r="F130" s="1811">
        <f>SUM('Revenues 9-14'!C211,'Revenues 9-14'!D211,'Revenues 9-14'!F211,'Revenues 9-14'!G211)</f>
        <v>77827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12148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7993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5565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96834</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720706</v>
      </c>
    </row>
    <row r="179" spans="1:7" ht="12" customHeight="1" x14ac:dyDescent="0.2">
      <c r="A179" s="1792"/>
      <c r="B179" s="1806"/>
      <c r="C179" s="1807"/>
      <c r="D179" s="1808" t="s">
        <v>2015</v>
      </c>
      <c r="E179" s="1809"/>
      <c r="F179" s="1811">
        <f>'PCTC-OEPP 27-28'!F77-F178</f>
        <v>2780489</v>
      </c>
    </row>
    <row r="180" spans="1:7" ht="12" customHeight="1" x14ac:dyDescent="0.2">
      <c r="A180" s="1792"/>
      <c r="B180" s="1806"/>
      <c r="C180" s="1807"/>
      <c r="D180" s="1808" t="s">
        <v>1924</v>
      </c>
      <c r="E180" s="1809"/>
      <c r="F180" s="1811">
        <f>'Cap Outlay Deprec 26'!I18</f>
        <v>64695</v>
      </c>
    </row>
    <row r="181" spans="1:7" ht="12" customHeight="1" x14ac:dyDescent="0.2">
      <c r="A181" s="1792"/>
      <c r="B181" s="1806"/>
      <c r="C181" s="1807"/>
      <c r="D181" s="1808" t="s">
        <v>2016</v>
      </c>
      <c r="E181" s="1809"/>
      <c r="F181" s="1811">
        <f>F179+F180</f>
        <v>2845184</v>
      </c>
    </row>
    <row r="182" spans="1:7" ht="12" customHeight="1" x14ac:dyDescent="0.2">
      <c r="A182" s="1792"/>
      <c r="B182" s="1812"/>
      <c r="C182" s="1807"/>
      <c r="D182" s="1808" t="str">
        <f>D78</f>
        <v>9 Month ADA from District Average Daily Attendance/Prior General State Aid Inquiry 2017-2018</v>
      </c>
      <c r="E182" s="1809"/>
      <c r="F182" s="1813">
        <f>'PCTC-OEPP 27-28'!F78</f>
        <v>274</v>
      </c>
      <c r="G182" s="931"/>
    </row>
    <row r="183" spans="1:7" ht="12" customHeight="1" thickBot="1" x14ac:dyDescent="0.25">
      <c r="A183" s="1792"/>
      <c r="B183" s="1812"/>
      <c r="C183" s="1807"/>
      <c r="D183" s="1808" t="s">
        <v>2017</v>
      </c>
      <c r="E183" s="1809" t="s">
        <v>1626</v>
      </c>
      <c r="F183" s="1814">
        <f>F181/F182</f>
        <v>10383.883211678833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oddHeader>&amp;L&amp;8Page &amp;P&amp;C &amp;R&amp;8Page &amp;P</oddHeader>
    <oddFooter>&amp;L&amp;8See Notes to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H19" sqref="H19"/>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2104</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9" sqref="F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84793</v>
      </c>
      <c r="F10" s="975"/>
      <c r="G10" s="976"/>
      <c r="H10" s="162"/>
      <c r="I10" s="162"/>
    </row>
    <row r="11" spans="1:9" s="669" customFormat="1" ht="22.5" customHeight="1" x14ac:dyDescent="0.2">
      <c r="A11" s="2304" t="s">
        <v>1945</v>
      </c>
      <c r="B11" s="2305"/>
      <c r="C11" s="2305"/>
      <c r="D11" s="2306"/>
      <c r="E11" s="978">
        <v>12650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1930565</v>
      </c>
      <c r="F19" s="1822"/>
      <c r="G19" s="1824">
        <f>'Expenditures 15-22'!K33-SUM('Expenditures 15-22'!G33,'Expenditures 15-22'!I33)+'Expenditures 15-22'!D229</f>
        <v>1930565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166990</v>
      </c>
      <c r="F21" s="1825"/>
      <c r="G21" s="1828">
        <f>'Expenditures 15-22'!K42-SUM('Expenditures 15-22'!G42,'Expenditures 15-22'!I42)+'Expenditures 15-22'!K120-SUM('Expenditures 15-22'!G120,'Expenditures 15-22'!I120)+'Expenditures 15-22'!K180-SUM('Expenditures 15-22'!G180,'Expenditures 15-22'!I180)+'Expenditures 15-22'!D238</f>
        <v>166990</v>
      </c>
      <c r="H21" s="988"/>
      <c r="I21" s="162"/>
    </row>
    <row r="22" spans="1:9" s="669" customFormat="1" ht="12" customHeight="1" x14ac:dyDescent="0.2">
      <c r="A22" s="995" t="s">
        <v>585</v>
      </c>
      <c r="B22" s="996"/>
      <c r="C22" s="994">
        <v>2200</v>
      </c>
      <c r="D22" s="1825"/>
      <c r="E22" s="1827">
        <f>'Expenditures 15-22'!K47-SUM('Expenditures 15-22'!G47,'Expenditures 15-22'!I47)+'Expenditures 15-22'!D243</f>
        <v>53682</v>
      </c>
      <c r="F22" s="1825"/>
      <c r="G22" s="1828">
        <f>'Expenditures 15-22'!K47-SUM('Expenditures 15-22'!G47,'Expenditures 15-22'!I47)+'Expenditures 15-22'!D243</f>
        <v>53682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227314</v>
      </c>
      <c r="F23" s="1825"/>
      <c r="G23" s="1827">
        <f>'Expenditures 15-22'!K53-SUM('Expenditures 15-22'!G53,'Expenditures 15-22'!I53)+'Expenditures 15-22'!D257+'Expenditures 15-22'!K330-SUM('Expenditures 15-22'!G330,'Expenditures 15-22'!I330)</f>
        <v>227314</v>
      </c>
      <c r="H23" s="988"/>
      <c r="I23" s="162"/>
    </row>
    <row r="24" spans="1:9" s="669" customFormat="1" ht="12" customHeight="1" x14ac:dyDescent="0.2">
      <c r="A24" s="995" t="s">
        <v>587</v>
      </c>
      <c r="B24" s="996"/>
      <c r="C24" s="994">
        <v>2400</v>
      </c>
      <c r="D24" s="1825"/>
      <c r="E24" s="1827">
        <f>'Expenditures 15-22'!K57-SUM('Expenditures 15-22'!G57,'Expenditures 15-22'!I57)+'Expenditures 15-22'!D261</f>
        <v>233573</v>
      </c>
      <c r="F24" s="1825"/>
      <c r="G24" s="1828">
        <f>'Expenditures 15-22'!K57-SUM('Expenditures 15-22'!G57,'Expenditures 15-22'!I57)+'Expenditures 15-22'!D261</f>
        <v>233573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60778</v>
      </c>
      <c r="E27" s="1827">
        <f>E8</f>
        <v>0</v>
      </c>
      <c r="F27" s="1827">
        <f>'Expenditures 15-22'!K60-SUM('Expenditures 15-22'!G60,'Expenditures 15-22'!I60)+'Expenditures 15-22'!D264-E8</f>
        <v>60778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434488</v>
      </c>
      <c r="F28" s="1829">
        <f>'Expenditures 15-22'!K61-SUM('Expenditures 15-22'!G61,'Expenditures 15-22'!I61)+'Expenditures 15-22'!K124-SUM('Expenditures 15-22'!G124,'Expenditures 15-22'!I124)+'Expenditures 15-22'!D266-E9</f>
        <v>434488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237766</v>
      </c>
      <c r="F29" s="1825"/>
      <c r="G29" s="1828">
        <f>'Expenditures 15-22'!K62-SUM('Expenditures 15-22'!G62,'Expenditures 15-22'!I62)+'Expenditures 15-22'!K125-SUM('Expenditures 15-22'!G125,'Expenditures 15-22'!I125)+'Expenditures 15-22'!K182-SUM('Expenditures 15-22'!G182,'Expenditures 15-22'!I182)+'Expenditures 15-22'!D267</f>
        <v>237766</v>
      </c>
      <c r="H29" s="986"/>
    </row>
    <row r="30" spans="1:9" ht="12" customHeight="1" x14ac:dyDescent="0.2">
      <c r="A30" s="995" t="s">
        <v>102</v>
      </c>
      <c r="B30" s="998"/>
      <c r="C30" s="994">
        <v>2560</v>
      </c>
      <c r="D30" s="1825"/>
      <c r="E30" s="1827">
        <f>'Expenditures 15-22'!K63-SUM('Expenditures 15-22'!G63,'Expenditures 15-22'!I63)+'Expenditures 15-22'!D268-E10</f>
        <v>99416</v>
      </c>
      <c r="F30" s="1825"/>
      <c r="G30" s="1827">
        <f>'Expenditures 15-22'!K63-SUM('Expenditures 15-22'!G63,'Expenditures 15-22'!I63)+'Expenditures 15-22'!D268-E10</f>
        <v>99416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1517</v>
      </c>
      <c r="E36" s="1827">
        <f>E13</f>
        <v>0</v>
      </c>
      <c r="F36" s="1827">
        <f>'Expenditures 15-22'!K70-SUM('Expenditures 15-22'!G70,'Expenditures 15-22'!I70)+'Expenditures 15-22'!D275-E13</f>
        <v>1517</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62295</v>
      </c>
      <c r="E41" s="1829">
        <f>SUM(E19:E40)</f>
        <v>3383794</v>
      </c>
      <c r="F41" s="1829">
        <f>SUM(F19:F39)</f>
        <v>496783</v>
      </c>
      <c r="G41" s="1829">
        <f>SUM(G19:G40)</f>
        <v>2949306</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62295</v>
      </c>
      <c r="F43" s="1830" t="s">
        <v>495</v>
      </c>
      <c r="G43" s="1831">
        <f>F41</f>
        <v>496783</v>
      </c>
    </row>
    <row r="44" spans="1:7" ht="12" customHeight="1" x14ac:dyDescent="0.2">
      <c r="A44" s="988"/>
      <c r="B44" s="162"/>
      <c r="C44" s="1002"/>
      <c r="D44" s="1830" t="s">
        <v>494</v>
      </c>
      <c r="E44" s="1831">
        <f>E41</f>
        <v>3383794</v>
      </c>
      <c r="F44" s="1830" t="s">
        <v>494</v>
      </c>
      <c r="G44" s="1831">
        <f>G41</f>
        <v>2949306</v>
      </c>
    </row>
    <row r="45" spans="1:7" ht="12" customHeight="1" x14ac:dyDescent="0.2">
      <c r="A45" s="988"/>
      <c r="B45" s="162"/>
      <c r="C45" s="162"/>
      <c r="D45" s="1832" t="s">
        <v>1063</v>
      </c>
      <c r="E45" s="1833">
        <f>(E43/E44)</f>
        <v>1.8409808634922812E-2</v>
      </c>
      <c r="F45" s="1832" t="s">
        <v>1063</v>
      </c>
      <c r="G45" s="1833">
        <f>(G43/G44)</f>
        <v>0.16844064332422612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19" sqref="H19"/>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Franklin CUSD 1</v>
      </c>
      <c r="D6" s="2326"/>
      <c r="E6" s="2326"/>
      <c r="F6" s="1877"/>
    </row>
    <row r="7" spans="1:10" ht="11.25" customHeight="1" thickBot="1" x14ac:dyDescent="0.3">
      <c r="A7" s="1875"/>
      <c r="B7" s="1876"/>
      <c r="C7" s="2327">
        <f>COVER!A13</f>
        <v>1069001026</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2097</v>
      </c>
      <c r="D13" s="1890" t="s">
        <v>2097</v>
      </c>
      <c r="E13" s="1893" t="s">
        <v>2097</v>
      </c>
      <c r="F13" s="1892" t="s">
        <v>2096</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2097</v>
      </c>
      <c r="D25" s="1890" t="s">
        <v>2097</v>
      </c>
      <c r="E25" s="1893" t="s">
        <v>2097</v>
      </c>
      <c r="F25" s="1892" t="s">
        <v>2096</v>
      </c>
      <c r="H25" s="1903">
        <f t="shared" si="0"/>
        <v>5</v>
      </c>
      <c r="I25" s="1903">
        <f t="shared" si="1"/>
        <v>5</v>
      </c>
      <c r="J25" s="1903">
        <f t="shared" si="2"/>
        <v>5</v>
      </c>
    </row>
    <row r="26" spans="1:12" ht="12" customHeight="1" x14ac:dyDescent="0.2">
      <c r="A26" s="1888" t="s">
        <v>1615</v>
      </c>
      <c r="B26" s="1889"/>
      <c r="C26" s="1890" t="s">
        <v>2097</v>
      </c>
      <c r="D26" s="1890" t="s">
        <v>2097</v>
      </c>
      <c r="E26" s="1893" t="s">
        <v>2097</v>
      </c>
      <c r="F26" s="1892" t="s">
        <v>2098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2097</v>
      </c>
      <c r="D31" s="1890" t="s">
        <v>2097</v>
      </c>
      <c r="E31" s="1893" t="s">
        <v>2097</v>
      </c>
      <c r="F31" s="1892" t="s">
        <v>2100</v>
      </c>
      <c r="H31" s="1903">
        <f t="shared" si="0"/>
        <v>5</v>
      </c>
      <c r="I31" s="1903">
        <f t="shared" si="1"/>
        <v>5</v>
      </c>
      <c r="J31" s="1903">
        <f t="shared" si="2"/>
        <v>5</v>
      </c>
      <c r="L31" s="1894"/>
    </row>
    <row r="32" spans="1:12" ht="12" customHeight="1" x14ac:dyDescent="0.2">
      <c r="A32" s="1888" t="s">
        <v>1621</v>
      </c>
      <c r="B32" s="1889"/>
      <c r="C32" s="1890" t="s">
        <v>2097</v>
      </c>
      <c r="D32" s="1890" t="s">
        <v>2097</v>
      </c>
      <c r="E32" s="1893" t="s">
        <v>2097</v>
      </c>
      <c r="F32" s="1892" t="s">
        <v>2101</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28"/>
      <c r="D35" s="2328"/>
      <c r="E35" s="2328"/>
      <c r="F35" s="2329"/>
    </row>
    <row r="36" spans="1:11" ht="12" customHeight="1" x14ac:dyDescent="0.2">
      <c r="A36" s="2321" t="s">
        <v>2099</v>
      </c>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Franklin CUSD 1</v>
      </c>
      <c r="J6" s="2336"/>
      <c r="Q6" s="1686"/>
    </row>
    <row r="7" spans="1:17" x14ac:dyDescent="0.2">
      <c r="A7" s="2337" t="s">
        <v>924</v>
      </c>
      <c r="B7" s="2338"/>
      <c r="C7" s="2338"/>
      <c r="D7" s="2338"/>
      <c r="E7" s="2339"/>
      <c r="F7" s="1018"/>
      <c r="G7" s="1010"/>
      <c r="H7" s="1017" t="s">
        <v>390</v>
      </c>
      <c r="I7" s="2340">
        <f>COVER!A13</f>
        <v>1069001026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127601</v>
      </c>
      <c r="F12" s="1040"/>
      <c r="G12" s="1834">
        <f t="shared" ref="G12:G18" si="0">SUM(E12:F12)</f>
        <v>127601</v>
      </c>
      <c r="H12" s="1041">
        <v>127100</v>
      </c>
      <c r="I12" s="1040"/>
      <c r="J12" s="1834">
        <f t="shared" ref="J12:J18" si="1">SUM(H12:I12)</f>
        <v>127100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58348</v>
      </c>
      <c r="F14" s="1040"/>
      <c r="G14" s="1834">
        <f t="shared" si="0"/>
        <v>58348</v>
      </c>
      <c r="H14" s="1041">
        <v>66640</v>
      </c>
      <c r="I14" s="1040"/>
      <c r="J14" s="1834">
        <f t="shared" si="1"/>
        <v>66640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185949</v>
      </c>
      <c r="F19" s="1836">
        <f t="shared" si="2"/>
        <v>0</v>
      </c>
      <c r="G19" s="1836">
        <f t="shared" si="2"/>
        <v>185949</v>
      </c>
      <c r="H19" s="1836">
        <f t="shared" si="2"/>
        <v>193740</v>
      </c>
      <c r="I19" s="1836">
        <f t="shared" si="2"/>
        <v>0</v>
      </c>
      <c r="J19" s="1836">
        <f t="shared" si="2"/>
        <v>193740</v>
      </c>
    </row>
    <row r="20" spans="1:10" ht="13.5" thickTop="1" x14ac:dyDescent="0.2">
      <c r="A20" s="1036">
        <v>9</v>
      </c>
      <c r="B20" s="2347" t="s">
        <v>1703</v>
      </c>
      <c r="C20" s="2347"/>
      <c r="D20" s="2348"/>
      <c r="E20" s="1047"/>
      <c r="F20" s="1047"/>
      <c r="G20" s="1047"/>
      <c r="H20" s="1047"/>
      <c r="I20" s="1047"/>
      <c r="J20" s="1837">
        <f>IF(AND(G19&gt;0,J19&gt;0),(((J19-G19)/G19)),"Enter Budget Data")</f>
        <v>4.1898585095913397E-2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43" sqref="B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2106</v>
      </c>
    </row>
    <row r="6" spans="1:2" x14ac:dyDescent="0.2">
      <c r="B6" s="329" t="s">
        <v>2107</v>
      </c>
    </row>
    <row r="7" spans="1:2" x14ac:dyDescent="0.2">
      <c r="A7" s="1069">
        <v>2</v>
      </c>
      <c r="B7" s="329" t="s">
        <v>2102</v>
      </c>
    </row>
    <row r="8" spans="1:2" x14ac:dyDescent="0.2">
      <c r="A8" s="1069"/>
      <c r="B8" s="329" t="s">
        <v>2108</v>
      </c>
    </row>
    <row r="9" spans="1:2" x14ac:dyDescent="0.2">
      <c r="A9" s="1069">
        <v>3</v>
      </c>
      <c r="B9" s="329" t="s">
        <v>2103</v>
      </c>
    </row>
    <row r="10" spans="1:2" x14ac:dyDescent="0.2">
      <c r="A10" s="1069"/>
      <c r="B10" s="329" t="s">
        <v>2109</v>
      </c>
    </row>
    <row r="11" spans="1:2" x14ac:dyDescent="0.2">
      <c r="A11" s="1069"/>
      <c r="B11" s="329" t="s">
        <v>2110</v>
      </c>
    </row>
    <row r="12" spans="1:2" x14ac:dyDescent="0.2">
      <c r="A12" s="1069">
        <v>4</v>
      </c>
      <c r="B12" s="329" t="s">
        <v>2111</v>
      </c>
    </row>
    <row r="13" spans="1:2" x14ac:dyDescent="0.2">
      <c r="A13" s="1070"/>
      <c r="B13" s="329" t="s">
        <v>2112</v>
      </c>
    </row>
    <row r="14" spans="1:2" x14ac:dyDescent="0.2">
      <c r="A14" s="1070"/>
      <c r="B14" s="329" t="s">
        <v>2113</v>
      </c>
    </row>
    <row r="15" spans="1:2" x14ac:dyDescent="0.2">
      <c r="A15" s="1070"/>
      <c r="B15" s="329" t="s">
        <v>2114</v>
      </c>
    </row>
    <row r="16" spans="1:2" x14ac:dyDescent="0.2">
      <c r="A16" s="1070">
        <v>5</v>
      </c>
      <c r="B16" s="329" t="s">
        <v>2116</v>
      </c>
    </row>
    <row r="17" spans="1:2" x14ac:dyDescent="0.2">
      <c r="A17" s="1070"/>
      <c r="B17" s="329" t="s">
        <v>2117</v>
      </c>
    </row>
    <row r="18" spans="1:2" x14ac:dyDescent="0.2">
      <c r="A18" s="1070">
        <v>6</v>
      </c>
      <c r="B18" s="329" t="s">
        <v>2105</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Franklin CUSD 1</v>
      </c>
    </row>
    <row r="65" spans="2:2" x14ac:dyDescent="0.2">
      <c r="B65" s="1071">
        <f>COVER!A13</f>
        <v>1069001026</v>
      </c>
    </row>
  </sheetData>
  <phoneticPr fontId="14" type="noConversion"/>
  <pageMargins left="0.2" right="0.2" top="1.17" bottom="0.75" header="0.19" footer="0.16"/>
  <pageSetup scale="80" firstPageNumber="32" orientation="portrait" useFirstPageNumber="1" r:id="rId1"/>
  <headerFooter>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1371600</xdr:colOff>
                <xdr:row>5</xdr:row>
                <xdr:rowOff>152400</xdr:rowOff>
              </from>
              <to>
                <xdr:col>1</xdr:col>
                <xdr:colOff>2286000</xdr:colOff>
                <xdr:row>10</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333375</xdr:colOff>
                <xdr:row>6</xdr:row>
                <xdr:rowOff>0</xdr:rowOff>
              </from>
              <to>
                <xdr:col>1</xdr:col>
                <xdr:colOff>1247775</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2438400</xdr:colOff>
                <xdr:row>6</xdr:row>
                <xdr:rowOff>9525</xdr:rowOff>
              </from>
              <to>
                <xdr:col>1</xdr:col>
                <xdr:colOff>3352800</xdr:colOff>
                <xdr:row>10</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3438525</xdr:colOff>
                <xdr:row>6</xdr:row>
                <xdr:rowOff>19050</xdr:rowOff>
              </from>
              <to>
                <xdr:col>2</xdr:col>
                <xdr:colOff>371475</xdr:colOff>
                <xdr:row>10</xdr:row>
                <xdr:rowOff>57150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2916697</v>
      </c>
      <c r="C8" s="1838">
        <f>'Acct Summary 7-8'!D8</f>
        <v>450675</v>
      </c>
      <c r="D8" s="1838">
        <f>'Acct Summary 7-8'!F8</f>
        <v>372126</v>
      </c>
      <c r="E8" s="1838">
        <f>'Acct Summary 7-8'!I8</f>
        <v>33552</v>
      </c>
      <c r="F8" s="1838">
        <f>SUM(B8:E8)</f>
        <v>3773050</v>
      </c>
    </row>
    <row r="9" spans="1:8" s="1080" customFormat="1" ht="14.25" customHeight="1" thickBot="1" x14ac:dyDescent="0.25">
      <c r="A9" s="1079" t="s">
        <v>1436</v>
      </c>
      <c r="B9" s="1839">
        <f>'Acct Summary 7-8'!C17</f>
        <v>2931267</v>
      </c>
      <c r="C9" s="1839">
        <f>'Acct Summary 7-8'!D17</f>
        <v>413966</v>
      </c>
      <c r="D9" s="1839">
        <f>'Acct Summary 7-8'!F17</f>
        <v>269948</v>
      </c>
      <c r="E9" s="1838"/>
      <c r="F9" s="1838">
        <f>SUM(B9:E9)</f>
        <v>3615181</v>
      </c>
    </row>
    <row r="10" spans="1:8" s="1080" customFormat="1" ht="14.25" thickTop="1" thickBot="1" x14ac:dyDescent="0.25">
      <c r="A10" s="1081" t="s">
        <v>1437</v>
      </c>
      <c r="B10" s="1840">
        <f>(B8-B9)</f>
        <v>-14570</v>
      </c>
      <c r="C10" s="1840">
        <f>(C8-C9)</f>
        <v>36709</v>
      </c>
      <c r="D10" s="1840">
        <f>(D8-D9)</f>
        <v>102178</v>
      </c>
      <c r="E10" s="1839">
        <f>(E8-E9)</f>
        <v>33552</v>
      </c>
      <c r="F10" s="1841">
        <f>SUM(F8-F9)</f>
        <v>157869</v>
      </c>
    </row>
    <row r="11" spans="1:8" s="1080" customFormat="1" ht="14.25" thickTop="1" thickBot="1" x14ac:dyDescent="0.25">
      <c r="A11" s="1082" t="s">
        <v>1785</v>
      </c>
      <c r="B11" s="1842">
        <f>'Acct Summary 7-8'!C81</f>
        <v>747534</v>
      </c>
      <c r="C11" s="1842">
        <f>'Acct Summary 7-8'!D81</f>
        <v>91473</v>
      </c>
      <c r="D11" s="1842">
        <f>'Acct Summary 7-8'!F81</f>
        <v>1153134</v>
      </c>
      <c r="E11" s="1842">
        <f>'Acct Summary 7-8'!I81</f>
        <v>1201427</v>
      </c>
      <c r="F11" s="1843">
        <f>SUM(B11:E11)</f>
        <v>3193568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1069001026</v>
      </c>
    </row>
    <row r="3" spans="1:2" x14ac:dyDescent="0.2">
      <c r="A3" t="s">
        <v>1013</v>
      </c>
      <c r="B3" s="138" t="str">
        <f>COVER!A15</f>
        <v>Morgan</v>
      </c>
    </row>
    <row r="4" spans="1:2" x14ac:dyDescent="0.2">
      <c r="A4" t="s">
        <v>1064</v>
      </c>
      <c r="B4" s="138" t="str">
        <f>COVER!A17</f>
        <v>Franklin CUSD 1</v>
      </c>
    </row>
    <row r="5" spans="1:2" x14ac:dyDescent="0.2">
      <c r="A5" t="s">
        <v>728</v>
      </c>
      <c r="B5" s="138" t="str">
        <f>COVER!A38</f>
        <v>Curt Simonson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066.005101</v>
      </c>
    </row>
    <row r="16" spans="1:2" x14ac:dyDescent="0.2">
      <c r="A16" t="s">
        <v>442</v>
      </c>
      <c r="B16" s="138" t="str">
        <f>COVER!T13</f>
        <v>Scheffel Boyle</v>
      </c>
    </row>
    <row r="17" spans="1:2" x14ac:dyDescent="0.2">
      <c r="A17" t="s">
        <v>939</v>
      </c>
      <c r="B17" s="138" t="str">
        <f>COVER!T15</f>
        <v>Danny Phipps, CPA</v>
      </c>
    </row>
    <row r="18" spans="1:2" x14ac:dyDescent="0.2">
      <c r="A18" t="s">
        <v>1212</v>
      </c>
      <c r="B18" s="138" t="str">
        <f>COVER!T17</f>
        <v>106 W. County Road</v>
      </c>
    </row>
    <row r="19" spans="1:2" x14ac:dyDescent="0.2">
      <c r="A19" t="s">
        <v>941</v>
      </c>
      <c r="B19" s="138">
        <f>COVER!T25</f>
        <v>0</v>
      </c>
    </row>
    <row r="20" spans="1:2" x14ac:dyDescent="0.2">
      <c r="A20" t="s">
        <v>942</v>
      </c>
      <c r="B20" s="138" t="str">
        <f>COVER!T19</f>
        <v>Jerseyville</v>
      </c>
    </row>
    <row r="21" spans="1:2" x14ac:dyDescent="0.2">
      <c r="A21" t="s">
        <v>500</v>
      </c>
      <c r="B21" s="138" t="str">
        <f>COVER!X19</f>
        <v>IL</v>
      </c>
    </row>
    <row r="22" spans="1:2" x14ac:dyDescent="0.2">
      <c r="A22" t="s">
        <v>943</v>
      </c>
      <c r="B22" s="138">
        <f>COVER!Z19</f>
        <v>62052</v>
      </c>
    </row>
    <row r="23" spans="1:2" x14ac:dyDescent="0.2">
      <c r="A23" t="s">
        <v>1214</v>
      </c>
      <c r="B23" s="138" t="str">
        <f>COVER!T21</f>
        <v>618-498-6841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1817569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238</v>
      </c>
      <c r="D86" s="2" t="str">
        <f t="shared" si="0"/>
        <v>Error?</v>
      </c>
    </row>
    <row r="87" spans="1:4" x14ac:dyDescent="0.2">
      <c r="A87" s="10">
        <v>26</v>
      </c>
      <c r="D87" s="2" t="str">
        <f t="shared" si="0"/>
        <v>OK</v>
      </c>
    </row>
    <row r="88" spans="1:4" x14ac:dyDescent="0.2">
      <c r="A88" s="5">
        <v>27</v>
      </c>
      <c r="B88" s="138">
        <f>'Assets-Liab 5-6'!C32</f>
        <v>1069797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1070035</v>
      </c>
      <c r="C91" s="2" t="s">
        <v>594</v>
      </c>
      <c r="D91" s="2" t="str">
        <f t="shared" si="0"/>
        <v>Error?</v>
      </c>
    </row>
    <row r="92" spans="1:4" x14ac:dyDescent="0.2">
      <c r="A92" s="5">
        <v>31</v>
      </c>
      <c r="B92" s="138">
        <f>'Assets-Liab 5-6'!C39</f>
        <v>747534</v>
      </c>
      <c r="D92" s="2" t="str">
        <f t="shared" si="0"/>
        <v>Error?</v>
      </c>
    </row>
    <row r="93" spans="1:4" x14ac:dyDescent="0.2">
      <c r="A93" s="5">
        <v>32</v>
      </c>
      <c r="B93" s="138">
        <f>'Assets-Liab 5-6'!C41</f>
        <v>1817569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106287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14814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14814</v>
      </c>
      <c r="C122" s="2" t="s">
        <v>594</v>
      </c>
      <c r="D122" s="2" t="str">
        <f t="shared" si="0"/>
        <v>Error?</v>
      </c>
    </row>
    <row r="123" spans="1:4" x14ac:dyDescent="0.2">
      <c r="A123" s="5">
        <v>62</v>
      </c>
      <c r="B123" s="138">
        <f>'Assets-Liab 5-6'!D39</f>
        <v>91473</v>
      </c>
      <c r="D123" s="2" t="str">
        <f t="shared" si="0"/>
        <v>Error?</v>
      </c>
    </row>
    <row r="124" spans="1:4" x14ac:dyDescent="0.2">
      <c r="A124" s="5">
        <v>63</v>
      </c>
      <c r="B124" s="138">
        <f>'Assets-Liab 5-6'!D41</f>
        <v>106287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133159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133159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133159</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133159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1202514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49380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49380</v>
      </c>
      <c r="C169" s="2" t="s">
        <v>594</v>
      </c>
      <c r="D169" s="2" t="str">
        <f t="shared" si="1"/>
        <v>Error?</v>
      </c>
    </row>
    <row r="170" spans="1:4" x14ac:dyDescent="0.2">
      <c r="A170" s="5">
        <v>109</v>
      </c>
      <c r="B170" s="138">
        <f>'Assets-Liab 5-6'!F39</f>
        <v>1153134</v>
      </c>
      <c r="D170" s="2" t="str">
        <f t="shared" si="1"/>
        <v>Error?</v>
      </c>
    </row>
    <row r="171" spans="1:4" x14ac:dyDescent="0.2">
      <c r="A171" s="5">
        <v>110</v>
      </c>
      <c r="B171" s="138">
        <f>'Assets-Liab 5-6'!F41</f>
        <v>1202514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108528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70601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70601</v>
      </c>
      <c r="C188" s="2" t="s">
        <v>594</v>
      </c>
      <c r="D188" s="2" t="str">
        <f t="shared" si="1"/>
        <v>Error?</v>
      </c>
    </row>
    <row r="189" spans="1:4" x14ac:dyDescent="0.2">
      <c r="A189" s="5">
        <v>128</v>
      </c>
      <c r="B189" s="138">
        <f>'Assets-Liab 5-6'!G39</f>
        <v>37927</v>
      </c>
      <c r="D189" s="2" t="str">
        <f t="shared" si="1"/>
        <v>Error?</v>
      </c>
    </row>
    <row r="190" spans="1:4" x14ac:dyDescent="0.2">
      <c r="A190" s="5">
        <v>129</v>
      </c>
      <c r="B190" s="138">
        <f>'Assets-Liab 5-6'!G41</f>
        <v>108528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3144930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371945</v>
      </c>
      <c r="D212" s="2" t="str">
        <f t="shared" si="2"/>
        <v>Error?</v>
      </c>
    </row>
    <row r="213" spans="1:4" x14ac:dyDescent="0.2">
      <c r="A213" s="12">
        <v>152</v>
      </c>
      <c r="B213" s="138">
        <f>'Assets-Liab 5-6'!H41</f>
        <v>3144930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17486</v>
      </c>
      <c r="D273" s="2" t="str">
        <f t="shared" si="3"/>
        <v>Error?</v>
      </c>
    </row>
    <row r="274" spans="1:4" x14ac:dyDescent="0.2">
      <c r="A274" s="5">
        <v>213</v>
      </c>
      <c r="B274" s="138">
        <f>'Assets-Liab 5-6'!M17</f>
        <v>1496973</v>
      </c>
      <c r="D274" s="2" t="str">
        <f t="shared" si="3"/>
        <v>Error?</v>
      </c>
    </row>
    <row r="275" spans="1:4" x14ac:dyDescent="0.2">
      <c r="A275" s="5">
        <v>214</v>
      </c>
      <c r="B275" s="138">
        <f>'Assets-Liab 5-6'!M18</f>
        <v>45278</v>
      </c>
      <c r="D275" s="2" t="str">
        <f t="shared" si="3"/>
        <v>Error?</v>
      </c>
    </row>
    <row r="276" spans="1:4" x14ac:dyDescent="0.2">
      <c r="A276" s="5">
        <v>215</v>
      </c>
      <c r="B276" s="138">
        <f>'Assets-Liab 5-6'!M19</f>
        <v>1665862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7573945</v>
      </c>
      <c r="C279" s="2" t="s">
        <v>594</v>
      </c>
      <c r="D279" s="2" t="str">
        <f t="shared" si="3"/>
        <v>Error?</v>
      </c>
    </row>
    <row r="280" spans="1:4" x14ac:dyDescent="0.2">
      <c r="A280" s="5">
        <v>219</v>
      </c>
      <c r="B280" s="138">
        <f>'Assets-Liab 5-6'!M40</f>
        <v>7573945</v>
      </c>
      <c r="D280" s="2" t="str">
        <f t="shared" si="3"/>
        <v>Error?</v>
      </c>
    </row>
    <row r="281" spans="1:4" x14ac:dyDescent="0.2">
      <c r="A281" s="5">
        <v>220</v>
      </c>
      <c r="B281" s="138">
        <f>'Assets-Liab 5-6'!M41</f>
        <v>7573945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6280000</v>
      </c>
      <c r="D283" s="2" t="str">
        <f t="shared" si="3"/>
        <v>Error?</v>
      </c>
    </row>
    <row r="284" spans="1:4" x14ac:dyDescent="0.2">
      <c r="A284" s="5">
        <v>223</v>
      </c>
      <c r="B284" s="138">
        <f>'Assets-Liab 5-6'!N23</f>
        <v>6280000</v>
      </c>
      <c r="C284" s="2" t="s">
        <v>594</v>
      </c>
      <c r="D284" s="2" t="str">
        <f t="shared" si="3"/>
        <v>Error?</v>
      </c>
    </row>
    <row r="285" spans="1:4" x14ac:dyDescent="0.2">
      <c r="A285" s="5">
        <v>224</v>
      </c>
      <c r="B285" s="138">
        <f>'Assets-Liab 5-6'!N36</f>
        <v>6280000</v>
      </c>
      <c r="D285" s="2" t="str">
        <f t="shared" si="3"/>
        <v>Error?</v>
      </c>
    </row>
    <row r="286" spans="1:4" x14ac:dyDescent="0.2">
      <c r="A286" s="10">
        <v>225</v>
      </c>
      <c r="D286" s="2" t="str">
        <f t="shared" si="3"/>
        <v>OK</v>
      </c>
    </row>
    <row r="287" spans="1:4" x14ac:dyDescent="0.2">
      <c r="A287" s="5">
        <v>226</v>
      </c>
      <c r="B287" s="138">
        <f>'Assets-Liab 5-6'!N37</f>
        <v>6280000</v>
      </c>
      <c r="C287" s="2" t="s">
        <v>594</v>
      </c>
      <c r="D287" s="2" t="str">
        <f t="shared" si="3"/>
        <v>Error?</v>
      </c>
    </row>
    <row r="288" spans="1:4" x14ac:dyDescent="0.2">
      <c r="A288" s="5">
        <v>227</v>
      </c>
      <c r="B288" s="138">
        <f>'Assets-Liab 5-6'!N41</f>
        <v>6280000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6280000</v>
      </c>
      <c r="D618" s="2" t="str">
        <f t="shared" si="8"/>
        <v>Error?</v>
      </c>
    </row>
    <row r="619" spans="1:4" x14ac:dyDescent="0.2">
      <c r="A619" s="5">
        <v>558</v>
      </c>
      <c r="B619" s="138">
        <f>'Acct Summary 7-8'!H34</f>
        <v>585070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1010535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69710</v>
      </c>
      <c r="D717" s="2" t="str">
        <f t="shared" si="10"/>
        <v>Error?</v>
      </c>
    </row>
    <row r="718" spans="1:4" x14ac:dyDescent="0.2">
      <c r="A718" s="5">
        <v>657</v>
      </c>
      <c r="B718" s="138">
        <f>'Expenditures 15-22'!C14</f>
        <v>41289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1366786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56942</v>
      </c>
      <c r="D722" s="2" t="str">
        <f t="shared" si="10"/>
        <v>Error?</v>
      </c>
    </row>
    <row r="723" spans="1:4" x14ac:dyDescent="0.2">
      <c r="A723" s="5">
        <v>662</v>
      </c>
      <c r="B723" s="138">
        <f>'Expenditures 15-22'!C38</f>
        <v>11473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43646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112061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21926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21926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98858</v>
      </c>
      <c r="D733" s="2" t="str">
        <f t="shared" si="10"/>
        <v>Error?</v>
      </c>
    </row>
    <row r="734" spans="1:4" x14ac:dyDescent="0.2">
      <c r="A734" s="5">
        <v>673</v>
      </c>
      <c r="B734" s="138">
        <f>'Expenditures 15-22'!C53</f>
        <v>98858</v>
      </c>
      <c r="C734" s="2" t="s">
        <v>594</v>
      </c>
      <c r="D734" s="2" t="str">
        <f t="shared" si="10"/>
        <v>Error?</v>
      </c>
    </row>
    <row r="735" spans="1:4" x14ac:dyDescent="0.2">
      <c r="A735" s="5">
        <v>674</v>
      </c>
      <c r="B735" s="138">
        <f>'Expenditures 15-22'!C55</f>
        <v>110684</v>
      </c>
      <c r="D735" s="2" t="str">
        <f t="shared" si="10"/>
        <v>Error?</v>
      </c>
    </row>
    <row r="736" spans="1:4" x14ac:dyDescent="0.2">
      <c r="A736" s="5">
        <v>675</v>
      </c>
      <c r="B736" s="138">
        <f>'Expenditures 15-22'!C56</f>
        <v>49149</v>
      </c>
      <c r="D736" s="2" t="str">
        <f t="shared" si="10"/>
        <v>Error?</v>
      </c>
    </row>
    <row r="737" spans="1:4" x14ac:dyDescent="0.2">
      <c r="A737" s="5">
        <v>676</v>
      </c>
      <c r="B737" s="138">
        <f>'Expenditures 15-22'!C57</f>
        <v>159833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44958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78635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123593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516271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1883057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252036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14759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338780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13168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23865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6810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6810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23043</v>
      </c>
      <c r="D791" s="2" t="str">
        <f t="shared" si="11"/>
        <v>Error?</v>
      </c>
    </row>
    <row r="792" spans="1:4" x14ac:dyDescent="0.2">
      <c r="A792" s="5">
        <v>731</v>
      </c>
      <c r="B792" s="138">
        <f>'Expenditures 15-22'!D53</f>
        <v>23043</v>
      </c>
      <c r="C792" s="2" t="s">
        <v>594</v>
      </c>
      <c r="D792" s="2" t="str">
        <f t="shared" si="11"/>
        <v>Error?</v>
      </c>
    </row>
    <row r="793" spans="1:4" x14ac:dyDescent="0.2">
      <c r="A793" s="5">
        <v>732</v>
      </c>
      <c r="B793" s="138">
        <f>'Expenditures 15-22'!D55</f>
        <v>38056</v>
      </c>
      <c r="D793" s="2" t="str">
        <f t="shared" si="11"/>
        <v>Error?</v>
      </c>
    </row>
    <row r="794" spans="1:4" x14ac:dyDescent="0.2">
      <c r="A794" s="5">
        <v>733</v>
      </c>
      <c r="B794" s="138">
        <f>'Expenditures 15-22'!D56</f>
        <v>9199</v>
      </c>
      <c r="D794" s="2" t="str">
        <f t="shared" si="11"/>
        <v>Error?</v>
      </c>
    </row>
    <row r="795" spans="1:4" x14ac:dyDescent="0.2">
      <c r="A795" s="5">
        <v>734</v>
      </c>
      <c r="B795" s="138">
        <f>'Expenditures 15-22'!D57</f>
        <v>47255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12381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113354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452134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29813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1464</v>
      </c>
      <c r="D833" s="2" t="str">
        <f t="shared" si="12"/>
        <v>Error?</v>
      </c>
    </row>
    <row r="834" spans="1:4" x14ac:dyDescent="0.2">
      <c r="A834" s="5">
        <v>773</v>
      </c>
      <c r="B834" s="138">
        <f>'Expenditures 15-22'!E14</f>
        <v>7223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39609</v>
      </c>
      <c r="C836" s="2" t="s">
        <v>594</v>
      </c>
      <c r="D836" s="2" t="str">
        <f t="shared" si="12"/>
        <v>Error?</v>
      </c>
    </row>
    <row r="837" spans="1:4" x14ac:dyDescent="0.2">
      <c r="A837" s="5">
        <v>776</v>
      </c>
      <c r="B837" s="138">
        <f>'Expenditures 15-22'!E36</f>
        <v>23667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23667</v>
      </c>
      <c r="C843" s="2" t="s">
        <v>594</v>
      </c>
      <c r="D843" s="2" t="str">
        <f t="shared" si="12"/>
        <v>Error?</v>
      </c>
    </row>
    <row r="844" spans="1:4" x14ac:dyDescent="0.2">
      <c r="A844" s="5">
        <v>783</v>
      </c>
      <c r="B844" s="138">
        <f>'Expenditures 15-22'!E44</f>
        <v>5612</v>
      </c>
      <c r="D844" s="2" t="str">
        <f t="shared" si="12"/>
        <v>Error?</v>
      </c>
    </row>
    <row r="845" spans="1:4" x14ac:dyDescent="0.2">
      <c r="A845" s="5">
        <v>784</v>
      </c>
      <c r="B845" s="138">
        <f>'Expenditures 15-22'!E45</f>
        <v>299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5911</v>
      </c>
      <c r="C847" s="2" t="s">
        <v>594</v>
      </c>
      <c r="D847" s="2" t="str">
        <f t="shared" si="12"/>
        <v>Error?</v>
      </c>
    </row>
    <row r="848" spans="1:4" x14ac:dyDescent="0.2">
      <c r="A848" s="5">
        <v>787</v>
      </c>
      <c r="B848" s="138">
        <f>'Expenditures 15-22'!E49</f>
        <v>39481</v>
      </c>
      <c r="D848" s="2" t="str">
        <f t="shared" si="12"/>
        <v>Error?</v>
      </c>
    </row>
    <row r="849" spans="1:4" x14ac:dyDescent="0.2">
      <c r="A849" s="5">
        <v>788</v>
      </c>
      <c r="B849" s="138">
        <f>'Expenditures 15-22'!E50</f>
        <v>1035</v>
      </c>
      <c r="D849" s="2" t="str">
        <f t="shared" si="12"/>
        <v>Error?</v>
      </c>
    </row>
    <row r="850" spans="1:4" x14ac:dyDescent="0.2">
      <c r="A850" s="5">
        <v>789</v>
      </c>
      <c r="B850" s="138">
        <f>'Expenditures 15-22'!E53</f>
        <v>40516</v>
      </c>
      <c r="C850" s="2" t="s">
        <v>594</v>
      </c>
      <c r="D850" s="2" t="str">
        <f t="shared" si="12"/>
        <v>Error?</v>
      </c>
    </row>
    <row r="851" spans="1:4" x14ac:dyDescent="0.2">
      <c r="A851" s="5">
        <v>790</v>
      </c>
      <c r="B851" s="138">
        <f>'Expenditures 15-22'!E55</f>
        <v>720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1517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1517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72331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306544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104086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3694</v>
      </c>
      <c r="D891" s="2" t="str">
        <f t="shared" si="12"/>
        <v>Error?</v>
      </c>
    </row>
    <row r="892" spans="1:4" x14ac:dyDescent="0.2">
      <c r="A892" s="5">
        <v>831</v>
      </c>
      <c r="B892" s="138">
        <f>'Expenditures 15-22'!F14</f>
        <v>13028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136258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201</v>
      </c>
      <c r="D896" s="2" t="str">
        <f t="shared" si="13"/>
        <v>Error?</v>
      </c>
    </row>
    <row r="897" spans="1:4" x14ac:dyDescent="0.2">
      <c r="A897" s="5">
        <v>836</v>
      </c>
      <c r="B897" s="138">
        <f>'Expenditures 15-22'!F38</f>
        <v>1292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662</v>
      </c>
      <c r="D899" s="2" t="str">
        <f t="shared" si="13"/>
        <v>Error?</v>
      </c>
    </row>
    <row r="900" spans="1:4" x14ac:dyDescent="0.2">
      <c r="A900" s="5">
        <v>839</v>
      </c>
      <c r="B900" s="138">
        <f>'Expenditures 15-22'!F41</f>
        <v>1735</v>
      </c>
      <c r="D900" s="2" t="str">
        <f t="shared" si="13"/>
        <v>Error?</v>
      </c>
    </row>
    <row r="901" spans="1:4" x14ac:dyDescent="0.2">
      <c r="A901" s="5">
        <v>840</v>
      </c>
      <c r="B901" s="138">
        <f>'Expenditures 15-22'!F42</f>
        <v>3890</v>
      </c>
      <c r="C901" s="2" t="s">
        <v>594</v>
      </c>
      <c r="D901" s="2" t="str">
        <f t="shared" si="13"/>
        <v>Error?</v>
      </c>
    </row>
    <row r="902" spans="1:4" x14ac:dyDescent="0.2">
      <c r="A902" s="5">
        <v>841</v>
      </c>
      <c r="B902" s="138">
        <f>'Expenditures 15-22'!F44</f>
        <v>18467</v>
      </c>
      <c r="D902" s="2" t="str">
        <f t="shared" si="13"/>
        <v>Error?</v>
      </c>
    </row>
    <row r="903" spans="1:4" x14ac:dyDescent="0.2">
      <c r="A903" s="5">
        <v>842</v>
      </c>
      <c r="B903" s="138">
        <f>'Expenditures 15-22'!F45</f>
        <v>250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18717</v>
      </c>
      <c r="C905" s="2" t="s">
        <v>594</v>
      </c>
      <c r="D905" s="2" t="str">
        <f t="shared" si="13"/>
        <v>Error?</v>
      </c>
    </row>
    <row r="906" spans="1:4" x14ac:dyDescent="0.2">
      <c r="A906" s="5">
        <v>845</v>
      </c>
      <c r="B906" s="138">
        <f>'Expenditures 15-22'!F49</f>
        <v>2106</v>
      </c>
      <c r="D906" s="2" t="str">
        <f t="shared" si="13"/>
        <v>Error?</v>
      </c>
    </row>
    <row r="907" spans="1:4" x14ac:dyDescent="0.2">
      <c r="A907" s="5">
        <v>846</v>
      </c>
      <c r="B907" s="138">
        <f>'Expenditures 15-22'!F50</f>
        <v>3935</v>
      </c>
      <c r="D907" s="2" t="str">
        <f t="shared" si="13"/>
        <v>Error?</v>
      </c>
    </row>
    <row r="908" spans="1:4" x14ac:dyDescent="0.2">
      <c r="A908" s="5">
        <v>847</v>
      </c>
      <c r="B908" s="138">
        <f>'Expenditures 15-22'!F53</f>
        <v>6041</v>
      </c>
      <c r="C908" s="2" t="s">
        <v>594</v>
      </c>
      <c r="D908" s="2" t="str">
        <f t="shared" si="13"/>
        <v>Error?</v>
      </c>
    </row>
    <row r="909" spans="1:4" x14ac:dyDescent="0.2">
      <c r="A909" s="5">
        <v>848</v>
      </c>
      <c r="B909" s="138">
        <f>'Expenditures 15-22'!F55</f>
        <v>14848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14848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2215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85049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87264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130760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267018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7222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1904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1904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13574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5599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5599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2269</v>
      </c>
      <c r="D1022" s="2" t="str">
        <f t="shared" si="14"/>
        <v>Error?</v>
      </c>
    </row>
    <row r="1023" spans="1:4" x14ac:dyDescent="0.2">
      <c r="A1023" s="5">
        <v>962</v>
      </c>
      <c r="B1023" s="138">
        <f>'Expenditures 15-22'!H50</f>
        <v>730</v>
      </c>
      <c r="D1023" s="2" t="str">
        <f t="shared" ref="D1023:D1086" si="15">IF(ISBLANK(B1023),"OK",IF(A1023-B1023=0,"OK","Error?"))</f>
        <v>Error?</v>
      </c>
    </row>
    <row r="1024" spans="1:4" x14ac:dyDescent="0.2">
      <c r="A1024" s="5">
        <v>963</v>
      </c>
      <c r="B1024" s="138">
        <f>'Expenditures 15-22'!H53</f>
        <v>2999</v>
      </c>
      <c r="C1024" s="2" t="s">
        <v>594</v>
      </c>
      <c r="D1024" s="2" t="str">
        <f t="shared" si="15"/>
        <v>Error?</v>
      </c>
    </row>
    <row r="1025" spans="1:4" x14ac:dyDescent="0.2">
      <c r="A1025" s="5">
        <v>964</v>
      </c>
      <c r="B1025" s="138">
        <f>'Expenditures 15-22'!H55</f>
        <v>342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3341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8940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1400918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96849</v>
      </c>
      <c r="C1105" s="2" t="s">
        <v>594</v>
      </c>
      <c r="D1105" s="2" t="str">
        <f t="shared" si="16"/>
        <v>Error?</v>
      </c>
    </row>
    <row r="1106" spans="1:4" x14ac:dyDescent="0.2">
      <c r="A1106" s="5">
        <v>1045</v>
      </c>
      <c r="B1106" s="138">
        <f>'Expenditures 15-22'!K14</f>
        <v>67139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1898702</v>
      </c>
      <c r="C1108" s="2" t="s">
        <v>594</v>
      </c>
      <c r="D1108" s="2" t="str">
        <f t="shared" si="16"/>
        <v>Error?</v>
      </c>
    </row>
    <row r="1109" spans="1:4" x14ac:dyDescent="0.2">
      <c r="A1109" s="5">
        <v>1048</v>
      </c>
      <c r="B1109" s="138">
        <f>'Expenditures 15-22'!K36</f>
        <v>23667</v>
      </c>
      <c r="C1109" s="2" t="s">
        <v>594</v>
      </c>
      <c r="D1109" s="2" t="str">
        <f t="shared" si="16"/>
        <v>Error?</v>
      </c>
    </row>
    <row r="1110" spans="1:4" x14ac:dyDescent="0.2">
      <c r="A1110" s="5">
        <v>1049</v>
      </c>
      <c r="B1110" s="138">
        <f>'Expenditures 15-22'!K37</f>
        <v>70311</v>
      </c>
      <c r="C1110" s="2" t="s">
        <v>594</v>
      </c>
      <c r="D1110" s="2" t="str">
        <f t="shared" si="16"/>
        <v>Error?</v>
      </c>
    </row>
    <row r="1111" spans="1:4" x14ac:dyDescent="0.2">
      <c r="A1111" s="5">
        <v>1050</v>
      </c>
      <c r="B1111" s="138">
        <f>'Expenditures 15-22'!K38</f>
        <v>12765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55005</v>
      </c>
      <c r="C1113" s="2" t="s">
        <v>594</v>
      </c>
      <c r="D1113" s="2" t="str">
        <f t="shared" si="16"/>
        <v>Error?</v>
      </c>
    </row>
    <row r="1114" spans="1:4" x14ac:dyDescent="0.2">
      <c r="A1114" s="5">
        <v>1053</v>
      </c>
      <c r="B1114" s="138">
        <f>'Expenditures 15-22'!K41</f>
        <v>1735</v>
      </c>
      <c r="C1114" s="2" t="s">
        <v>594</v>
      </c>
      <c r="D1114" s="2" t="str">
        <f t="shared" si="16"/>
        <v>Error?</v>
      </c>
    </row>
    <row r="1115" spans="1:4" x14ac:dyDescent="0.2">
      <c r="A1115" s="5">
        <v>1054</v>
      </c>
      <c r="B1115" s="138">
        <f>'Expenditures 15-22'!K42</f>
        <v>163483</v>
      </c>
      <c r="C1115" s="2" t="s">
        <v>594</v>
      </c>
      <c r="D1115" s="2" t="str">
        <f t="shared" si="16"/>
        <v>Error?</v>
      </c>
    </row>
    <row r="1116" spans="1:4" x14ac:dyDescent="0.2">
      <c r="A1116" s="5">
        <v>1055</v>
      </c>
      <c r="B1116" s="138">
        <f>'Expenditures 15-22'!K44</f>
        <v>24079</v>
      </c>
      <c r="C1116" s="2" t="s">
        <v>594</v>
      </c>
      <c r="D1116" s="2" t="str">
        <f t="shared" si="16"/>
        <v>Error?</v>
      </c>
    </row>
    <row r="1117" spans="1:4" x14ac:dyDescent="0.2">
      <c r="A1117" s="5">
        <v>1056</v>
      </c>
      <c r="B1117" s="138">
        <f>'Expenditures 15-22'!K45</f>
        <v>29285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53364</v>
      </c>
      <c r="C1119" s="2" t="s">
        <v>594</v>
      </c>
      <c r="D1119" s="2" t="str">
        <f t="shared" si="16"/>
        <v>Error?</v>
      </c>
    </row>
    <row r="1120" spans="1:4" x14ac:dyDescent="0.2">
      <c r="A1120" s="5">
        <v>1059</v>
      </c>
      <c r="B1120" s="138">
        <f>'Expenditures 15-22'!K49</f>
        <v>43856</v>
      </c>
      <c r="C1120" s="2" t="s">
        <v>594</v>
      </c>
      <c r="D1120" s="2" t="str">
        <f t="shared" si="16"/>
        <v>Error?</v>
      </c>
    </row>
    <row r="1121" spans="1:4" x14ac:dyDescent="0.2">
      <c r="A1121" s="5">
        <v>1060</v>
      </c>
      <c r="B1121" s="138">
        <f>'Expenditures 15-22'!K50</f>
        <v>127601</v>
      </c>
      <c r="C1121" s="2" t="s">
        <v>594</v>
      </c>
      <c r="D1121" s="2" t="str">
        <f t="shared" si="16"/>
        <v>Error?</v>
      </c>
    </row>
    <row r="1122" spans="1:4" x14ac:dyDescent="0.2">
      <c r="A1122" s="5">
        <v>1061</v>
      </c>
      <c r="B1122" s="138">
        <f>'Expenditures 15-22'!K53</f>
        <v>171457</v>
      </c>
      <c r="C1122" s="2" t="s">
        <v>594</v>
      </c>
      <c r="D1122" s="2" t="str">
        <f t="shared" si="16"/>
        <v>Error?</v>
      </c>
    </row>
    <row r="1123" spans="1:4" x14ac:dyDescent="0.2">
      <c r="A1123" s="5">
        <v>1062</v>
      </c>
      <c r="B1123" s="138">
        <f>'Expenditures 15-22'!K55</f>
        <v>164650</v>
      </c>
      <c r="C1123" s="2" t="s">
        <v>594</v>
      </c>
      <c r="D1123" s="2" t="str">
        <f t="shared" si="16"/>
        <v>Error?</v>
      </c>
    </row>
    <row r="1124" spans="1:4" x14ac:dyDescent="0.2">
      <c r="A1124" s="5">
        <v>1063</v>
      </c>
      <c r="B1124" s="138">
        <f>'Expenditures 15-22'!K56</f>
        <v>58348</v>
      </c>
      <c r="C1124" s="2" t="s">
        <v>594</v>
      </c>
      <c r="D1124" s="2" t="str">
        <f t="shared" si="16"/>
        <v>Error?</v>
      </c>
    </row>
    <row r="1125" spans="1:4" x14ac:dyDescent="0.2">
      <c r="A1125" s="5">
        <v>1064</v>
      </c>
      <c r="B1125" s="138">
        <f>'Expenditures 15-22'!K57</f>
        <v>222998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52573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172569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225142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1517</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1517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837961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194604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2931267</v>
      </c>
      <c r="C1152" s="2" t="s">
        <v>594</v>
      </c>
      <c r="D1152" s="2" t="str">
        <f t="shared" si="17"/>
        <v>Error?</v>
      </c>
    </row>
    <row r="1153" spans="1:4" x14ac:dyDescent="0.2">
      <c r="A1153" s="5">
        <v>1092</v>
      </c>
      <c r="B1153" s="138">
        <f>'Expenditures 15-22'!K115</f>
        <v>-14570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170709</v>
      </c>
      <c r="D1221" s="2" t="str">
        <f t="shared" si="18"/>
        <v>Error?</v>
      </c>
    </row>
    <row r="1222" spans="1:4" x14ac:dyDescent="0.2">
      <c r="A1222" s="10">
        <v>1161</v>
      </c>
      <c r="D1222" s="2" t="str">
        <f t="shared" si="18"/>
        <v>OK</v>
      </c>
    </row>
    <row r="1223" spans="1:4" x14ac:dyDescent="0.2">
      <c r="A1223" s="5">
        <v>1162</v>
      </c>
      <c r="B1223" s="138">
        <f>'Expenditures 15-22'!C127</f>
        <v>170709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170709</v>
      </c>
      <c r="C1225" s="2" t="s">
        <v>594</v>
      </c>
      <c r="D1225" s="2" t="str">
        <f t="shared" si="18"/>
        <v>Error?</v>
      </c>
    </row>
    <row r="1226" spans="1:4" x14ac:dyDescent="0.2">
      <c r="A1226" s="5">
        <v>1165</v>
      </c>
      <c r="B1226" s="138">
        <f>'Expenditures 15-22'!C151</f>
        <v>170709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31640</v>
      </c>
      <c r="D1229" s="2" t="str">
        <f t="shared" si="18"/>
        <v>Error?</v>
      </c>
    </row>
    <row r="1230" spans="1:4" x14ac:dyDescent="0.2">
      <c r="A1230" s="10">
        <v>1169</v>
      </c>
      <c r="D1230" s="2" t="str">
        <f t="shared" si="18"/>
        <v>OK</v>
      </c>
    </row>
    <row r="1231" spans="1:4" x14ac:dyDescent="0.2">
      <c r="A1231" s="5">
        <v>1170</v>
      </c>
      <c r="B1231" s="138">
        <f>'Expenditures 15-22'!D127</f>
        <v>31640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31640</v>
      </c>
      <c r="C1233" s="2" t="s">
        <v>594</v>
      </c>
      <c r="D1233" s="2" t="str">
        <f t="shared" si="18"/>
        <v>Error?</v>
      </c>
    </row>
    <row r="1234" spans="1:4" x14ac:dyDescent="0.2">
      <c r="A1234" s="5">
        <v>1173</v>
      </c>
      <c r="B1234" s="138">
        <f>'Expenditures 15-22'!D151</f>
        <v>31640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74686</v>
      </c>
      <c r="D1237" s="2" t="str">
        <f t="shared" si="18"/>
        <v>Error?</v>
      </c>
    </row>
    <row r="1238" spans="1:4" x14ac:dyDescent="0.2">
      <c r="A1238" s="10">
        <v>1177</v>
      </c>
      <c r="D1238" s="2" t="str">
        <f t="shared" si="18"/>
        <v>OK</v>
      </c>
    </row>
    <row r="1239" spans="1:4" x14ac:dyDescent="0.2">
      <c r="A1239" s="5">
        <v>1178</v>
      </c>
      <c r="B1239" s="138">
        <f>'Expenditures 15-22'!E127</f>
        <v>74686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74686</v>
      </c>
      <c r="C1241" s="2" t="s">
        <v>594</v>
      </c>
      <c r="D1241" s="2" t="str">
        <f t="shared" si="18"/>
        <v>Error?</v>
      </c>
    </row>
    <row r="1242" spans="1:4" x14ac:dyDescent="0.2">
      <c r="A1242" s="5">
        <v>1181</v>
      </c>
      <c r="B1242" s="138">
        <f>'Expenditures 15-22'!E151</f>
        <v>74686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126725</v>
      </c>
      <c r="D1245" s="2" t="str">
        <f t="shared" si="18"/>
        <v>Error?</v>
      </c>
    </row>
    <row r="1246" spans="1:4" x14ac:dyDescent="0.2">
      <c r="A1246" s="10">
        <v>1185</v>
      </c>
      <c r="D1246" s="2" t="str">
        <f t="shared" si="18"/>
        <v>OK</v>
      </c>
    </row>
    <row r="1247" spans="1:4" x14ac:dyDescent="0.2">
      <c r="A1247" s="5">
        <v>1186</v>
      </c>
      <c r="B1247" s="138">
        <f>'Expenditures 15-22'!F127</f>
        <v>126725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126725</v>
      </c>
      <c r="C1249" s="2" t="s">
        <v>594</v>
      </c>
      <c r="D1249" s="2" t="str">
        <f t="shared" si="18"/>
        <v>Error?</v>
      </c>
    </row>
    <row r="1250" spans="1:4" x14ac:dyDescent="0.2">
      <c r="A1250" s="5">
        <v>1189</v>
      </c>
      <c r="B1250" s="138">
        <f>'Expenditures 15-22'!F151</f>
        <v>126725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10206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10206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10206</v>
      </c>
      <c r="C1258" s="2" t="s">
        <v>594</v>
      </c>
      <c r="D1258" s="2" t="str">
        <f t="shared" si="18"/>
        <v>Error?</v>
      </c>
    </row>
    <row r="1259" spans="1:4" x14ac:dyDescent="0.2">
      <c r="A1259" s="5">
        <v>1198</v>
      </c>
      <c r="B1259" s="138">
        <f>'Expenditures 15-22'!G151</f>
        <v>10206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413966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413966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413966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413966</v>
      </c>
      <c r="C1288" s="2" t="s">
        <v>594</v>
      </c>
      <c r="D1288" s="2" t="str">
        <f t="shared" si="19"/>
        <v>Error?</v>
      </c>
    </row>
    <row r="1289" spans="1:4" x14ac:dyDescent="0.2">
      <c r="A1289" s="5">
        <v>1228</v>
      </c>
      <c r="B1289" s="138">
        <f>'Expenditures 15-22'!K152</f>
        <v>36709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25880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25880</v>
      </c>
      <c r="C1317" s="2" t="s">
        <v>594</v>
      </c>
      <c r="D1317" s="2" t="str">
        <f t="shared" si="19"/>
        <v>Error?</v>
      </c>
    </row>
    <row r="1318" spans="1:4" x14ac:dyDescent="0.2">
      <c r="A1318" s="5">
        <v>1257</v>
      </c>
      <c r="B1318" s="138">
        <f>'Expenditures 15-22'!H174</f>
        <v>25880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25880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25880</v>
      </c>
      <c r="C1331" s="2" t="s">
        <v>594</v>
      </c>
      <c r="D1331" s="2" t="str">
        <f t="shared" si="19"/>
        <v>Error?</v>
      </c>
    </row>
    <row r="1332" spans="1:4" x14ac:dyDescent="0.2">
      <c r="A1332" s="5">
        <v>1271</v>
      </c>
      <c r="B1332" s="138">
        <f>'Expenditures 15-22'!K174</f>
        <v>25880</v>
      </c>
      <c r="C1332" s="2" t="s">
        <v>594</v>
      </c>
      <c r="D1332" s="2" t="str">
        <f t="shared" si="19"/>
        <v>Error?</v>
      </c>
    </row>
    <row r="1333" spans="1:4" x14ac:dyDescent="0.2">
      <c r="A1333" s="5">
        <v>1272</v>
      </c>
      <c r="B1333" s="138">
        <f>'Expenditures 15-22'!K175</f>
        <v>-25880</v>
      </c>
      <c r="C1333" s="2" t="s">
        <v>594</v>
      </c>
      <c r="D1333" s="2" t="str">
        <f t="shared" si="19"/>
        <v>Error?</v>
      </c>
    </row>
    <row r="1334" spans="1:4" x14ac:dyDescent="0.2">
      <c r="A1334" s="10">
        <v>1273</v>
      </c>
      <c r="D1334" s="2" t="str">
        <f t="shared" si="19"/>
        <v>OK</v>
      </c>
    </row>
    <row r="1335" spans="1:4" x14ac:dyDescent="0.2">
      <c r="A1335" s="5">
        <v>1274</v>
      </c>
      <c r="B1335" s="138">
        <f>'Expenditures 15-22'!C182</f>
        <v>143126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143126</v>
      </c>
      <c r="C1339" s="2" t="s">
        <v>594</v>
      </c>
      <c r="D1339" s="2" t="str">
        <f t="shared" si="19"/>
        <v>Error?</v>
      </c>
    </row>
    <row r="1340" spans="1:4" x14ac:dyDescent="0.2">
      <c r="A1340" s="5">
        <v>1279</v>
      </c>
      <c r="B1340" s="138">
        <f>'Expenditures 15-22'!C210</f>
        <v>143126</v>
      </c>
      <c r="C1340" s="2" t="s">
        <v>594</v>
      </c>
      <c r="D1340" s="2" t="str">
        <f t="shared" si="19"/>
        <v>Error?</v>
      </c>
    </row>
    <row r="1341" spans="1:4" x14ac:dyDescent="0.2">
      <c r="A1341" s="5">
        <v>1280</v>
      </c>
      <c r="B1341" s="138">
        <f>'Expenditures 15-22'!D182</f>
        <v>12758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12758</v>
      </c>
      <c r="C1345" s="2" t="s">
        <v>594</v>
      </c>
      <c r="D1345" s="2" t="str">
        <f t="shared" si="20"/>
        <v>Error?</v>
      </c>
    </row>
    <row r="1346" spans="1:4" x14ac:dyDescent="0.2">
      <c r="A1346" s="5">
        <v>1285</v>
      </c>
      <c r="B1346" s="138">
        <f>'Expenditures 15-22'!D210</f>
        <v>12758</v>
      </c>
      <c r="C1346" s="2" t="s">
        <v>594</v>
      </c>
      <c r="D1346" s="2" t="str">
        <f t="shared" si="20"/>
        <v>Error?</v>
      </c>
    </row>
    <row r="1347" spans="1:4" x14ac:dyDescent="0.2">
      <c r="A1347" s="5">
        <v>1286</v>
      </c>
      <c r="B1347" s="138">
        <f>'Expenditures 15-22'!E182</f>
        <v>12358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12358</v>
      </c>
      <c r="C1351" s="2" t="s">
        <v>594</v>
      </c>
      <c r="D1351" s="2" t="str">
        <f t="shared" si="20"/>
        <v>Error?</v>
      </c>
    </row>
    <row r="1352" spans="1:4" x14ac:dyDescent="0.2">
      <c r="A1352" s="5">
        <v>1291</v>
      </c>
      <c r="B1352" s="138">
        <f>'Expenditures 15-22'!E196</f>
        <v>5896</v>
      </c>
      <c r="C1352" s="2" t="s">
        <v>594</v>
      </c>
      <c r="D1352" s="2" t="str">
        <f t="shared" si="20"/>
        <v>Error?</v>
      </c>
    </row>
    <row r="1353" spans="1:4" x14ac:dyDescent="0.2">
      <c r="A1353" s="5">
        <v>1292</v>
      </c>
      <c r="B1353" s="138">
        <f>'Expenditures 15-22'!E210</f>
        <v>18254</v>
      </c>
      <c r="C1353" s="2" t="s">
        <v>594</v>
      </c>
      <c r="D1353" s="2" t="str">
        <f t="shared" si="20"/>
        <v>Error?</v>
      </c>
    </row>
    <row r="1354" spans="1:4" x14ac:dyDescent="0.2">
      <c r="A1354" s="5">
        <v>1293</v>
      </c>
      <c r="B1354" s="138">
        <f>'Expenditures 15-22'!F182</f>
        <v>45250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45250</v>
      </c>
      <c r="C1358" s="2" t="s">
        <v>594</v>
      </c>
      <c r="D1358" s="2" t="str">
        <f t="shared" si="20"/>
        <v>Error?</v>
      </c>
    </row>
    <row r="1359" spans="1:4" x14ac:dyDescent="0.2">
      <c r="A1359" s="5">
        <v>1298</v>
      </c>
      <c r="B1359" s="138">
        <f>'Expenditures 15-22'!F210</f>
        <v>45250</v>
      </c>
      <c r="C1359" s="2" t="s">
        <v>594</v>
      </c>
      <c r="D1359" s="2" t="str">
        <f t="shared" si="20"/>
        <v>Error?</v>
      </c>
    </row>
    <row r="1360" spans="1:4" x14ac:dyDescent="0.2">
      <c r="A1360" s="5">
        <v>1299</v>
      </c>
      <c r="B1360" s="138">
        <f>'Expenditures 15-22'!G182</f>
        <v>50560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50560</v>
      </c>
      <c r="C1364" s="2" t="s">
        <v>594</v>
      </c>
      <c r="D1364" s="2" t="str">
        <f t="shared" si="20"/>
        <v>Error?</v>
      </c>
    </row>
    <row r="1365" spans="1:4" x14ac:dyDescent="0.2">
      <c r="A1365" s="5">
        <v>1304</v>
      </c>
      <c r="B1365" s="138">
        <f>'Expenditures 15-22'!G210</f>
        <v>50560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264052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264052</v>
      </c>
      <c r="C1381" s="2" t="s">
        <v>594</v>
      </c>
      <c r="D1381" s="2" t="str">
        <f t="shared" si="20"/>
        <v>Error?</v>
      </c>
    </row>
    <row r="1382" spans="1:4" x14ac:dyDescent="0.2">
      <c r="A1382" s="5">
        <v>1321</v>
      </c>
      <c r="B1382" s="138">
        <f>'Expenditures 15-22'!K196</f>
        <v>5896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269948</v>
      </c>
      <c r="C1388" s="2" t="s">
        <v>594</v>
      </c>
      <c r="D1388" s="2" t="str">
        <f t="shared" si="20"/>
        <v>Error?</v>
      </c>
    </row>
    <row r="1389" spans="1:4" x14ac:dyDescent="0.2">
      <c r="A1389" s="5">
        <v>1328</v>
      </c>
      <c r="B1389" s="138">
        <f>'Expenditures 15-22'!K211</f>
        <v>102178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956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43533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826</v>
      </c>
      <c r="D1412" s="2" t="str">
        <f t="shared" si="21"/>
        <v>Error?</v>
      </c>
    </row>
    <row r="1413" spans="1:4" x14ac:dyDescent="0.2">
      <c r="A1413" s="5">
        <v>1352</v>
      </c>
      <c r="B1413" s="138">
        <f>'Expenditures 15-22'!D234</f>
        <v>2048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3507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6578</v>
      </c>
      <c r="D1423" s="2" t="str">
        <f t="shared" si="21"/>
        <v>Error?</v>
      </c>
    </row>
    <row r="1424" spans="1:4" x14ac:dyDescent="0.2">
      <c r="A1424" s="5">
        <v>1363</v>
      </c>
      <c r="B1424" s="138">
        <f>'Expenditures 15-22'!D257</f>
        <v>6578</v>
      </c>
      <c r="C1424" s="2" t="s">
        <v>594</v>
      </c>
      <c r="D1424" s="2" t="str">
        <f t="shared" si="21"/>
        <v>Error?</v>
      </c>
    </row>
    <row r="1425" spans="1:4" x14ac:dyDescent="0.2">
      <c r="A1425" s="5">
        <v>1364</v>
      </c>
      <c r="B1425" s="138">
        <f>'Expenditures 15-22'!D259</f>
        <v>1605</v>
      </c>
      <c r="D1425" s="2" t="str">
        <f t="shared" si="21"/>
        <v>Error?</v>
      </c>
    </row>
    <row r="1426" spans="1:4" x14ac:dyDescent="0.2">
      <c r="A1426" s="5">
        <v>1365</v>
      </c>
      <c r="B1426" s="138">
        <f>'Expenditures 15-22'!D260</f>
        <v>8970</v>
      </c>
      <c r="D1426" s="2" t="str">
        <f t="shared" si="21"/>
        <v>Error?</v>
      </c>
    </row>
    <row r="1427" spans="1:4" x14ac:dyDescent="0.2">
      <c r="A1427" s="5">
        <v>1366</v>
      </c>
      <c r="B1427" s="138">
        <f>'Expenditures 15-22'!D261</f>
        <v>10575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8205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30728</v>
      </c>
      <c r="D1431" s="2" t="str">
        <f t="shared" si="21"/>
        <v>Error?</v>
      </c>
    </row>
    <row r="1432" spans="1:4" x14ac:dyDescent="0.2">
      <c r="A1432" s="5">
        <v>1371</v>
      </c>
      <c r="B1432" s="138">
        <f>'Expenditures 15-22'!D267</f>
        <v>24274</v>
      </c>
      <c r="D1432" s="2" t="str">
        <f t="shared" si="21"/>
        <v>Error?</v>
      </c>
    </row>
    <row r="1433" spans="1:4" x14ac:dyDescent="0.2">
      <c r="A1433" s="5">
        <v>1372</v>
      </c>
      <c r="B1433" s="138">
        <f>'Expenditures 15-22'!D268</f>
        <v>13544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76751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97729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141262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956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43533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826</v>
      </c>
      <c r="C1476" s="2" t="s">
        <v>594</v>
      </c>
      <c r="D1476" s="2" t="str">
        <f t="shared" si="22"/>
        <v>Error?</v>
      </c>
    </row>
    <row r="1477" spans="1:4" x14ac:dyDescent="0.2">
      <c r="A1477" s="5">
        <v>1416</v>
      </c>
      <c r="B1477" s="138">
        <f>'Expenditures 15-22'!K234</f>
        <v>2048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633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3507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318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318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6578</v>
      </c>
      <c r="C1487" s="2" t="s">
        <v>594</v>
      </c>
      <c r="D1487" s="2" t="str">
        <f t="shared" si="22"/>
        <v>Error?</v>
      </c>
    </row>
    <row r="1488" spans="1:4" x14ac:dyDescent="0.2">
      <c r="A1488" s="5">
        <v>1427</v>
      </c>
      <c r="B1488" s="138">
        <f>'Expenditures 15-22'!K257</f>
        <v>6578</v>
      </c>
      <c r="C1488" s="2" t="s">
        <v>594</v>
      </c>
      <c r="D1488" s="2" t="str">
        <f t="shared" si="22"/>
        <v>Error?</v>
      </c>
    </row>
    <row r="1489" spans="1:4" x14ac:dyDescent="0.2">
      <c r="A1489" s="5">
        <v>1428</v>
      </c>
      <c r="B1489" s="138">
        <f>'Expenditures 15-22'!K259</f>
        <v>1605</v>
      </c>
      <c r="C1489" s="2" t="s">
        <v>594</v>
      </c>
      <c r="D1489" s="2" t="str">
        <f t="shared" si="22"/>
        <v>Error?</v>
      </c>
    </row>
    <row r="1490" spans="1:4" x14ac:dyDescent="0.2">
      <c r="A1490" s="5">
        <v>1429</v>
      </c>
      <c r="B1490" s="138">
        <f>'Expenditures 15-22'!K260</f>
        <v>8970</v>
      </c>
      <c r="C1490" s="2" t="s">
        <v>594</v>
      </c>
      <c r="D1490" s="2" t="str">
        <f t="shared" si="22"/>
        <v>Error?</v>
      </c>
    </row>
    <row r="1491" spans="1:4" x14ac:dyDescent="0.2">
      <c r="A1491" s="5">
        <v>1430</v>
      </c>
      <c r="B1491" s="138">
        <f>'Expenditures 15-22'!K261</f>
        <v>10575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8205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30728</v>
      </c>
      <c r="C1495" s="2" t="s">
        <v>594</v>
      </c>
      <c r="D1495" s="2" t="str">
        <f t="shared" si="22"/>
        <v>Error?</v>
      </c>
    </row>
    <row r="1496" spans="1:4" x14ac:dyDescent="0.2">
      <c r="A1496" s="5">
        <v>1435</v>
      </c>
      <c r="B1496" s="138">
        <f>'Expenditures 15-22'!K267</f>
        <v>24274</v>
      </c>
      <c r="C1496" s="2" t="s">
        <v>594</v>
      </c>
      <c r="D1496" s="2" t="str">
        <f t="shared" si="22"/>
        <v>Error?</v>
      </c>
    </row>
    <row r="1497" spans="1:4" x14ac:dyDescent="0.2">
      <c r="A1497" s="5">
        <v>1436</v>
      </c>
      <c r="B1497" s="138">
        <f>'Expenditures 15-22'!K268</f>
        <v>13544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76751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97729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141262</v>
      </c>
      <c r="C1517" s="2" t="s">
        <v>594</v>
      </c>
      <c r="D1517" s="2" t="str">
        <f t="shared" si="22"/>
        <v>Error?</v>
      </c>
    </row>
    <row r="1518" spans="1:4" x14ac:dyDescent="0.2">
      <c r="A1518" s="5">
        <v>1457</v>
      </c>
      <c r="B1518" s="138">
        <f>'Expenditures 15-22'!K296</f>
        <v>-53521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1630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1630</v>
      </c>
      <c r="C1535" s="2" t="s">
        <v>594</v>
      </c>
      <c r="D1535" s="2" t="str">
        <f t="shared" ref="D1535:D1598" si="23">IF(ISBLANK(B1535),"OK",IF(A1535-B1535=0,"OK","Error?"))</f>
        <v>Error?</v>
      </c>
    </row>
    <row r="1536" spans="1:4" x14ac:dyDescent="0.2">
      <c r="A1536" s="5">
        <v>1475</v>
      </c>
      <c r="B1536" s="138">
        <f>'Expenditures 15-22'!E312</f>
        <v>1630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3804053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3804053</v>
      </c>
      <c r="C1547" s="2" t="s">
        <v>594</v>
      </c>
      <c r="D1547" s="2" t="str">
        <f t="shared" si="23"/>
        <v>Error?</v>
      </c>
    </row>
    <row r="1548" spans="1:4" x14ac:dyDescent="0.2">
      <c r="A1548" s="5">
        <v>1487</v>
      </c>
      <c r="B1548" s="138">
        <f>'Expenditures 15-22'!G312</f>
        <v>3804053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3805683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3805683</v>
      </c>
      <c r="C1559" s="2" t="s">
        <v>594</v>
      </c>
      <c r="D1559" s="2" t="str">
        <f t="shared" si="23"/>
        <v>Error?</v>
      </c>
    </row>
    <row r="1560" spans="1:4" x14ac:dyDescent="0.2">
      <c r="A1560" s="5">
        <v>1499</v>
      </c>
      <c r="B1560" s="138">
        <f>'Expenditures 15-22'!K312</f>
        <v>3805683</v>
      </c>
      <c r="C1560" s="2" t="s">
        <v>594</v>
      </c>
      <c r="D1560" s="2" t="str">
        <f t="shared" si="23"/>
        <v>Error?</v>
      </c>
    </row>
    <row r="1561" spans="1:4" x14ac:dyDescent="0.2">
      <c r="A1561" s="5">
        <v>1500</v>
      </c>
      <c r="B1561" s="138">
        <f>'Expenditures 15-22'!K313</f>
        <v>-3591150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762104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747534</v>
      </c>
      <c r="C1630" s="2" t="s">
        <v>594</v>
      </c>
      <c r="D1630" s="2" t="str">
        <f t="shared" si="24"/>
        <v>Error?</v>
      </c>
    </row>
    <row r="1631" spans="1:4" x14ac:dyDescent="0.2">
      <c r="A1631" s="5">
        <v>1570</v>
      </c>
      <c r="B1631" s="138">
        <f>'Acct Summary 7-8'!D79</f>
        <v>54764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91473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1050956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1153134</v>
      </c>
      <c r="C1672" s="2" t="s">
        <v>594</v>
      </c>
      <c r="D1672" s="2" t="str">
        <f t="shared" si="25"/>
        <v>Error?</v>
      </c>
    </row>
    <row r="1673" spans="1:4" x14ac:dyDescent="0.2">
      <c r="A1673" s="5">
        <v>1612</v>
      </c>
      <c r="B1673" s="138">
        <f>'Acct Summary 7-8'!G79</f>
        <v>91448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37927</v>
      </c>
      <c r="C1686" s="2" t="s">
        <v>594</v>
      </c>
      <c r="D1686" s="2" t="str">
        <f t="shared" si="25"/>
        <v>Error?</v>
      </c>
    </row>
    <row r="1687" spans="1:4" x14ac:dyDescent="0.2">
      <c r="A1687" s="5">
        <v>1626</v>
      </c>
      <c r="B1687" s="138">
        <f>'Acct Summary 7-8'!H79</f>
        <v>184923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3144930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1887196</v>
      </c>
      <c r="C1744" s="2" t="s">
        <v>594</v>
      </c>
      <c r="D1744" s="2" t="str">
        <f t="shared" si="26"/>
        <v>Error?</v>
      </c>
    </row>
    <row r="1745" spans="1:5" x14ac:dyDescent="0.2">
      <c r="A1745" s="5">
        <v>1684</v>
      </c>
      <c r="B1745" s="138">
        <f>'Tax Sched 23'!B5</f>
        <v>378183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133366</v>
      </c>
      <c r="C1747" s="2" t="s">
        <v>594</v>
      </c>
      <c r="D1747" s="2" t="str">
        <f t="shared" si="26"/>
        <v>Error?</v>
      </c>
    </row>
    <row r="1748" spans="1:5" x14ac:dyDescent="0.2">
      <c r="A1748" s="5">
        <v>1687</v>
      </c>
      <c r="B1748" s="138">
        <f>'Tax Sched 23'!B8</f>
        <v>47632</v>
      </c>
      <c r="C1748" s="2" t="s">
        <v>594</v>
      </c>
      <c r="D1748" s="2" t="str">
        <f t="shared" si="26"/>
        <v>Error?</v>
      </c>
    </row>
    <row r="1749" spans="1:5" x14ac:dyDescent="0.2">
      <c r="A1749" s="5">
        <v>1688</v>
      </c>
      <c r="B1749" s="138">
        <f>'Tax Sched 23'!B10</f>
        <v>19060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47632</v>
      </c>
      <c r="C1752" s="2" t="s">
        <v>594</v>
      </c>
      <c r="D1752" s="2" t="str">
        <f t="shared" si="26"/>
        <v>Error?</v>
      </c>
    </row>
    <row r="1753" spans="1:5" x14ac:dyDescent="0.2">
      <c r="A1753" s="5">
        <v>1692</v>
      </c>
      <c r="B1753" s="138">
        <f>'Tax Sched 23'!B12</f>
        <v>14296</v>
      </c>
      <c r="C1753" s="2" t="s">
        <v>594</v>
      </c>
      <c r="D1753" s="2" t="str">
        <f t="shared" si="26"/>
        <v>Error?</v>
      </c>
    </row>
    <row r="1754" spans="1:5" x14ac:dyDescent="0.2">
      <c r="A1754" s="5">
        <v>1693</v>
      </c>
      <c r="B1754" s="138">
        <f>'Tax Sched 23'!B14</f>
        <v>40010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2629303</v>
      </c>
      <c r="C1759" s="2" t="s">
        <v>594</v>
      </c>
      <c r="D1759" s="2" t="str">
        <f t="shared" si="26"/>
        <v>Error?</v>
      </c>
    </row>
    <row r="1760" spans="1:5" x14ac:dyDescent="0.2">
      <c r="A1760" s="5">
        <v>1699</v>
      </c>
      <c r="B1760" s="138">
        <f>'Tax Sched 23'!D4</f>
        <v>1887196</v>
      </c>
      <c r="C1760" s="2" t="s">
        <v>594</v>
      </c>
      <c r="D1760" s="2" t="str">
        <f t="shared" si="26"/>
        <v>Error?</v>
      </c>
    </row>
    <row r="1761" spans="1:5" x14ac:dyDescent="0.2">
      <c r="A1761" s="5">
        <v>1700</v>
      </c>
      <c r="B1761" s="138">
        <f>'Tax Sched 23'!D5</f>
        <v>378183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133366</v>
      </c>
      <c r="C1763" s="2" t="s">
        <v>594</v>
      </c>
      <c r="D1763" s="2" t="str">
        <f t="shared" si="26"/>
        <v>Error?</v>
      </c>
    </row>
    <row r="1764" spans="1:5" x14ac:dyDescent="0.2">
      <c r="A1764" s="5">
        <v>1703</v>
      </c>
      <c r="B1764" s="138">
        <f>'Tax Sched 23'!D8</f>
        <v>47632</v>
      </c>
      <c r="C1764" s="2" t="s">
        <v>594</v>
      </c>
      <c r="D1764" s="2" t="str">
        <f t="shared" si="26"/>
        <v>Error?</v>
      </c>
    </row>
    <row r="1765" spans="1:5" x14ac:dyDescent="0.2">
      <c r="A1765" s="5">
        <v>1704</v>
      </c>
      <c r="B1765" s="138">
        <f>'Tax Sched 23'!D10</f>
        <v>19060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47632</v>
      </c>
      <c r="C1768" s="2" t="s">
        <v>594</v>
      </c>
      <c r="D1768" s="2" t="str">
        <f t="shared" si="26"/>
        <v>Error?</v>
      </c>
    </row>
    <row r="1769" spans="1:5" x14ac:dyDescent="0.2">
      <c r="A1769" s="5">
        <v>1708</v>
      </c>
      <c r="B1769" s="138">
        <f>'Tax Sched 23'!D12</f>
        <v>14296</v>
      </c>
      <c r="C1769" s="2" t="s">
        <v>594</v>
      </c>
      <c r="D1769" s="2" t="str">
        <f t="shared" si="26"/>
        <v>Error?</v>
      </c>
    </row>
    <row r="1770" spans="1:5" x14ac:dyDescent="0.2">
      <c r="A1770" s="5">
        <v>1709</v>
      </c>
      <c r="B1770" s="138">
        <f>'Tax Sched 23'!D14</f>
        <v>40010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2629303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2055975</v>
      </c>
      <c r="C1792" s="2" t="s">
        <v>594</v>
      </c>
      <c r="D1792" s="2" t="str">
        <f t="shared" si="27"/>
        <v>Error?</v>
      </c>
    </row>
    <row r="1793" spans="1:4" x14ac:dyDescent="0.2">
      <c r="A1793" s="5">
        <v>1732</v>
      </c>
      <c r="B1793" s="138">
        <f>'Tax Sched 23'!F5</f>
        <v>29532</v>
      </c>
      <c r="C1793" s="2" t="s">
        <v>594</v>
      </c>
      <c r="D1793" s="2" t="str">
        <f t="shared" si="27"/>
        <v>Error?</v>
      </c>
    </row>
    <row r="1794" spans="1:4" x14ac:dyDescent="0.2">
      <c r="A1794" s="5">
        <v>1733</v>
      </c>
      <c r="B1794" s="138">
        <f>'Tax Sched 23'!F6</f>
        <v>264080</v>
      </c>
      <c r="C1794" s="2" t="s">
        <v>594</v>
      </c>
      <c r="D1794" s="2" t="str">
        <f t="shared" si="27"/>
        <v>Error?</v>
      </c>
    </row>
    <row r="1795" spans="1:4" x14ac:dyDescent="0.2">
      <c r="A1795" s="5">
        <v>1734</v>
      </c>
      <c r="B1795" s="138">
        <f>'Tax Sched 23'!F7</f>
        <v>97930</v>
      </c>
      <c r="C1795" s="2" t="s">
        <v>594</v>
      </c>
      <c r="D1795" s="2" t="str">
        <f t="shared" si="27"/>
        <v>Error?</v>
      </c>
    </row>
    <row r="1796" spans="1:4" x14ac:dyDescent="0.2">
      <c r="A1796" s="5">
        <v>1735</v>
      </c>
      <c r="B1796" s="138">
        <f>'Tax Sched 23'!F8</f>
        <v>100008</v>
      </c>
      <c r="C1796" s="2" t="s">
        <v>594</v>
      </c>
      <c r="D1796" s="2" t="str">
        <f t="shared" si="27"/>
        <v>Error?</v>
      </c>
    </row>
    <row r="1797" spans="1:4" x14ac:dyDescent="0.2">
      <c r="A1797" s="5">
        <v>1736</v>
      </c>
      <c r="B1797" s="138">
        <f>'Tax Sched 23'!F10</f>
        <v>19588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48967</v>
      </c>
      <c r="C1800" s="2" t="s">
        <v>594</v>
      </c>
      <c r="D1800" s="2" t="str">
        <f t="shared" si="27"/>
        <v>Error?</v>
      </c>
    </row>
    <row r="1801" spans="1:4" x14ac:dyDescent="0.2">
      <c r="A1801" s="5">
        <v>1740</v>
      </c>
      <c r="B1801" s="138">
        <f>'Tax Sched 23'!F12</f>
        <v>983</v>
      </c>
      <c r="C1801" s="2" t="s">
        <v>594</v>
      </c>
      <c r="D1801" s="2" t="str">
        <f t="shared" si="27"/>
        <v>Error?</v>
      </c>
    </row>
    <row r="1802" spans="1:4" x14ac:dyDescent="0.2">
      <c r="A1802" s="5">
        <v>1741</v>
      </c>
      <c r="B1802" s="138">
        <f>'Tax Sched 23'!F14</f>
        <v>41137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2722690</v>
      </c>
      <c r="C1807" s="2" t="s">
        <v>594</v>
      </c>
      <c r="D1807" s="2" t="str">
        <f t="shared" si="27"/>
        <v>Error?</v>
      </c>
    </row>
    <row r="1808" spans="1:4" x14ac:dyDescent="0.2">
      <c r="A1808" s="5">
        <v>1747</v>
      </c>
      <c r="B1808" s="138">
        <f>'Tax Sched 23'!E4</f>
        <v>2055975</v>
      </c>
      <c r="D1808" s="2" t="str">
        <f t="shared" si="27"/>
        <v>Error?</v>
      </c>
    </row>
    <row r="1809" spans="1:4" x14ac:dyDescent="0.2">
      <c r="A1809" s="5">
        <v>1748</v>
      </c>
      <c r="B1809" s="138">
        <f>'Tax Sched 23'!E5</f>
        <v>29532</v>
      </c>
      <c r="D1809" s="2" t="str">
        <f t="shared" si="27"/>
        <v>Error?</v>
      </c>
    </row>
    <row r="1810" spans="1:4" x14ac:dyDescent="0.2">
      <c r="A1810" s="5">
        <v>1749</v>
      </c>
      <c r="B1810" s="138">
        <f>'Tax Sched 23'!E6</f>
        <v>264080</v>
      </c>
      <c r="D1810" s="2" t="str">
        <f t="shared" si="27"/>
        <v>Error?</v>
      </c>
    </row>
    <row r="1811" spans="1:4" x14ac:dyDescent="0.2">
      <c r="A1811" s="5">
        <v>1750</v>
      </c>
      <c r="B1811" s="138">
        <f>'Tax Sched 23'!E7</f>
        <v>97930</v>
      </c>
      <c r="D1811" s="2" t="str">
        <f t="shared" si="27"/>
        <v>Error?</v>
      </c>
    </row>
    <row r="1812" spans="1:4" x14ac:dyDescent="0.2">
      <c r="A1812" s="5">
        <v>1751</v>
      </c>
      <c r="B1812" s="138">
        <f>'Tax Sched 23'!E8</f>
        <v>100008</v>
      </c>
      <c r="D1812" s="2" t="str">
        <f t="shared" si="27"/>
        <v>Error?</v>
      </c>
    </row>
    <row r="1813" spans="1:4" x14ac:dyDescent="0.2">
      <c r="A1813" s="5">
        <v>1752</v>
      </c>
      <c r="B1813" s="138">
        <f>'Tax Sched 23'!E10</f>
        <v>19588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48967</v>
      </c>
      <c r="D1816" s="2" t="str">
        <f t="shared" si="27"/>
        <v>Error?</v>
      </c>
    </row>
    <row r="1817" spans="1:4" x14ac:dyDescent="0.2">
      <c r="A1817" s="5">
        <v>1756</v>
      </c>
      <c r="B1817" s="138">
        <f>'Tax Sched 23'!E12</f>
        <v>983</v>
      </c>
      <c r="D1817" s="2" t="str">
        <f t="shared" si="27"/>
        <v>Error?</v>
      </c>
    </row>
    <row r="1818" spans="1:4" x14ac:dyDescent="0.2">
      <c r="A1818" s="5">
        <v>1757</v>
      </c>
      <c r="B1818" s="138">
        <f>'Tax Sched 23'!E14</f>
        <v>41137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2722690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6280000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40010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40010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40010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17486</v>
      </c>
      <c r="D2008" s="2" t="str">
        <f t="shared" si="30"/>
        <v>Error?</v>
      </c>
    </row>
    <row r="2009" spans="1:4" x14ac:dyDescent="0.2">
      <c r="A2009" s="5">
        <v>1948</v>
      </c>
      <c r="B2009" s="138">
        <f>'Cap Outlay Deprec 26'!C8</f>
        <v>1496973</v>
      </c>
      <c r="D2009" s="2" t="str">
        <f t="shared" si="30"/>
        <v>Error?</v>
      </c>
    </row>
    <row r="2010" spans="1:4" x14ac:dyDescent="0.2">
      <c r="A2010" s="5">
        <v>1949</v>
      </c>
      <c r="B2010" s="138">
        <f>'Cap Outlay Deprec 26'!C10</f>
        <v>45278</v>
      </c>
      <c r="D2010" s="2" t="str">
        <f t="shared" si="30"/>
        <v>Error?</v>
      </c>
    </row>
    <row r="2011" spans="1:4" x14ac:dyDescent="0.2">
      <c r="A2011" s="5">
        <v>1950</v>
      </c>
      <c r="B2011" s="138">
        <f>'Cap Outlay Deprec 26'!C12</f>
        <v>1090872</v>
      </c>
      <c r="D2011" s="2" t="str">
        <f t="shared" si="30"/>
        <v>Error?</v>
      </c>
    </row>
    <row r="2012" spans="1:4" x14ac:dyDescent="0.2">
      <c r="A2012" s="5">
        <v>1951</v>
      </c>
      <c r="B2012" s="138">
        <f>'Cap Outlay Deprec 26'!C13</f>
        <v>542042</v>
      </c>
      <c r="D2012" s="2" t="str">
        <f t="shared" si="30"/>
        <v>Error?</v>
      </c>
    </row>
    <row r="2013" spans="1:4" x14ac:dyDescent="0.2">
      <c r="A2013" s="5">
        <v>1952</v>
      </c>
      <c r="B2013" s="138">
        <f>'Cap Outlay Deprec 26'!C16</f>
        <v>3736945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34675</v>
      </c>
      <c r="D2017" s="2" t="str">
        <f t="shared" si="30"/>
        <v>Error?</v>
      </c>
    </row>
    <row r="2018" spans="1:4" x14ac:dyDescent="0.2">
      <c r="A2018" s="5">
        <v>1957</v>
      </c>
      <c r="B2018" s="138">
        <f>'Cap Outlay Deprec 26'!D13</f>
        <v>70002</v>
      </c>
      <c r="D2018" s="2" t="str">
        <f t="shared" si="30"/>
        <v>Error?</v>
      </c>
    </row>
    <row r="2019" spans="1:4" x14ac:dyDescent="0.2">
      <c r="A2019" s="5">
        <v>1958</v>
      </c>
      <c r="B2019" s="138">
        <f>'Cap Outlay Deprec 26'!D16</f>
        <v>3908729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71729</v>
      </c>
      <c r="D2024" s="2" t="str">
        <f t="shared" si="30"/>
        <v>Error?</v>
      </c>
    </row>
    <row r="2025" spans="1:4" x14ac:dyDescent="0.2">
      <c r="A2025" s="5">
        <v>1964</v>
      </c>
      <c r="B2025" s="138">
        <f>'Cap Outlay Deprec 26'!E16</f>
        <v>71729</v>
      </c>
      <c r="C2025" s="2" t="s">
        <v>594</v>
      </c>
      <c r="D2025" s="2" t="str">
        <f t="shared" si="30"/>
        <v>Error?</v>
      </c>
    </row>
    <row r="2026" spans="1:4" x14ac:dyDescent="0.2">
      <c r="A2026" s="5">
        <v>1965</v>
      </c>
      <c r="B2026" s="138">
        <f>'Cap Outlay Deprec 26'!F5</f>
        <v>17486</v>
      </c>
      <c r="C2026" s="2" t="s">
        <v>594</v>
      </c>
      <c r="D2026" s="2" t="str">
        <f t="shared" si="30"/>
        <v>Error?</v>
      </c>
    </row>
    <row r="2027" spans="1:4" x14ac:dyDescent="0.2">
      <c r="A2027" s="5">
        <v>1966</v>
      </c>
      <c r="B2027" s="138">
        <f>'Cap Outlay Deprec 26'!F8</f>
        <v>1496973</v>
      </c>
      <c r="C2027" s="2" t="s">
        <v>594</v>
      </c>
      <c r="D2027" s="2" t="str">
        <f t="shared" si="30"/>
        <v>Error?</v>
      </c>
    </row>
    <row r="2028" spans="1:4" x14ac:dyDescent="0.2">
      <c r="A2028" s="5">
        <v>1967</v>
      </c>
      <c r="B2028" s="138">
        <f>'Cap Outlay Deprec 26'!F10</f>
        <v>45278</v>
      </c>
      <c r="C2028" s="2" t="s">
        <v>594</v>
      </c>
      <c r="D2028" s="2" t="str">
        <f t="shared" si="30"/>
        <v>Error?</v>
      </c>
    </row>
    <row r="2029" spans="1:4" x14ac:dyDescent="0.2">
      <c r="A2029" s="5">
        <v>1968</v>
      </c>
      <c r="B2029" s="138">
        <f>'Cap Outlay Deprec 26'!F12</f>
        <v>1125547</v>
      </c>
      <c r="C2029" s="2" t="s">
        <v>594</v>
      </c>
      <c r="D2029" s="2" t="str">
        <f t="shared" si="30"/>
        <v>Error?</v>
      </c>
    </row>
    <row r="2030" spans="1:4" x14ac:dyDescent="0.2">
      <c r="A2030" s="5">
        <v>1969</v>
      </c>
      <c r="B2030" s="138">
        <f>'Cap Outlay Deprec 26'!F13</f>
        <v>540315</v>
      </c>
      <c r="C2030" s="2" t="s">
        <v>594</v>
      </c>
      <c r="D2030" s="2" t="str">
        <f t="shared" si="30"/>
        <v>Error?</v>
      </c>
    </row>
    <row r="2031" spans="1:4" x14ac:dyDescent="0.2">
      <c r="A2031" s="5">
        <v>1970</v>
      </c>
      <c r="B2031" s="138">
        <f>'Cap Outlay Deprec 26'!F16</f>
        <v>7573945</v>
      </c>
      <c r="C2031" s="2" t="s">
        <v>594</v>
      </c>
      <c r="D2031" s="2" t="str">
        <f t="shared" si="30"/>
        <v>Error?</v>
      </c>
    </row>
    <row r="2032" spans="1:4" x14ac:dyDescent="0.2">
      <c r="A2032" s="10">
        <v>1971</v>
      </c>
      <c r="D2032" s="2" t="str">
        <f t="shared" si="30"/>
        <v>OK</v>
      </c>
    </row>
    <row r="2033" spans="1:4" x14ac:dyDescent="0.2">
      <c r="A2033" s="5">
        <v>1972</v>
      </c>
      <c r="B2033" s="138">
        <f>'Cap Outlay Deprec 26'!H8</f>
        <v>1202348</v>
      </c>
      <c r="D2033" s="2" t="str">
        <f t="shared" si="30"/>
        <v>Error?</v>
      </c>
    </row>
    <row r="2034" spans="1:4" x14ac:dyDescent="0.2">
      <c r="A2034" s="5">
        <v>1973</v>
      </c>
      <c r="B2034" s="138">
        <f>'Cap Outlay Deprec 26'!H10</f>
        <v>38128</v>
      </c>
      <c r="D2034" s="2" t="str">
        <f t="shared" si="30"/>
        <v>Error?</v>
      </c>
    </row>
    <row r="2035" spans="1:4" x14ac:dyDescent="0.2">
      <c r="A2035" s="5">
        <v>1974</v>
      </c>
      <c r="B2035" s="138">
        <f>'Cap Outlay Deprec 26'!H12</f>
        <v>1048778</v>
      </c>
      <c r="D2035" s="2" t="str">
        <f t="shared" si="30"/>
        <v>Error?</v>
      </c>
    </row>
    <row r="2036" spans="1:4" x14ac:dyDescent="0.2">
      <c r="A2036" s="5">
        <v>1975</v>
      </c>
      <c r="B2036" s="138">
        <f>'Cap Outlay Deprec 26'!H13</f>
        <v>444558</v>
      </c>
      <c r="D2036" s="2" t="str">
        <f t="shared" si="30"/>
        <v>Error?</v>
      </c>
    </row>
    <row r="2037" spans="1:4" x14ac:dyDescent="0.2">
      <c r="A2037" s="5">
        <v>1976</v>
      </c>
      <c r="B2037" s="138">
        <f>'Cap Outlay Deprec 26'!H16</f>
        <v>2733812</v>
      </c>
      <c r="C2037" s="2" t="s">
        <v>594</v>
      </c>
      <c r="D2037" s="2" t="str">
        <f t="shared" si="30"/>
        <v>Error?</v>
      </c>
    </row>
    <row r="2038" spans="1:4" x14ac:dyDescent="0.2">
      <c r="A2038" s="10">
        <v>1977</v>
      </c>
      <c r="D2038" s="2" t="str">
        <f t="shared" si="30"/>
        <v>OK</v>
      </c>
    </row>
    <row r="2039" spans="1:4" x14ac:dyDescent="0.2">
      <c r="A2039" s="5">
        <v>1978</v>
      </c>
      <c r="B2039" s="138">
        <f>'Cap Outlay Deprec 26'!I8</f>
        <v>6441</v>
      </c>
      <c r="D2039" s="2" t="str">
        <f t="shared" si="30"/>
        <v>Error?</v>
      </c>
    </row>
    <row r="2040" spans="1:4" x14ac:dyDescent="0.2">
      <c r="A2040" s="5">
        <v>1979</v>
      </c>
      <c r="B2040" s="138">
        <f>'Cap Outlay Deprec 26'!I10</f>
        <v>505</v>
      </c>
      <c r="D2040" s="2" t="str">
        <f t="shared" si="30"/>
        <v>Error?</v>
      </c>
    </row>
    <row r="2041" spans="1:4" x14ac:dyDescent="0.2">
      <c r="A2041" s="5">
        <v>1980</v>
      </c>
      <c r="B2041" s="138">
        <f>'Cap Outlay Deprec 26'!I12</f>
        <v>10609</v>
      </c>
      <c r="D2041" s="2" t="str">
        <f t="shared" si="30"/>
        <v>Error?</v>
      </c>
    </row>
    <row r="2042" spans="1:4" x14ac:dyDescent="0.2">
      <c r="A2042" s="5">
        <v>1981</v>
      </c>
      <c r="B2042" s="138">
        <f>'Cap Outlay Deprec 26'!I13</f>
        <v>47140</v>
      </c>
      <c r="D2042" s="2" t="str">
        <f t="shared" si="30"/>
        <v>Error?</v>
      </c>
    </row>
    <row r="2043" spans="1:4" x14ac:dyDescent="0.2">
      <c r="A2043" s="5">
        <v>1982</v>
      </c>
      <c r="B2043" s="138">
        <f>'Cap Outlay Deprec 26'!I16</f>
        <v>64695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66729</v>
      </c>
      <c r="D2048" s="2" t="str">
        <f t="shared" si="31"/>
        <v>Error?</v>
      </c>
    </row>
    <row r="2049" spans="1:4" x14ac:dyDescent="0.2">
      <c r="A2049" s="5">
        <v>1988</v>
      </c>
      <c r="B2049" s="138">
        <f>'Cap Outlay Deprec 26'!J16</f>
        <v>66729</v>
      </c>
      <c r="C2049" s="2" t="s">
        <v>594</v>
      </c>
      <c r="D2049" s="2" t="str">
        <f t="shared" si="31"/>
        <v>Error?</v>
      </c>
    </row>
    <row r="2050" spans="1:4" x14ac:dyDescent="0.2">
      <c r="A2050" s="10">
        <v>1989</v>
      </c>
      <c r="D2050" s="2" t="str">
        <f t="shared" si="31"/>
        <v>OK</v>
      </c>
    </row>
    <row r="2051" spans="1:4" x14ac:dyDescent="0.2">
      <c r="A2051" s="5">
        <v>1990</v>
      </c>
      <c r="B2051" s="138">
        <f>'Cap Outlay Deprec 26'!K8</f>
        <v>1208789</v>
      </c>
      <c r="C2051" s="2" t="s">
        <v>594</v>
      </c>
      <c r="D2051" s="2" t="str">
        <f t="shared" si="31"/>
        <v>Error?</v>
      </c>
    </row>
    <row r="2052" spans="1:4" x14ac:dyDescent="0.2">
      <c r="A2052" s="5">
        <v>1991</v>
      </c>
      <c r="B2052" s="138">
        <f>'Cap Outlay Deprec 26'!K10</f>
        <v>38633</v>
      </c>
      <c r="C2052" s="2" t="s">
        <v>594</v>
      </c>
      <c r="D2052" s="2" t="str">
        <f t="shared" si="31"/>
        <v>Error?</v>
      </c>
    </row>
    <row r="2053" spans="1:4" x14ac:dyDescent="0.2">
      <c r="A2053" s="5">
        <v>1992</v>
      </c>
      <c r="B2053" s="138">
        <f>'Cap Outlay Deprec 26'!K12</f>
        <v>1059387</v>
      </c>
      <c r="C2053" s="2" t="s">
        <v>594</v>
      </c>
      <c r="D2053" s="2" t="str">
        <f t="shared" si="31"/>
        <v>Error?</v>
      </c>
    </row>
    <row r="2054" spans="1:4" x14ac:dyDescent="0.2">
      <c r="A2054" s="5">
        <v>1993</v>
      </c>
      <c r="B2054" s="138">
        <f>'Cap Outlay Deprec 26'!K13</f>
        <v>424969</v>
      </c>
      <c r="C2054" s="2" t="s">
        <v>594</v>
      </c>
      <c r="D2054" s="2" t="str">
        <f t="shared" si="31"/>
        <v>Error?</v>
      </c>
    </row>
    <row r="2055" spans="1:4" x14ac:dyDescent="0.2">
      <c r="A2055" s="5">
        <v>1994</v>
      </c>
      <c r="B2055" s="138">
        <f>'Cap Outlay Deprec 26'!K16</f>
        <v>2731778</v>
      </c>
      <c r="C2055" s="2" t="s">
        <v>594</v>
      </c>
      <c r="D2055" s="2" t="str">
        <f t="shared" si="31"/>
        <v>Error?</v>
      </c>
    </row>
    <row r="2056" spans="1:4" x14ac:dyDescent="0.2">
      <c r="A2056" s="5">
        <v>1995</v>
      </c>
      <c r="B2056" s="138">
        <f>'Cap Outlay Deprec 26'!L5</f>
        <v>17486</v>
      </c>
      <c r="C2056" s="2" t="s">
        <v>594</v>
      </c>
      <c r="D2056" s="2" t="str">
        <f t="shared" si="31"/>
        <v>Error?</v>
      </c>
    </row>
    <row r="2057" spans="1:4" x14ac:dyDescent="0.2">
      <c r="A2057" s="5">
        <v>1996</v>
      </c>
      <c r="B2057" s="138">
        <f>'Cap Outlay Deprec 26'!L8</f>
        <v>288184</v>
      </c>
      <c r="C2057" s="2" t="s">
        <v>594</v>
      </c>
      <c r="D2057" s="2" t="str">
        <f t="shared" si="31"/>
        <v>Error?</v>
      </c>
    </row>
    <row r="2058" spans="1:4" x14ac:dyDescent="0.2">
      <c r="A2058" s="5">
        <v>1997</v>
      </c>
      <c r="B2058" s="138">
        <f>'Cap Outlay Deprec 26'!L10</f>
        <v>6645</v>
      </c>
      <c r="C2058" s="2" t="s">
        <v>594</v>
      </c>
      <c r="D2058" s="2" t="str">
        <f t="shared" si="31"/>
        <v>Error?</v>
      </c>
    </row>
    <row r="2059" spans="1:4" x14ac:dyDescent="0.2">
      <c r="A2059" s="5">
        <v>1998</v>
      </c>
      <c r="B2059" s="138">
        <f>'Cap Outlay Deprec 26'!L12</f>
        <v>66160</v>
      </c>
      <c r="C2059" s="2" t="s">
        <v>594</v>
      </c>
      <c r="D2059" s="2" t="str">
        <f t="shared" si="31"/>
        <v>Error?</v>
      </c>
    </row>
    <row r="2060" spans="1:4" x14ac:dyDescent="0.2">
      <c r="A2060" s="5">
        <v>1999</v>
      </c>
      <c r="B2060" s="138">
        <f>'Cap Outlay Deprec 26'!L13</f>
        <v>115346</v>
      </c>
      <c r="C2060" s="2" t="s">
        <v>594</v>
      </c>
      <c r="D2060" s="2" t="str">
        <f t="shared" si="31"/>
        <v>Error?</v>
      </c>
    </row>
    <row r="2061" spans="1:4" x14ac:dyDescent="0.2">
      <c r="A2061" s="5">
        <v>2000</v>
      </c>
      <c r="B2061" s="138">
        <f>'Cap Outlay Deprec 26'!L16</f>
        <v>4842167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194604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2772985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2123196</v>
      </c>
      <c r="C2551" s="2" t="s">
        <v>594</v>
      </c>
      <c r="D2551" s="2" t="str">
        <f t="shared" si="38"/>
        <v>Error?</v>
      </c>
    </row>
    <row r="2552" spans="1:4" x14ac:dyDescent="0.2">
      <c r="A2552" s="10">
        <v>2491</v>
      </c>
      <c r="D2552" s="2" t="str">
        <f t="shared" si="38"/>
        <v>OK</v>
      </c>
    </row>
    <row r="2553" spans="1:4" x14ac:dyDescent="0.2">
      <c r="A2553" s="5">
        <v>2492</v>
      </c>
      <c r="B2553" s="138">
        <f>'Acct Summary 7-8'!C6</f>
        <v>604963</v>
      </c>
      <c r="C2553" s="2" t="s">
        <v>594</v>
      </c>
      <c r="D2553" s="2" t="str">
        <f t="shared" si="38"/>
        <v>Error?</v>
      </c>
    </row>
    <row r="2554" spans="1:4" x14ac:dyDescent="0.2">
      <c r="A2554" s="5">
        <v>2493</v>
      </c>
      <c r="B2554" s="138">
        <f>'Acct Summary 7-8'!C7</f>
        <v>188538</v>
      </c>
      <c r="C2554" s="2" t="s">
        <v>594</v>
      </c>
      <c r="D2554" s="2" t="str">
        <f t="shared" si="38"/>
        <v>Error?</v>
      </c>
    </row>
    <row r="2555" spans="1:4" x14ac:dyDescent="0.2">
      <c r="A2555" s="5">
        <v>2494</v>
      </c>
      <c r="B2555" s="138">
        <f>'Acct Summary 7-8'!C8</f>
        <v>2916697</v>
      </c>
      <c r="C2555" s="2" t="s">
        <v>594</v>
      </c>
      <c r="D2555" s="2" t="str">
        <f t="shared" si="38"/>
        <v>Error?</v>
      </c>
    </row>
    <row r="2556" spans="1:4" x14ac:dyDescent="0.2">
      <c r="A2556" s="5">
        <v>2495</v>
      </c>
      <c r="B2556" s="138">
        <f>'Acct Summary 7-8'!C12</f>
        <v>1898702</v>
      </c>
      <c r="C2556" s="2" t="s">
        <v>594</v>
      </c>
      <c r="D2556" s="2" t="str">
        <f t="shared" si="38"/>
        <v>Error?</v>
      </c>
    </row>
    <row r="2557" spans="1:4" x14ac:dyDescent="0.2">
      <c r="A2557" s="5">
        <v>2496</v>
      </c>
      <c r="B2557" s="138">
        <f>'Acct Summary 7-8'!C13</f>
        <v>837961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194604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2931267</v>
      </c>
      <c r="C2561" s="2" t="s">
        <v>594</v>
      </c>
      <c r="D2561" s="2" t="str">
        <f t="shared" si="39"/>
        <v>Error?</v>
      </c>
    </row>
    <row r="2562" spans="1:4" x14ac:dyDescent="0.2">
      <c r="A2562" s="5">
        <v>2501</v>
      </c>
      <c r="B2562" s="138">
        <f>'Acct Summary 7-8'!C20</f>
        <v>-14570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450675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450675</v>
      </c>
      <c r="C2568" s="2" t="s">
        <v>594</v>
      </c>
      <c r="D2568" s="2" t="str">
        <f t="shared" si="39"/>
        <v>Error?</v>
      </c>
    </row>
    <row r="2569" spans="1:4" x14ac:dyDescent="0.2">
      <c r="A2569" s="5">
        <v>2508</v>
      </c>
      <c r="B2569" s="138">
        <f>'Acct Summary 7-8'!D13</f>
        <v>413966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413966</v>
      </c>
      <c r="C2573" s="2" t="s">
        <v>594</v>
      </c>
      <c r="D2573" s="2" t="str">
        <f t="shared" si="39"/>
        <v>Error?</v>
      </c>
    </row>
    <row r="2574" spans="1:4" x14ac:dyDescent="0.2">
      <c r="A2574" s="5">
        <v>2513</v>
      </c>
      <c r="B2574" s="138">
        <f>'Acct Summary 7-8'!D20</f>
        <v>36709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144839</v>
      </c>
      <c r="C2591" s="2" t="s">
        <v>594</v>
      </c>
      <c r="D2591" s="2" t="str">
        <f t="shared" si="39"/>
        <v>Error?</v>
      </c>
    </row>
    <row r="2592" spans="1:4" x14ac:dyDescent="0.2">
      <c r="A2592" s="10">
        <v>2531</v>
      </c>
      <c r="D2592" s="2" t="str">
        <f t="shared" si="39"/>
        <v>OK</v>
      </c>
    </row>
    <row r="2593" spans="1:4" x14ac:dyDescent="0.2">
      <c r="A2593" s="5">
        <v>2532</v>
      </c>
      <c r="B2593" s="138">
        <f>'Acct Summary 7-8'!F6</f>
        <v>227287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372126</v>
      </c>
      <c r="C2595" s="2" t="s">
        <v>594</v>
      </c>
      <c r="D2595" s="2" t="str">
        <f t="shared" si="39"/>
        <v>Error?</v>
      </c>
    </row>
    <row r="2596" spans="1:4" x14ac:dyDescent="0.2">
      <c r="A2596" s="5">
        <v>2535</v>
      </c>
      <c r="B2596" s="138">
        <f>'Acct Summary 7-8'!F13</f>
        <v>264052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5896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269948</v>
      </c>
      <c r="C2600" s="2" t="s">
        <v>594</v>
      </c>
      <c r="D2600" s="2" t="str">
        <f t="shared" si="39"/>
        <v>Error?</v>
      </c>
    </row>
    <row r="2601" spans="1:4" x14ac:dyDescent="0.2">
      <c r="A2601" s="5">
        <v>2540</v>
      </c>
      <c r="B2601" s="138">
        <f>'Acct Summary 7-8'!F20</f>
        <v>102178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87741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87741</v>
      </c>
      <c r="C2606" s="2" t="s">
        <v>594</v>
      </c>
      <c r="D2606" s="2" t="str">
        <f t="shared" si="39"/>
        <v>Error?</v>
      </c>
    </row>
    <row r="2607" spans="1:4" x14ac:dyDescent="0.2">
      <c r="A2607" s="5">
        <v>2546</v>
      </c>
      <c r="B2607" s="138">
        <f>'Acct Summary 7-8'!G12</f>
        <v>43533</v>
      </c>
      <c r="C2607" s="2" t="s">
        <v>594</v>
      </c>
      <c r="D2607" s="2" t="str">
        <f t="shared" si="39"/>
        <v>Error?</v>
      </c>
    </row>
    <row r="2608" spans="1:4" x14ac:dyDescent="0.2">
      <c r="A2608" s="5">
        <v>2547</v>
      </c>
      <c r="B2608" s="138">
        <f>'Acct Summary 7-8'!G13</f>
        <v>97729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141262</v>
      </c>
      <c r="C2612" s="2" t="s">
        <v>594</v>
      </c>
      <c r="D2612" s="2" t="str">
        <f t="shared" si="39"/>
        <v>Error?</v>
      </c>
    </row>
    <row r="2613" spans="1:4" x14ac:dyDescent="0.2">
      <c r="A2613" s="5">
        <v>2552</v>
      </c>
      <c r="B2613" s="138">
        <f>'Acct Summary 7-8'!G20</f>
        <v>-53521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25880</v>
      </c>
      <c r="C2634" s="2" t="s">
        <v>594</v>
      </c>
      <c r="D2634" s="2" t="str">
        <f t="shared" si="40"/>
        <v>Error?</v>
      </c>
    </row>
    <row r="2635" spans="1:4" x14ac:dyDescent="0.2">
      <c r="A2635" s="5">
        <v>2574</v>
      </c>
      <c r="B2635" s="138">
        <f>'Acct Summary 7-8'!E17</f>
        <v>25880</v>
      </c>
      <c r="C2635" s="2" t="s">
        <v>594</v>
      </c>
      <c r="D2635" s="2" t="str">
        <f t="shared" si="40"/>
        <v>Error?</v>
      </c>
    </row>
    <row r="2636" spans="1:4" x14ac:dyDescent="0.2">
      <c r="A2636" s="5">
        <v>2575</v>
      </c>
      <c r="B2636" s="138">
        <f>'Acct Summary 7-8'!E20</f>
        <v>-25880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214533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214533</v>
      </c>
      <c r="C2658" s="2" t="s">
        <v>594</v>
      </c>
      <c r="D2658" s="2" t="str">
        <f t="shared" si="40"/>
        <v>Error?</v>
      </c>
    </row>
    <row r="2659" spans="1:4" x14ac:dyDescent="0.2">
      <c r="A2659" s="5">
        <v>2598</v>
      </c>
      <c r="B2659" s="138">
        <f>'Acct Summary 7-8'!H13</f>
        <v>3805683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3805683</v>
      </c>
      <c r="C2661" s="2" t="s">
        <v>594</v>
      </c>
      <c r="D2661" s="2" t="str">
        <f t="shared" si="40"/>
        <v>Error?</v>
      </c>
    </row>
    <row r="2662" spans="1:4" x14ac:dyDescent="0.2">
      <c r="A2662" s="5">
        <v>2601</v>
      </c>
      <c r="B2662" s="138">
        <f>'Acct Summary 7-8'!H20</f>
        <v>-3591150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194604</v>
      </c>
      <c r="C2789" s="2" t="s">
        <v>594</v>
      </c>
      <c r="D2789" s="2" t="str">
        <f t="shared" si="42"/>
        <v>Error?</v>
      </c>
    </row>
    <row r="2790" spans="1:4" x14ac:dyDescent="0.2">
      <c r="A2790" s="5">
        <v>2729</v>
      </c>
      <c r="B2790" s="138">
        <f>'Expenditures 15-22'!E102</f>
        <v>194604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5896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5896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4348346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1167875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1211304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130000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217847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9877</v>
      </c>
      <c r="D2908" s="2" t="str">
        <f t="shared" si="44"/>
        <v>Error?</v>
      </c>
    </row>
    <row r="2909" spans="1:4" x14ac:dyDescent="0.2">
      <c r="A2909" s="10">
        <v>2848</v>
      </c>
      <c r="D2909" s="2" t="str">
        <f t="shared" si="44"/>
        <v>OK</v>
      </c>
    </row>
    <row r="2910" spans="1:4" x14ac:dyDescent="0.2">
      <c r="A2910" s="5">
        <v>2849</v>
      </c>
      <c r="B2910" s="138">
        <f>'Assets-Liab 5-6'!I34</f>
        <v>9877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1201427</v>
      </c>
      <c r="D2912" s="2" t="str">
        <f t="shared" si="44"/>
        <v>Error?</v>
      </c>
    </row>
    <row r="2913" spans="1:4" x14ac:dyDescent="0.2">
      <c r="A2913" s="5">
        <v>2852</v>
      </c>
      <c r="B2913" s="138">
        <f>'Assets-Liab 5-6'!I41</f>
        <v>1211304</v>
      </c>
      <c r="C2913" s="2" t="s">
        <v>594</v>
      </c>
      <c r="D2913" s="2" t="str">
        <f t="shared" si="44"/>
        <v>Error?</v>
      </c>
    </row>
    <row r="2914" spans="1:4" x14ac:dyDescent="0.2">
      <c r="A2914" s="5">
        <v>2853</v>
      </c>
      <c r="B2914" s="138">
        <f>'Assets-Liab 5-6'!L33</f>
        <v>217847</v>
      </c>
      <c r="D2914" s="2" t="str">
        <f t="shared" si="44"/>
        <v>Error?</v>
      </c>
    </row>
    <row r="2915" spans="1:4" x14ac:dyDescent="0.2">
      <c r="A2915" s="10">
        <v>2854</v>
      </c>
      <c r="D2915" s="2" t="str">
        <f t="shared" si="44"/>
        <v>OK</v>
      </c>
    </row>
    <row r="2916" spans="1:4" x14ac:dyDescent="0.2">
      <c r="A2916" s="5">
        <v>2855</v>
      </c>
      <c r="B2916" s="138">
        <f>'Assets-Liab 5-6'!L34</f>
        <v>217847</v>
      </c>
      <c r="C2916" s="2" t="s">
        <v>594</v>
      </c>
      <c r="D2916" s="2" t="str">
        <f t="shared" si="44"/>
        <v>Error?</v>
      </c>
    </row>
    <row r="2917" spans="1:4" x14ac:dyDescent="0.2">
      <c r="A2917" s="5">
        <v>2856</v>
      </c>
      <c r="B2917" s="138">
        <f>'Assets-Liab 5-6'!L41</f>
        <v>217847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22002</v>
      </c>
      <c r="D2949" s="2" t="str">
        <f t="shared" si="45"/>
        <v>Error?</v>
      </c>
    </row>
    <row r="2950" spans="1:4" x14ac:dyDescent="0.2">
      <c r="A2950" s="5">
        <v>2889</v>
      </c>
      <c r="B2950" s="138">
        <f>'Expenditures 15-22'!E79</f>
        <v>165782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6820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22002</v>
      </c>
      <c r="C2973" s="2" t="s">
        <v>594</v>
      </c>
      <c r="D2973" s="2" t="str">
        <f t="shared" si="45"/>
        <v>Error?</v>
      </c>
    </row>
    <row r="2974" spans="1:4" x14ac:dyDescent="0.2">
      <c r="A2974" s="5">
        <v>2913</v>
      </c>
      <c r="B2974" s="138">
        <f>'Expenditures 15-22'!K79</f>
        <v>165782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6820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5896</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5896</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37605</v>
      </c>
      <c r="D3055" s="2" t="str">
        <f t="shared" si="46"/>
        <v>Error?</v>
      </c>
    </row>
    <row r="3056" spans="1:4" x14ac:dyDescent="0.2">
      <c r="A3056" s="5">
        <v>2995</v>
      </c>
      <c r="B3056" s="138">
        <f>'Expenditures 15-22'!D10</f>
        <v>15289</v>
      </c>
      <c r="D3056" s="2" t="str">
        <f t="shared" si="46"/>
        <v>Error?</v>
      </c>
    </row>
    <row r="3057" spans="1:4" x14ac:dyDescent="0.2">
      <c r="A3057" s="5">
        <v>2996</v>
      </c>
      <c r="B3057" s="138">
        <f>'Expenditures 15-22'!E10</f>
        <v>1109</v>
      </c>
      <c r="D3057" s="2" t="str">
        <f t="shared" si="46"/>
        <v>Error?</v>
      </c>
    </row>
    <row r="3058" spans="1:4" x14ac:dyDescent="0.2">
      <c r="A3058" s="5">
        <v>2997</v>
      </c>
      <c r="B3058" s="138">
        <f>'Expenditures 15-22'!F10</f>
        <v>11782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65785</v>
      </c>
      <c r="C3062" s="2" t="s">
        <v>594</v>
      </c>
      <c r="D3062" s="2" t="str">
        <f t="shared" si="46"/>
        <v>Error?</v>
      </c>
    </row>
    <row r="3063" spans="1:4" x14ac:dyDescent="0.2">
      <c r="A3063" s="10">
        <v>3002</v>
      </c>
      <c r="D3063" s="2" t="str">
        <f t="shared" si="46"/>
        <v>OK</v>
      </c>
    </row>
    <row r="3064" spans="1:4" x14ac:dyDescent="0.2">
      <c r="A3064" s="5">
        <v>3003</v>
      </c>
      <c r="B3064" s="138">
        <f>'Expenditures 15-22'!D219</f>
        <v>545</v>
      </c>
      <c r="D3064" s="2" t="str">
        <f t="shared" si="46"/>
        <v>Error?</v>
      </c>
    </row>
    <row r="3065" spans="1:4" x14ac:dyDescent="0.2">
      <c r="A3065" s="5">
        <v>3004</v>
      </c>
      <c r="B3065" s="138">
        <f>'Expenditures 15-22'!K219</f>
        <v>545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33552</v>
      </c>
      <c r="C3225" s="2" t="s">
        <v>594</v>
      </c>
      <c r="D3225" s="2" t="str">
        <f t="shared" si="49"/>
        <v>Error?</v>
      </c>
    </row>
    <row r="3226" spans="1:4" x14ac:dyDescent="0.2">
      <c r="A3226" s="5">
        <v>3165</v>
      </c>
      <c r="B3226" s="138">
        <f>'Acct Summary 7-8'!I8</f>
        <v>33552</v>
      </c>
      <c r="C3226" s="2" t="s">
        <v>594</v>
      </c>
      <c r="D3226" s="2" t="str">
        <f t="shared" si="49"/>
        <v>Error?</v>
      </c>
    </row>
    <row r="3227" spans="1:4" x14ac:dyDescent="0.2">
      <c r="A3227" s="5">
        <v>3166</v>
      </c>
      <c r="B3227" s="138">
        <f>'Acct Summary 7-8'!I20</f>
        <v>33552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-14570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36709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102178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-53521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25880</v>
      </c>
      <c r="D3273" s="2" t="str">
        <f t="shared" si="50"/>
        <v>Error?</v>
      </c>
    </row>
    <row r="3274" spans="1:4" x14ac:dyDescent="0.2">
      <c r="A3274" s="5">
        <v>3213</v>
      </c>
      <c r="B3274" s="138">
        <f>'Acct Summary 7-8'!E44</f>
        <v>25880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25880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6865070</v>
      </c>
      <c r="C3296" s="2" t="s">
        <v>594</v>
      </c>
      <c r="D3296" s="2" t="str">
        <f t="shared" si="50"/>
        <v>Error?</v>
      </c>
    </row>
    <row r="3297" spans="1:4" x14ac:dyDescent="0.2">
      <c r="A3297" s="5">
        <v>3236</v>
      </c>
      <c r="B3297" s="138">
        <f>'Acct Summary 7-8'!H75</f>
        <v>313913</v>
      </c>
      <c r="D3297" s="2" t="str">
        <f t="shared" si="50"/>
        <v>Error?</v>
      </c>
    </row>
    <row r="3298" spans="1:4" x14ac:dyDescent="0.2">
      <c r="A3298" s="5">
        <v>3237</v>
      </c>
      <c r="B3298" s="138">
        <f>'Acct Summary 7-8'!H76</f>
        <v>313913</v>
      </c>
      <c r="C3298" s="2" t="s">
        <v>594</v>
      </c>
      <c r="D3298" s="2" t="str">
        <f t="shared" si="50"/>
        <v>Error?</v>
      </c>
    </row>
    <row r="3299" spans="1:4" x14ac:dyDescent="0.2">
      <c r="A3299" s="5">
        <v>3238</v>
      </c>
      <c r="B3299" s="138">
        <f>'Acct Summary 7-8'!H77</f>
        <v>6551157</v>
      </c>
      <c r="C3299" s="2" t="s">
        <v>594</v>
      </c>
      <c r="D3299" s="2" t="str">
        <f t="shared" si="50"/>
        <v>Error?</v>
      </c>
    </row>
    <row r="3300" spans="1:4" x14ac:dyDescent="0.2">
      <c r="A3300" s="5">
        <v>3239</v>
      </c>
      <c r="B3300" s="138">
        <f>'Acct Summary 7-8'!H78</f>
        <v>2960007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33552</v>
      </c>
      <c r="C3320" s="2" t="s">
        <v>594</v>
      </c>
      <c r="D3320" s="2" t="str">
        <f t="shared" si="50"/>
        <v>Error?</v>
      </c>
    </row>
    <row r="3321" spans="1:4" x14ac:dyDescent="0.2">
      <c r="A3321" s="5">
        <v>3260</v>
      </c>
      <c r="B3321" s="138">
        <f>'Acct Summary 7-8'!I79</f>
        <v>1167875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1201427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165028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44492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210228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39021</v>
      </c>
      <c r="D3387" s="2" t="str">
        <f t="shared" si="51"/>
        <v>Error?</v>
      </c>
    </row>
    <row r="3388" spans="1:4" x14ac:dyDescent="0.2">
      <c r="A3388" s="5">
        <v>3327</v>
      </c>
      <c r="B3388" s="138">
        <f>'Expenditures 15-22'!D217</f>
        <v>2393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39021</v>
      </c>
      <c r="C3390" s="2" t="s">
        <v>594</v>
      </c>
      <c r="D3390" s="2" t="str">
        <f t="shared" si="51"/>
        <v>Error?</v>
      </c>
    </row>
    <row r="3391" spans="1:4" x14ac:dyDescent="0.2">
      <c r="A3391" s="5">
        <v>3330</v>
      </c>
      <c r="B3391" s="138">
        <f>'Expenditures 15-22'!K217</f>
        <v>2393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1517569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106287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133159</v>
      </c>
      <c r="D3417" s="2" t="str">
        <f t="shared" si="52"/>
        <v>Error?</v>
      </c>
    </row>
    <row r="3418" spans="1:4" x14ac:dyDescent="0.2">
      <c r="A3418" s="10">
        <v>3357</v>
      </c>
      <c r="D3418" s="2" t="str">
        <f t="shared" si="52"/>
        <v>OK</v>
      </c>
    </row>
    <row r="3419" spans="1:4" x14ac:dyDescent="0.2">
      <c r="A3419" s="5">
        <v>3358</v>
      </c>
      <c r="B3419" s="138">
        <f>'Assets-Liab 5-6'!F4</f>
        <v>302514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108528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3144930</v>
      </c>
      <c r="D3425" s="2" t="str">
        <f t="shared" si="52"/>
        <v>Error?</v>
      </c>
    </row>
    <row r="3426" spans="1:4" x14ac:dyDescent="0.2">
      <c r="A3426" s="10">
        <v>3365</v>
      </c>
      <c r="D3426" s="2" t="str">
        <f t="shared" si="52"/>
        <v>OK</v>
      </c>
    </row>
    <row r="3427" spans="1:4" x14ac:dyDescent="0.2">
      <c r="A3427" s="5">
        <v>3366</v>
      </c>
      <c r="B3427" s="138">
        <f>'Assets-Liab 5-6'!I4</f>
        <v>43429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87847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38109</v>
      </c>
      <c r="C3446" s="2" t="s">
        <v>594</v>
      </c>
      <c r="D3446" s="2" t="str">
        <f t="shared" si="52"/>
        <v>Error?</v>
      </c>
    </row>
    <row r="3447" spans="1:4" x14ac:dyDescent="0.2">
      <c r="A3447" s="5">
        <v>3386</v>
      </c>
      <c r="B3447" s="138">
        <f>'Tax Sched 23'!D16</f>
        <v>38109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40004</v>
      </c>
      <c r="C3449" s="2" t="s">
        <v>594</v>
      </c>
      <c r="D3449" s="2" t="str">
        <f t="shared" si="52"/>
        <v>Error?</v>
      </c>
    </row>
    <row r="3450" spans="1:4" x14ac:dyDescent="0.2">
      <c r="A3450" s="5">
        <v>3389</v>
      </c>
      <c r="B3450" s="138">
        <f>'Tax Sched 23'!E16</f>
        <v>40004</v>
      </c>
      <c r="D3450" s="2" t="str">
        <f t="shared" si="52"/>
        <v>Error?</v>
      </c>
    </row>
    <row r="3451" spans="1:4" x14ac:dyDescent="0.2">
      <c r="A3451" s="5">
        <v>3390</v>
      </c>
      <c r="B3451" s="138">
        <f>'Cap Outlay Deprec 26'!C15</f>
        <v>544294</v>
      </c>
      <c r="D3451" s="2" t="str">
        <f t="shared" si="52"/>
        <v>Error?</v>
      </c>
    </row>
    <row r="3452" spans="1:4" x14ac:dyDescent="0.2">
      <c r="A3452" s="5">
        <v>3391</v>
      </c>
      <c r="B3452" s="138">
        <f>'Cap Outlay Deprec 26'!D15</f>
        <v>3804052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4348346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4348346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17125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30869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496</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496</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30373</v>
      </c>
      <c r="D3567" s="2" t="str">
        <f t="shared" si="54"/>
        <v>Error?</v>
      </c>
    </row>
    <row r="3568" spans="1:4" x14ac:dyDescent="0.2">
      <c r="A3568" s="5">
        <v>3507</v>
      </c>
      <c r="B3568" s="138">
        <f>'Assets-Liab 5-6'!K41</f>
        <v>30869</v>
      </c>
      <c r="C3568" s="2" t="s">
        <v>594</v>
      </c>
      <c r="D3568" s="2" t="str">
        <f t="shared" si="54"/>
        <v>Error?</v>
      </c>
    </row>
    <row r="3569" spans="1:4" x14ac:dyDescent="0.2">
      <c r="A3569" s="5">
        <v>3508</v>
      </c>
      <c r="B3569" s="138">
        <f>'Acct Summary 7-8'!K4</f>
        <v>14598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14598</v>
      </c>
      <c r="C3571" s="2" t="s">
        <v>594</v>
      </c>
      <c r="D3571" s="2" t="str">
        <f t="shared" si="54"/>
        <v>Error?</v>
      </c>
    </row>
    <row r="3572" spans="1:4" x14ac:dyDescent="0.2">
      <c r="A3572" s="5">
        <v>3511</v>
      </c>
      <c r="B3572" s="138">
        <f>'Acct Summary 7-8'!K13</f>
        <v>61725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61725</v>
      </c>
      <c r="C3575" s="2" t="s">
        <v>594</v>
      </c>
      <c r="D3575" s="2" t="str">
        <f t="shared" si="54"/>
        <v>Error?</v>
      </c>
    </row>
    <row r="3576" spans="1:4" x14ac:dyDescent="0.2">
      <c r="A3576" s="5">
        <v>3515</v>
      </c>
      <c r="B3576" s="138">
        <f>'Acct Summary 7-8'!K20</f>
        <v>-47127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-47127</v>
      </c>
      <c r="C3588" s="2" t="s">
        <v>594</v>
      </c>
      <c r="D3588" s="2" t="str">
        <f t="shared" si="55"/>
        <v>Error?</v>
      </c>
    </row>
    <row r="3589" spans="1:4" x14ac:dyDescent="0.2">
      <c r="A3589" s="5">
        <v>3528</v>
      </c>
      <c r="B3589" s="138">
        <f>'Acct Summary 7-8'!K79</f>
        <v>77500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30373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61725</v>
      </c>
      <c r="D3639" s="2" t="str">
        <f t="shared" si="55"/>
        <v>Error?</v>
      </c>
    </row>
    <row r="3640" spans="1:4" x14ac:dyDescent="0.2">
      <c r="A3640" s="5">
        <v>3579</v>
      </c>
      <c r="B3640" s="138">
        <f>'Expenditures 15-22'!F350</f>
        <v>61725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61725</v>
      </c>
      <c r="C3642" s="2" t="s">
        <v>594</v>
      </c>
      <c r="D3642" s="2" t="str">
        <f t="shared" si="55"/>
        <v>Error?</v>
      </c>
    </row>
    <row r="3643" spans="1:4" x14ac:dyDescent="0.2">
      <c r="A3643" s="5">
        <v>3582</v>
      </c>
      <c r="B3643" s="138">
        <f>'Expenditures 15-22'!F367</f>
        <v>61725</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61725</v>
      </c>
      <c r="C3669" s="2" t="s">
        <v>594</v>
      </c>
      <c r="D3669" s="2" t="str">
        <f t="shared" si="56"/>
        <v>Error?</v>
      </c>
    </row>
    <row r="3670" spans="1:4" x14ac:dyDescent="0.2">
      <c r="A3670" s="5">
        <v>3609</v>
      </c>
      <c r="B3670" s="138">
        <f>'Expenditures 15-22'!K350</f>
        <v>61725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61725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61725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-47127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23819</v>
      </c>
      <c r="C3725" s="2" t="s">
        <v>594</v>
      </c>
      <c r="D3725" s="2" t="str">
        <f t="shared" si="57"/>
        <v>Error?</v>
      </c>
    </row>
    <row r="3726" spans="1:4" x14ac:dyDescent="0.2">
      <c r="A3726" s="5">
        <v>3665</v>
      </c>
      <c r="B3726" s="138">
        <f>'Tax Sched 23'!D13</f>
        <v>23819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24486</v>
      </c>
      <c r="C3728" s="2" t="s">
        <v>594</v>
      </c>
      <c r="D3728" s="2" t="str">
        <f t="shared" si="57"/>
        <v>Error?</v>
      </c>
    </row>
    <row r="3729" spans="1:4" x14ac:dyDescent="0.2">
      <c r="A3729" s="5">
        <v>3668</v>
      </c>
      <c r="B3729" s="138">
        <f>'Tax Sched 23'!E13</f>
        <v>24486</v>
      </c>
      <c r="D3729" s="2" t="str">
        <f t="shared" si="57"/>
        <v>Error?</v>
      </c>
    </row>
    <row r="3730" spans="1:4" x14ac:dyDescent="0.2">
      <c r="A3730" s="5">
        <v>3669</v>
      </c>
      <c r="B3730" s="138">
        <f>'ICR Computation 30'!E10</f>
        <v>84793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1205841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4122538</v>
      </c>
      <c r="C4122" s="2" t="s">
        <v>594</v>
      </c>
      <c r="D4122" s="2" t="str">
        <f t="shared" si="63"/>
        <v>Error?</v>
      </c>
    </row>
    <row r="4123" spans="1:4" x14ac:dyDescent="0.2">
      <c r="A4123" s="5">
        <v>4062</v>
      </c>
      <c r="B4123" s="138">
        <f>'Acct Summary 7-8'!D10</f>
        <v>450675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372126</v>
      </c>
      <c r="C4125" s="2" t="s">
        <v>594</v>
      </c>
      <c r="D4125" s="2" t="str">
        <f t="shared" si="63"/>
        <v>Error?</v>
      </c>
    </row>
    <row r="4126" spans="1:4" x14ac:dyDescent="0.2">
      <c r="A4126" s="5">
        <v>4065</v>
      </c>
      <c r="B4126" s="138">
        <f>'Acct Summary 7-8'!G10</f>
        <v>87741</v>
      </c>
      <c r="C4126" s="2" t="s">
        <v>594</v>
      </c>
      <c r="D4126" s="2" t="str">
        <f t="shared" si="63"/>
        <v>Error?</v>
      </c>
    </row>
    <row r="4127" spans="1:4" x14ac:dyDescent="0.2">
      <c r="A4127" s="5">
        <v>4066</v>
      </c>
      <c r="B4127" s="138">
        <f>'Acct Summary 7-8'!H10</f>
        <v>214533</v>
      </c>
      <c r="C4127" s="2" t="s">
        <v>594</v>
      </c>
      <c r="D4127" s="2" t="str">
        <f t="shared" si="63"/>
        <v>Error?</v>
      </c>
    </row>
    <row r="4128" spans="1:4" x14ac:dyDescent="0.2">
      <c r="A4128" s="5">
        <v>4067</v>
      </c>
      <c r="B4128" s="138">
        <f>'Acct Summary 7-8'!I10</f>
        <v>33552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14598</v>
      </c>
      <c r="C4130" s="2" t="s">
        <v>594</v>
      </c>
      <c r="D4130" s="2" t="str">
        <f t="shared" si="63"/>
        <v>Error?</v>
      </c>
    </row>
    <row r="4131" spans="1:4" x14ac:dyDescent="0.2">
      <c r="A4131" s="5">
        <v>4070</v>
      </c>
      <c r="B4131" s="138">
        <f>'Acct Summary 7-8'!C18</f>
        <v>1205841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4137108</v>
      </c>
      <c r="C4136" s="2" t="s">
        <v>594</v>
      </c>
      <c r="D4136" s="2" t="str">
        <f t="shared" si="63"/>
        <v>Error?</v>
      </c>
    </row>
    <row r="4137" spans="1:4" x14ac:dyDescent="0.2">
      <c r="A4137" s="5">
        <v>4076</v>
      </c>
      <c r="B4137" s="138">
        <f>'Acct Summary 7-8'!D19</f>
        <v>413966</v>
      </c>
      <c r="C4137" s="2" t="s">
        <v>594</v>
      </c>
      <c r="D4137" s="2" t="str">
        <f t="shared" si="63"/>
        <v>Error?</v>
      </c>
    </row>
    <row r="4138" spans="1:4" x14ac:dyDescent="0.2">
      <c r="A4138" s="5">
        <v>4077</v>
      </c>
      <c r="B4138" s="138">
        <f>'Acct Summary 7-8'!E19</f>
        <v>25880</v>
      </c>
      <c r="C4138" s="2" t="s">
        <v>594</v>
      </c>
      <c r="D4138" s="2" t="str">
        <f t="shared" si="63"/>
        <v>Error?</v>
      </c>
    </row>
    <row r="4139" spans="1:4" x14ac:dyDescent="0.2">
      <c r="A4139" s="5">
        <v>4078</v>
      </c>
      <c r="B4139" s="138">
        <f>'Acct Summary 7-8'!F19</f>
        <v>269948</v>
      </c>
      <c r="C4139" s="2" t="s">
        <v>594</v>
      </c>
      <c r="D4139" s="2" t="str">
        <f t="shared" si="63"/>
        <v>Error?</v>
      </c>
    </row>
    <row r="4140" spans="1:4" x14ac:dyDescent="0.2">
      <c r="A4140" s="5">
        <v>4079</v>
      </c>
      <c r="B4140" s="138">
        <f>'Acct Summary 7-8'!G19</f>
        <v>141262</v>
      </c>
      <c r="C4140" s="2" t="s">
        <v>594</v>
      </c>
      <c r="D4140" s="2" t="str">
        <f t="shared" si="63"/>
        <v>Error?</v>
      </c>
    </row>
    <row r="4141" spans="1:4" x14ac:dyDescent="0.2">
      <c r="A4141" s="5">
        <v>4080</v>
      </c>
      <c r="B4141" s="138">
        <f>'Acct Summary 7-8'!H19</f>
        <v>3805683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61725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6280000</v>
      </c>
      <c r="C4171" s="2" t="s">
        <v>594</v>
      </c>
      <c r="D4171" s="2" t="str">
        <f t="shared" si="64"/>
        <v>Error?</v>
      </c>
    </row>
    <row r="4172" spans="1:4" x14ac:dyDescent="0.2">
      <c r="A4172" s="5">
        <v>4111</v>
      </c>
      <c r="B4172" s="138">
        <f>'Short-Term Long-Term Debt 24'!J49</f>
        <v>6280000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3429</v>
      </c>
      <c r="C4265" s="2" t="s">
        <v>594</v>
      </c>
      <c r="D4265" s="2" t="str">
        <f t="shared" si="65"/>
        <v>Error?</v>
      </c>
      <c r="E4265" s="128"/>
    </row>
    <row r="4266" spans="1:5" x14ac:dyDescent="0.2">
      <c r="A4266" s="12">
        <v>4205</v>
      </c>
      <c r="B4266" s="138">
        <f>('FP Info 3'!F10)*100000</f>
        <v>49</v>
      </c>
      <c r="C4266" s="2" t="s">
        <v>594</v>
      </c>
      <c r="D4266" s="2" t="str">
        <f t="shared" si="65"/>
        <v>Error?</v>
      </c>
      <c r="E4266" s="128"/>
    </row>
    <row r="4267" spans="1:5" x14ac:dyDescent="0.2">
      <c r="A4267" s="12">
        <v>4206</v>
      </c>
      <c r="B4267" s="138">
        <f>('FP Info 3'!H10)*100000</f>
        <v>163.29999999999998</v>
      </c>
      <c r="C4267" s="2" t="s">
        <v>594</v>
      </c>
      <c r="D4267" s="2" t="str">
        <f t="shared" si="65"/>
        <v>Error?</v>
      </c>
      <c r="E4267" s="128"/>
    </row>
    <row r="4268" spans="1:5" x14ac:dyDescent="0.2">
      <c r="A4268" s="12">
        <v>4207</v>
      </c>
      <c r="B4268" s="138">
        <f>('FP Info 3'!J10)*100000</f>
        <v>3641</v>
      </c>
      <c r="C4268" s="2" t="s">
        <v>594</v>
      </c>
      <c r="D4268" s="2" t="str">
        <f t="shared" si="65"/>
        <v>Error?</v>
      </c>
    </row>
    <row r="4269" spans="1:5" x14ac:dyDescent="0.2">
      <c r="A4269" s="12">
        <v>4208</v>
      </c>
      <c r="B4269" s="138">
        <f>'FP Info 3'!J16</f>
        <v>3193568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7993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5565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18467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18467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12148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32.67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20220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59958177</v>
      </c>
      <c r="D4995" s="2" t="str">
        <f t="shared" si="77"/>
        <v>Error?</v>
      </c>
    </row>
    <row r="4996" spans="1:4" x14ac:dyDescent="0.2">
      <c r="A4996" s="12">
        <v>4935</v>
      </c>
      <c r="B4996" s="138">
        <f>'FP Info 3'!H31</f>
        <v>8274228.4260000009</v>
      </c>
      <c r="D4996" s="2" t="str">
        <f t="shared" si="77"/>
        <v>Error?</v>
      </c>
    </row>
    <row r="4997" spans="1:4" x14ac:dyDescent="0.2">
      <c r="A4997" s="12">
        <v>4936</v>
      </c>
      <c r="B4997" s="138">
        <f>'FP Info 3'!H37</f>
        <v>6280000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23819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1887196</v>
      </c>
      <c r="D5061" s="2" t="str">
        <f t="shared" si="78"/>
        <v>Error?</v>
      </c>
    </row>
    <row r="5062" spans="1:4" x14ac:dyDescent="0.2">
      <c r="A5062" s="10">
        <v>5001</v>
      </c>
      <c r="D5062" s="2" t="str">
        <f t="shared" si="78"/>
        <v>OK</v>
      </c>
    </row>
    <row r="5063" spans="1:4" x14ac:dyDescent="0.2">
      <c r="A5063" s="5">
        <v>5002</v>
      </c>
      <c r="B5063" s="138">
        <f>'Revenues 9-14'!C7</f>
        <v>40010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1951025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9509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50355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14324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74188</v>
      </c>
      <c r="C5087" s="2" t="s">
        <v>594</v>
      </c>
      <c r="D5087" s="2" t="str">
        <f t="shared" si="78"/>
        <v>Error?</v>
      </c>
    </row>
    <row r="5088" spans="1:4" x14ac:dyDescent="0.2">
      <c r="A5088" s="5">
        <v>5027</v>
      </c>
      <c r="B5088" s="138">
        <f>'Revenues 9-14'!C65</f>
        <v>6180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6180</v>
      </c>
      <c r="C5090" s="2" t="s">
        <v>594</v>
      </c>
      <c r="D5090" s="2" t="str">
        <f t="shared" si="78"/>
        <v>Error?</v>
      </c>
    </row>
    <row r="5091" spans="1:4" x14ac:dyDescent="0.2">
      <c r="A5091" s="5">
        <v>5030</v>
      </c>
      <c r="B5091" s="138">
        <f>'Revenues 9-14'!C70</f>
        <v>10173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54989</v>
      </c>
      <c r="C5096" s="2" t="s">
        <v>594</v>
      </c>
      <c r="D5096" s="2" t="str">
        <f t="shared" si="78"/>
        <v>Error?</v>
      </c>
    </row>
    <row r="5097" spans="1:4" x14ac:dyDescent="0.2">
      <c r="A5097" s="5">
        <v>5036</v>
      </c>
      <c r="B5097" s="138">
        <f>'Revenues 9-14'!C77</f>
        <v>5760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2859</v>
      </c>
      <c r="D5099" s="2" t="str">
        <f t="shared" si="78"/>
        <v>Error?</v>
      </c>
    </row>
    <row r="5100" spans="1:4" x14ac:dyDescent="0.2">
      <c r="A5100" s="5">
        <v>5039</v>
      </c>
      <c r="B5100" s="138">
        <f>'Revenues 9-14'!C80</f>
        <v>800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9419</v>
      </c>
      <c r="C5102" s="2" t="s">
        <v>594</v>
      </c>
      <c r="D5102" s="2" t="str">
        <f t="shared" si="78"/>
        <v>Error?</v>
      </c>
    </row>
    <row r="5103" spans="1:4" x14ac:dyDescent="0.2">
      <c r="A5103" s="5">
        <v>5042</v>
      </c>
      <c r="B5103" s="138">
        <f>'Revenues 9-14'!C84</f>
        <v>7175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20220</v>
      </c>
      <c r="C5120" s="2" t="s">
        <v>594</v>
      </c>
      <c r="D5120" s="2" t="str">
        <f t="shared" si="79"/>
        <v>Error?</v>
      </c>
    </row>
    <row r="5121" spans="1:4" x14ac:dyDescent="0.2">
      <c r="A5121" s="5">
        <v>5060</v>
      </c>
      <c r="B5121" s="138">
        <f>'Revenues 9-14'!C109</f>
        <v>2123196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488719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488719</v>
      </c>
      <c r="C5132" s="2" t="s">
        <v>594</v>
      </c>
      <c r="D5132" s="2" t="str">
        <f t="shared" si="79"/>
        <v>Error?</v>
      </c>
    </row>
    <row r="5133" spans="1:4" x14ac:dyDescent="0.2">
      <c r="A5133" s="5">
        <v>5072</v>
      </c>
      <c r="B5133" s="138">
        <f>'Revenues 9-14'!C124</f>
        <v>57235</v>
      </c>
      <c r="D5133" s="2" t="str">
        <f t="shared" si="79"/>
        <v>Error?</v>
      </c>
    </row>
    <row r="5134" spans="1:4" x14ac:dyDescent="0.2">
      <c r="A5134" s="5">
        <v>5073</v>
      </c>
      <c r="B5134" s="138">
        <f>'Revenues 9-14'!C125</f>
        <v>18564</v>
      </c>
      <c r="D5134" s="2" t="str">
        <f t="shared" si="79"/>
        <v>Error?</v>
      </c>
    </row>
    <row r="5135" spans="1:4" x14ac:dyDescent="0.2">
      <c r="A5135" s="5">
        <v>5074</v>
      </c>
      <c r="B5135" s="138">
        <f>'Revenues 9-14'!C126</f>
        <v>29573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105372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4666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958</v>
      </c>
      <c r="D5167" s="2" t="str">
        <f t="shared" si="79"/>
        <v>Error?</v>
      </c>
    </row>
    <row r="5168" spans="1:4" x14ac:dyDescent="0.2">
      <c r="A5168" s="5">
        <v>5107</v>
      </c>
      <c r="B5168" s="138">
        <f>'Revenues 9-14'!C147</f>
        <v>3748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116244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604963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52393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14145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66538</v>
      </c>
      <c r="C5246" s="2" t="s">
        <v>594</v>
      </c>
      <c r="D5246" s="2" t="str">
        <f t="shared" si="80"/>
        <v>Error?</v>
      </c>
    </row>
    <row r="5247" spans="1:4" x14ac:dyDescent="0.2">
      <c r="A5247" s="5">
        <v>5186</v>
      </c>
      <c r="B5247" s="138">
        <f>'Revenues 9-14'!C203</f>
        <v>77827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77827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188538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188538</v>
      </c>
      <c r="C5326" s="2" t="s">
        <v>594</v>
      </c>
      <c r="D5326" s="2" t="str">
        <f t="shared" si="82"/>
        <v>Error?</v>
      </c>
    </row>
    <row r="5327" spans="1:4" x14ac:dyDescent="0.2">
      <c r="A5327" s="5">
        <v>5266</v>
      </c>
      <c r="B5327" s="138">
        <f>'Revenues 9-14'!C275</f>
        <v>2916697</v>
      </c>
      <c r="C5327" s="2" t="s">
        <v>594</v>
      </c>
      <c r="D5327" s="2" t="str">
        <f t="shared" si="82"/>
        <v>Error?</v>
      </c>
    </row>
    <row r="5328" spans="1:4" x14ac:dyDescent="0.2">
      <c r="A5328" s="5">
        <v>5267</v>
      </c>
      <c r="B5328" s="138">
        <f>'Revenues 9-14'!D5</f>
        <v>378183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378183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72492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72492</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450675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450675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133366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133366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11473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11473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144839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111550</v>
      </c>
      <c r="D5615" s="2" t="str">
        <f t="shared" si="86"/>
        <v>Error?</v>
      </c>
    </row>
    <row r="5616" spans="1:4" x14ac:dyDescent="0.2">
      <c r="A5616" s="10">
        <v>5555</v>
      </c>
      <c r="D5616" s="2" t="str">
        <f t="shared" si="86"/>
        <v>OK</v>
      </c>
    </row>
    <row r="5617" spans="1:4" x14ac:dyDescent="0.2">
      <c r="A5617" s="5">
        <v>5556</v>
      </c>
      <c r="B5617" s="138">
        <f>'Revenues 9-14'!F152</f>
        <v>115737</v>
      </c>
      <c r="D5617" s="2" t="str">
        <f t="shared" si="86"/>
        <v>Error?</v>
      </c>
    </row>
    <row r="5618" spans="1:4" x14ac:dyDescent="0.2">
      <c r="A5618" s="5">
        <v>5557</v>
      </c>
      <c r="B5618" s="138">
        <f>'Revenues 9-14'!F154</f>
        <v>227287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227287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227287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372126</v>
      </c>
      <c r="C5720" s="2" t="s">
        <v>594</v>
      </c>
      <c r="D5720" s="2" t="str">
        <f t="shared" si="88"/>
        <v>Error?</v>
      </c>
    </row>
    <row r="5721" spans="1:4" x14ac:dyDescent="0.2">
      <c r="A5721" s="5">
        <v>5660</v>
      </c>
      <c r="B5721" s="138">
        <f>'Revenues 9-14'!G5</f>
        <v>47632</v>
      </c>
      <c r="D5721" s="2" t="str">
        <f t="shared" si="88"/>
        <v>Error?</v>
      </c>
    </row>
    <row r="5722" spans="1:4" x14ac:dyDescent="0.2">
      <c r="A5722" s="5">
        <v>5661</v>
      </c>
      <c r="B5722" s="138">
        <f>'Revenues 9-14'!G7</f>
        <v>0</v>
      </c>
      <c r="D5722" s="2" t="str">
        <f t="shared" si="88"/>
        <v>Error?</v>
      </c>
    </row>
    <row r="5723" spans="1:4" x14ac:dyDescent="0.2">
      <c r="A5723" s="5">
        <v>5662</v>
      </c>
      <c r="B5723" s="138">
        <f>'Revenues 9-14'!G8</f>
        <v>38109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85741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87741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5777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5777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208756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214533</v>
      </c>
      <c r="C5915" s="2" t="s">
        <v>594</v>
      </c>
      <c r="D5915" s="2" t="str">
        <f t="shared" si="91"/>
        <v>Error?</v>
      </c>
    </row>
    <row r="5916" spans="1:4" x14ac:dyDescent="0.2">
      <c r="A5916" s="5">
        <v>5855</v>
      </c>
      <c r="B5916" s="138">
        <f>'Revenues 9-14'!I5</f>
        <v>19060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19060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14492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14492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33552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14296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14296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14598</v>
      </c>
      <c r="C6023" s="2" t="s">
        <v>594</v>
      </c>
      <c r="D6023" s="2" t="str">
        <f t="shared" si="93"/>
        <v>Error?</v>
      </c>
    </row>
    <row r="6024" spans="1:5" x14ac:dyDescent="0.2">
      <c r="A6024" s="5">
        <v>5963</v>
      </c>
      <c r="B6024" s="138">
        <f>'Revenues 9-14'!G109</f>
        <v>87741</v>
      </c>
      <c r="C6024" s="2" t="s">
        <v>594</v>
      </c>
      <c r="D6024" s="2" t="str">
        <f t="shared" si="93"/>
        <v>Error?</v>
      </c>
    </row>
    <row r="6025" spans="1:5" x14ac:dyDescent="0.2">
      <c r="A6025" s="5">
        <v>5964</v>
      </c>
      <c r="B6025" s="138">
        <f>'Revenues 9-14'!H109</f>
        <v>214533</v>
      </c>
      <c r="C6025" s="2" t="s">
        <v>594</v>
      </c>
      <c r="D6025" s="2" t="str">
        <f t="shared" si="93"/>
        <v>Error?</v>
      </c>
    </row>
    <row r="6026" spans="1:5" x14ac:dyDescent="0.2">
      <c r="A6026" s="5">
        <v>5965</v>
      </c>
      <c r="B6026" s="138">
        <f>'Revenues 9-14'!I109</f>
        <v>33552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14598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44816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12650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27321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24692</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24692</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2629</v>
      </c>
      <c r="D6215" s="2" t="str">
        <f t="shared" si="96"/>
        <v>Error?</v>
      </c>
      <c r="E6215" s="2" t="s">
        <v>199</v>
      </c>
    </row>
    <row r="6216" spans="1:5" x14ac:dyDescent="0.2">
      <c r="A6216">
        <v>6155</v>
      </c>
      <c r="B6216" s="138">
        <f>'Assets-Liab 5-6'!J41</f>
        <v>27321</v>
      </c>
      <c r="D6216" s="2" t="str">
        <f t="shared" si="96"/>
        <v>Error?</v>
      </c>
      <c r="E6216" s="2" t="s">
        <v>199</v>
      </c>
    </row>
    <row r="6217" spans="1:5" x14ac:dyDescent="0.2">
      <c r="A6217">
        <v>6156</v>
      </c>
      <c r="B6217" s="138">
        <f>'Assets-Liab 5-6'!J4</f>
        <v>27321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47632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47632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47632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49279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49279</v>
      </c>
      <c r="D6229" s="2" t="str">
        <f t="shared" si="96"/>
        <v>Error?</v>
      </c>
      <c r="E6229" s="2" t="s">
        <v>199</v>
      </c>
    </row>
    <row r="6230" spans="1:5" x14ac:dyDescent="0.2">
      <c r="A6230">
        <v>6169</v>
      </c>
      <c r="B6230" s="138">
        <f>'Acct Summary 7-8'!J20</f>
        <v>-1647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-1647</v>
      </c>
      <c r="D6263" s="2" t="str">
        <f t="shared" si="96"/>
        <v>Error?</v>
      </c>
      <c r="E6263" s="2" t="s">
        <v>199</v>
      </c>
    </row>
    <row r="6264" spans="1:5" x14ac:dyDescent="0.2">
      <c r="A6264">
        <v>6203</v>
      </c>
      <c r="B6264" s="138">
        <f>'Acct Summary 7-8'!J79</f>
        <v>4276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2629</v>
      </c>
      <c r="D6266" s="2" t="str">
        <f t="shared" si="96"/>
        <v>Error?</v>
      </c>
      <c r="E6266" s="2" t="s">
        <v>199</v>
      </c>
    </row>
    <row r="6267" spans="1:5" x14ac:dyDescent="0.2">
      <c r="A6267">
        <v>6206</v>
      </c>
      <c r="B6267" s="138">
        <f>'Acct Summary 7-8'!C82</f>
        <v>-14570</v>
      </c>
      <c r="D6267" s="2" t="str">
        <f t="shared" si="96"/>
        <v>Error?</v>
      </c>
      <c r="E6267" s="2" t="s">
        <v>199</v>
      </c>
    </row>
    <row r="6268" spans="1:5" x14ac:dyDescent="0.2">
      <c r="A6268">
        <v>6207</v>
      </c>
      <c r="B6268" s="138">
        <f>'Acct Summary 7-8'!D82</f>
        <v>36709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102178</v>
      </c>
      <c r="D6270" s="2" t="str">
        <f t="shared" si="96"/>
        <v>Error?</v>
      </c>
      <c r="E6270" s="2" t="s">
        <v>199</v>
      </c>
    </row>
    <row r="6271" spans="1:5" x14ac:dyDescent="0.2">
      <c r="A6271">
        <v>6210</v>
      </c>
      <c r="B6271" s="138">
        <f>'Acct Summary 7-8'!G82</f>
        <v>-53521</v>
      </c>
      <c r="D6271" s="2" t="str">
        <f t="shared" ref="D6271:D6334" si="97">IF(ISBLANK(B6271),"OK",IF(A6271-B6271=0,"OK","Error?"))</f>
        <v>Error?</v>
      </c>
      <c r="E6271" s="2" t="s">
        <v>199</v>
      </c>
    </row>
    <row r="6272" spans="1:5" x14ac:dyDescent="0.2">
      <c r="A6272">
        <v>6211</v>
      </c>
      <c r="B6272" s="138">
        <f>'Acct Summary 7-8'!H82</f>
        <v>2960007</v>
      </c>
      <c r="D6272" s="2" t="str">
        <f t="shared" si="97"/>
        <v>Error?</v>
      </c>
      <c r="E6272" s="2" t="s">
        <v>199</v>
      </c>
    </row>
    <row r="6273" spans="1:5" x14ac:dyDescent="0.2">
      <c r="A6273">
        <v>6212</v>
      </c>
      <c r="B6273" s="138">
        <f>'Acct Summary 7-8'!I82</f>
        <v>33552</v>
      </c>
      <c r="D6273" s="2" t="str">
        <f t="shared" si="97"/>
        <v>Error?</v>
      </c>
      <c r="E6273" s="2" t="s">
        <v>199</v>
      </c>
    </row>
    <row r="6274" spans="1:5" x14ac:dyDescent="0.2">
      <c r="A6274">
        <v>6213</v>
      </c>
      <c r="B6274" s="138">
        <f>'Acct Summary 7-8'!J82</f>
        <v>-1647</v>
      </c>
      <c r="D6274" s="2" t="str">
        <f t="shared" si="97"/>
        <v>Error?</v>
      </c>
      <c r="E6274" s="2" t="s">
        <v>199</v>
      </c>
    </row>
    <row r="6275" spans="1:5" x14ac:dyDescent="0.2">
      <c r="A6275">
        <v>6214</v>
      </c>
      <c r="B6275" s="138">
        <f>'Acct Summary 7-8'!K82</f>
        <v>-47127</v>
      </c>
      <c r="D6275" s="2" t="str">
        <f t="shared" si="97"/>
        <v>Error?</v>
      </c>
      <c r="E6275" s="2" t="s">
        <v>199</v>
      </c>
    </row>
    <row r="6276" spans="1:5" x14ac:dyDescent="0.2">
      <c r="A6276">
        <v>6215</v>
      </c>
      <c r="B6276" s="138">
        <f>'Acct Summary 7-8'!C83</f>
        <v>-1.9490752260097867E-2</v>
      </c>
      <c r="D6276" s="2" t="str">
        <f t="shared" si="97"/>
        <v>Error?</v>
      </c>
      <c r="E6276" s="2" t="s">
        <v>199</v>
      </c>
    </row>
    <row r="6277" spans="1:5" x14ac:dyDescent="0.2">
      <c r="A6277">
        <v>6216</v>
      </c>
      <c r="B6277" s="138">
        <f>'Acct Summary 7-8'!D83</f>
        <v>0.4013096760792802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8.8608956114380466E-2</v>
      </c>
      <c r="D6279" s="2" t="str">
        <f t="shared" si="97"/>
        <v>Error?</v>
      </c>
      <c r="E6279" s="2" t="s">
        <v>199</v>
      </c>
    </row>
    <row r="6280" spans="1:5" x14ac:dyDescent="0.2">
      <c r="A6280">
        <v>6219</v>
      </c>
      <c r="B6280" s="138">
        <f>'Acct Summary 7-8'!G83</f>
        <v>-1.4111582777440874</v>
      </c>
      <c r="D6280" s="2" t="str">
        <f t="shared" si="97"/>
        <v>Error?</v>
      </c>
      <c r="E6280" s="2" t="s">
        <v>199</v>
      </c>
    </row>
    <row r="6281" spans="1:5" x14ac:dyDescent="0.2">
      <c r="A6281">
        <v>6220</v>
      </c>
      <c r="B6281" s="138">
        <f>'Acct Summary 7-8'!H83</f>
        <v>0.94119964514313514</v>
      </c>
      <c r="D6281" s="2" t="str">
        <f t="shared" si="97"/>
        <v>Error?</v>
      </c>
      <c r="E6281" s="2" t="s">
        <v>199</v>
      </c>
    </row>
    <row r="6282" spans="1:5" x14ac:dyDescent="0.2">
      <c r="A6282">
        <v>6221</v>
      </c>
      <c r="B6282" s="138">
        <f>'Acct Summary 7-8'!I83</f>
        <v>2.7926790391759132E-2</v>
      </c>
      <c r="D6282" s="2" t="str">
        <f t="shared" si="97"/>
        <v>Error?</v>
      </c>
      <c r="E6282" s="2" t="s">
        <v>199</v>
      </c>
    </row>
    <row r="6283" spans="1:5" x14ac:dyDescent="0.2">
      <c r="A6283">
        <v>6222</v>
      </c>
      <c r="B6283" s="138">
        <f>'Acct Summary 7-8'!J83</f>
        <v>-0.62647394446557625</v>
      </c>
      <c r="D6283" s="2" t="str">
        <f t="shared" si="97"/>
        <v>Error?</v>
      </c>
      <c r="E6283" s="2" t="s">
        <v>199</v>
      </c>
    </row>
    <row r="6284" spans="1:5" x14ac:dyDescent="0.2">
      <c r="A6284">
        <v>6223</v>
      </c>
      <c r="B6284" s="138">
        <f>'Acct Summary 7-8'!K83</f>
        <v>-1.5516083363513646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47632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47632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47632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4666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42619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54949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2834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49279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47632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618</v>
      </c>
      <c r="D7073" s="2" t="str">
        <f t="shared" si="109"/>
        <v>Error?</v>
      </c>
    </row>
    <row r="7074" spans="1:4" x14ac:dyDescent="0.2">
      <c r="A7074">
        <v>7013</v>
      </c>
      <c r="B7074" s="138">
        <f>'Expenditures 15-22'!K216</f>
        <v>618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31486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31486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1668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49279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49279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49279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49279</v>
      </c>
      <c r="D7224" s="2" t="str">
        <f t="shared" si="111"/>
        <v>Error?</v>
      </c>
    </row>
    <row r="7225" spans="1:4" x14ac:dyDescent="0.2">
      <c r="A7225">
        <v>7164</v>
      </c>
      <c r="B7225" s="138">
        <f>'Expenditures 15-22'!K343</f>
        <v>-1647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12204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2834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64695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16125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16125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184923</v>
      </c>
      <c r="D7708" s="2" t="str">
        <f t="shared" si="126"/>
        <v>Error?</v>
      </c>
      <c r="E7708" s="2" t="s">
        <v>881</v>
      </c>
    </row>
    <row r="7709" spans="1:5" x14ac:dyDescent="0.2">
      <c r="A7709">
        <v>7648</v>
      </c>
      <c r="B7709" s="138">
        <f>'Rest Tax Levies-Tort Im 25'!K3</f>
        <v>1207</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208756</v>
      </c>
      <c r="D7713" s="2" t="str">
        <f t="shared" si="126"/>
        <v>Error?</v>
      </c>
      <c r="E7713" s="2" t="s">
        <v>881</v>
      </c>
    </row>
    <row r="7714" spans="1:6" x14ac:dyDescent="0.2">
      <c r="A7714">
        <v>7653</v>
      </c>
      <c r="B7714" s="138">
        <f>'Rest Tax Levies-Tort Im 25'!K9</f>
        <v>3748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208756</v>
      </c>
      <c r="D7718" s="2" t="str">
        <f t="shared" si="126"/>
        <v>Error?</v>
      </c>
      <c r="E7718" s="2" t="s">
        <v>881</v>
      </c>
    </row>
    <row r="7719" spans="1:6" x14ac:dyDescent="0.2">
      <c r="A7719">
        <v>7658</v>
      </c>
      <c r="B7719" s="138">
        <f>'Rest Tax Levies-Tort Im 25'!K12</f>
        <v>3748</v>
      </c>
      <c r="D7719" s="2" t="str">
        <f t="shared" si="126"/>
        <v>Error?</v>
      </c>
      <c r="E7719" s="2" t="s">
        <v>881</v>
      </c>
    </row>
    <row r="7720" spans="1:6" x14ac:dyDescent="0.2">
      <c r="A7720">
        <v>7659</v>
      </c>
      <c r="B7720" s="138">
        <f>'Rest Tax Levies-Tort Im 25'!H14</f>
        <v>40010</v>
      </c>
      <c r="D7720" s="2" t="str">
        <f t="shared" si="126"/>
        <v>Error?</v>
      </c>
      <c r="E7720" s="2" t="s">
        <v>881</v>
      </c>
    </row>
    <row r="7721" spans="1:6" x14ac:dyDescent="0.2">
      <c r="A7721">
        <v>7660</v>
      </c>
      <c r="B7721" s="138">
        <f>'Rest Tax Levies-Tort Im 25'!K14</f>
        <v>2834</v>
      </c>
      <c r="D7721" s="2" t="str">
        <f t="shared" si="126"/>
        <v>Error?</v>
      </c>
      <c r="E7721" s="2" t="s">
        <v>881</v>
      </c>
    </row>
    <row r="7722" spans="1:6" x14ac:dyDescent="0.2">
      <c r="A7722">
        <v>7661</v>
      </c>
      <c r="B7722" s="138">
        <f>'Rest Tax Levies-Tort Im 25'!J15</f>
        <v>1630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27510</v>
      </c>
      <c r="D7730" s="2" t="str">
        <f t="shared" si="126"/>
        <v>Error?</v>
      </c>
      <c r="E7730" s="2" t="s">
        <v>881</v>
      </c>
    </row>
    <row r="7731" spans="1:6" x14ac:dyDescent="0.2">
      <c r="A7731">
        <v>7670</v>
      </c>
      <c r="B7731" s="138">
        <f>'Revenues 9-14'!H103</f>
        <v>208756</v>
      </c>
      <c r="D7731" s="2" t="str">
        <f t="shared" si="126"/>
        <v>Error?</v>
      </c>
      <c r="E7731" s="2" t="s">
        <v>881</v>
      </c>
    </row>
    <row r="7732" spans="1:6" x14ac:dyDescent="0.2">
      <c r="A7732">
        <v>7671</v>
      </c>
      <c r="B7732" s="138">
        <f>'Rest Tax Levies-Tort Im 25'!J24</f>
        <v>366169</v>
      </c>
      <c r="D7732" s="2" t="str">
        <f t="shared" si="126"/>
        <v>Error?</v>
      </c>
      <c r="E7732" s="2" t="s">
        <v>881</v>
      </c>
    </row>
    <row r="7733" spans="1:6" x14ac:dyDescent="0.2">
      <c r="A7733">
        <v>7672</v>
      </c>
      <c r="B7733" s="138">
        <f>'Rest Tax Levies-Tort Im 25'!K24</f>
        <v>2121</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366169</v>
      </c>
      <c r="D7742" s="2" t="str">
        <f t="shared" si="126"/>
        <v>Error?</v>
      </c>
      <c r="E7742" s="2" t="s">
        <v>881</v>
      </c>
    </row>
    <row r="7743" spans="1:6" x14ac:dyDescent="0.2">
      <c r="A7743">
        <v>7682</v>
      </c>
      <c r="B7743" s="138">
        <f>'Rest Tax Levies-Tort Im 25'!K26</f>
        <v>2121</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25880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Franklin CUSD 1</v>
      </c>
      <c r="B7" s="2403"/>
      <c r="C7" s="2403"/>
      <c r="D7" s="2440"/>
      <c r="E7" s="2441">
        <f>COVER!A13</f>
        <v>1069001026</v>
      </c>
      <c r="F7" s="2442"/>
      <c r="G7" s="2409" t="str">
        <f>COVER!T23</f>
        <v>066.005101</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Scheffel Boyle</v>
      </c>
      <c r="H9" s="2416"/>
      <c r="I9" s="2416"/>
      <c r="J9" s="2416"/>
      <c r="K9" s="2416"/>
      <c r="L9" s="2417"/>
    </row>
    <row r="10" spans="1:29" ht="13.5" customHeight="1" x14ac:dyDescent="0.2">
      <c r="A10" s="2399" t="str">
        <f>COVER!A38</f>
        <v>Curt Simonson</v>
      </c>
      <c r="B10" s="2400"/>
      <c r="C10" s="2400"/>
      <c r="D10" s="2400"/>
      <c r="E10" s="2400"/>
      <c r="F10" s="2401"/>
      <c r="G10" s="2415" t="str">
        <f>COVER!T17</f>
        <v>106 W. County Road</v>
      </c>
      <c r="H10" s="2428"/>
      <c r="I10" s="2428"/>
      <c r="J10" s="2428"/>
      <c r="K10" s="2428"/>
      <c r="L10" s="2429"/>
    </row>
    <row r="11" spans="1:29" ht="13.5" customHeight="1" x14ac:dyDescent="0.2">
      <c r="A11" s="1185" t="s">
        <v>1599</v>
      </c>
      <c r="B11" s="1186"/>
      <c r="C11" s="1187"/>
      <c r="D11" s="1192"/>
      <c r="E11" s="1187"/>
      <c r="F11" s="1191"/>
      <c r="G11" s="2415" t="str">
        <f>COVER!T19</f>
        <v>Jerseyville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110 State Street</v>
      </c>
      <c r="B14" s="2428"/>
      <c r="C14" s="2428"/>
      <c r="D14" s="2428"/>
      <c r="E14" s="2428"/>
      <c r="F14" s="2429"/>
      <c r="G14" s="1196" t="s">
        <v>1247</v>
      </c>
      <c r="H14" s="1194"/>
      <c r="I14" s="1194"/>
      <c r="J14" s="1194"/>
      <c r="K14" s="1194"/>
      <c r="L14" s="1195"/>
    </row>
    <row r="15" spans="1:29" ht="13.5" customHeight="1" x14ac:dyDescent="0.2">
      <c r="A15" s="2415" t="str">
        <f>COVER!A21</f>
        <v>Franklin CUSD 1</v>
      </c>
      <c r="B15" s="2428"/>
      <c r="C15" s="2428"/>
      <c r="D15" s="2428"/>
      <c r="E15" s="2428"/>
      <c r="F15" s="2429"/>
      <c r="G15" s="2425" t="str">
        <f>COVER!T15</f>
        <v>Danny Phipps, CPA</v>
      </c>
      <c r="H15" s="2426"/>
      <c r="I15" s="2426"/>
      <c r="J15" s="2426"/>
      <c r="K15" s="2426"/>
      <c r="L15" s="2427"/>
    </row>
    <row r="16" spans="1:29" ht="12.2" customHeight="1" x14ac:dyDescent="0.2">
      <c r="A16" s="2405">
        <f>COVER!A25</f>
        <v>62638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618-498-6841</v>
      </c>
      <c r="H18" s="2403"/>
      <c r="I18" s="2403"/>
      <c r="J18" s="2403"/>
      <c r="K18" s="2402" t="str">
        <f>COVER!X21</f>
        <v>618-498-6842</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Franklin CUSD 1</v>
      </c>
      <c r="B1" s="2439"/>
      <c r="C1" s="2439"/>
      <c r="D1" s="2439"/>
    </row>
    <row r="2" spans="1:11" s="1215" customFormat="1" ht="12.75" x14ac:dyDescent="0.2">
      <c r="A2" s="2444">
        <f>'Single Audit Cover'!E7</f>
        <v>1069001026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Franklin CUSD 1</v>
      </c>
      <c r="B1" s="2447"/>
      <c r="C1" s="2447"/>
      <c r="D1" s="2447"/>
      <c r="E1" s="2447"/>
    </row>
    <row r="2" spans="1:5" x14ac:dyDescent="0.2">
      <c r="A2" s="2448">
        <f>'Single Audit Cover'!E7</f>
        <v>1069001026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188538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12650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-5565</v>
      </c>
    </row>
    <row r="19" spans="1:4" ht="13.5" thickBot="1" x14ac:dyDescent="0.25">
      <c r="A19" s="1265" t="s">
        <v>1297</v>
      </c>
      <c r="D19" s="1266">
        <f>SUM(D10:D17)</f>
        <v>195623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195623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195623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Franklin CUSD 1</v>
      </c>
      <c r="B1" s="2452"/>
      <c r="C1" s="2452"/>
      <c r="D1" s="2452"/>
      <c r="E1" s="2452"/>
      <c r="F1" s="2452"/>
    </row>
    <row r="2" spans="1:7" ht="13.5" customHeight="1" x14ac:dyDescent="0.2">
      <c r="A2" s="2453">
        <f>'Single Audit Cover'!E7</f>
        <v>1069001026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oddHeader>&amp;L&amp;8Page 41&amp;R&amp;8Page 41</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Franklin CUSD 1</v>
      </c>
      <c r="C1" s="2464"/>
      <c r="D1" s="2464"/>
      <c r="E1" s="2464"/>
      <c r="F1" s="2464"/>
      <c r="G1" s="2464"/>
      <c r="H1" s="2464"/>
      <c r="I1" s="2464"/>
      <c r="J1" s="2464"/>
      <c r="K1" s="2464"/>
      <c r="L1" s="2464"/>
      <c r="M1" s="2464"/>
    </row>
    <row r="2" spans="2:14" ht="15" x14ac:dyDescent="0.2">
      <c r="B2" s="2453">
        <f>'Single Audit Cover'!E7</f>
        <v>1069001026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35370</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2093</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2082</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30" sqref="N3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Franklin CUSD 1</v>
      </c>
      <c r="C1" s="2472"/>
      <c r="D1" s="2472"/>
      <c r="E1" s="2472"/>
      <c r="F1" s="2472"/>
      <c r="G1" s="2472"/>
      <c r="H1" s="2472"/>
      <c r="I1" s="2472"/>
      <c r="J1" s="1422"/>
    </row>
    <row r="2" spans="2:10" s="317" customFormat="1" ht="12.75" customHeight="1" x14ac:dyDescent="0.2">
      <c r="B2" s="2473">
        <f>'Single Audit Cover'!E7</f>
        <v>1069001026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oddHeader>&amp;L&amp;8Page 42&amp;R&amp;8Page 42</oddHeader>
    <oddFooter>&amp;LSee Notes to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Franklin CUSD 1</v>
      </c>
      <c r="C1" s="2471"/>
      <c r="D1" s="2471"/>
      <c r="E1" s="2471"/>
      <c r="F1" s="2471"/>
      <c r="G1" s="2471"/>
      <c r="H1" s="2471"/>
      <c r="I1" s="2471"/>
      <c r="J1" s="2471"/>
      <c r="K1" s="2471"/>
      <c r="L1" s="1374"/>
      <c r="M1" s="1374"/>
    </row>
    <row r="2" spans="1:13" ht="12" customHeight="1" x14ac:dyDescent="0.2">
      <c r="B2" s="2473">
        <f>'Single Audit Cover'!E7</f>
        <v>1069001026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oddHeader>&amp;L&amp;8Page 43&amp;R&amp;8Page 43</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Franklin CUSD 1</v>
      </c>
      <c r="C1" s="2498"/>
      <c r="D1" s="2498"/>
      <c r="E1" s="2498"/>
      <c r="F1" s="2498"/>
      <c r="G1" s="2498"/>
      <c r="H1" s="2498"/>
      <c r="I1" s="2498"/>
      <c r="J1" s="2498"/>
      <c r="K1" s="2498"/>
      <c r="L1" s="1465"/>
    </row>
    <row r="2" spans="1:12" ht="12.75" customHeight="1" x14ac:dyDescent="0.2">
      <c r="B2" s="2499">
        <f>'Single Audit Cover'!E7</f>
        <v>1069001026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oddHeader>&amp;L&amp;8Page 44&amp;R&amp;8Page 44</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Franklin CUSD 1</v>
      </c>
      <c r="C1" s="2471"/>
      <c r="D1" s="2471"/>
      <c r="E1" s="1491"/>
    </row>
    <row r="2" spans="2:5" s="1282" customFormat="1" ht="12.75" customHeight="1" x14ac:dyDescent="0.2">
      <c r="B2" s="2473">
        <f>'Single Audit Cover'!E7</f>
        <v>1069001026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59958177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3.4290000000000001E-2</v>
      </c>
      <c r="E10" s="356" t="s">
        <v>1062</v>
      </c>
      <c r="F10" s="355">
        <v>4.8999999999999998E-4</v>
      </c>
      <c r="G10" s="356" t="s">
        <v>1062</v>
      </c>
      <c r="H10" s="355">
        <v>1.6329999999999999E-3</v>
      </c>
      <c r="I10" s="356" t="s">
        <v>1063</v>
      </c>
      <c r="J10" s="1754">
        <f>ROUND(D10+F10+H10,5)</f>
        <v>3.6409999999999998E-2</v>
      </c>
      <c r="K10" s="222"/>
      <c r="L10" s="355">
        <v>3.2670000000000003E-4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3773050</v>
      </c>
      <c r="E16" s="356"/>
      <c r="F16" s="1755">
        <f>SUM('Acct Summary 7-8'!C17,'Acct Summary 7-8'!D17,'Acct Summary 7-8'!F17)</f>
        <v>3615181</v>
      </c>
      <c r="G16" s="356"/>
      <c r="H16" s="1755">
        <f>SUM(D16-F16)</f>
        <v>157869</v>
      </c>
      <c r="I16" s="222"/>
      <c r="J16" s="1755">
        <f>SUM('Acct Summary 7-8'!C81,'Acct Summary 7-8'!D81,'Acct Summary 7-8'!F81,'Acct Summary 7-8'!I81)</f>
        <v>3193568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8274228.4260000009</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6280000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Franklin CUSD 1</v>
      </c>
      <c r="E7" s="391"/>
      <c r="G7" s="252"/>
      <c r="H7" s="387"/>
      <c r="I7" s="387"/>
      <c r="J7" s="387"/>
      <c r="K7" s="387"/>
      <c r="L7" s="329"/>
      <c r="M7" s="329"/>
      <c r="N7" s="329"/>
      <c r="O7" s="329"/>
      <c r="P7" s="329"/>
    </row>
    <row r="8" spans="1:18" ht="12.75" x14ac:dyDescent="0.2">
      <c r="A8" s="329"/>
      <c r="B8" s="329"/>
      <c r="C8" s="389" t="s">
        <v>1187</v>
      </c>
      <c r="D8" s="392">
        <f>COVER!A13</f>
        <v>1069001026</v>
      </c>
      <c r="E8" s="393"/>
      <c r="G8" s="329"/>
      <c r="H8" s="329"/>
      <c r="I8" s="329"/>
      <c r="J8" s="329"/>
      <c r="K8" s="329"/>
      <c r="L8" s="329"/>
      <c r="M8" s="329"/>
      <c r="N8" s="329"/>
      <c r="O8" s="329"/>
      <c r="P8" s="329"/>
    </row>
    <row r="9" spans="1:18" ht="12.75" x14ac:dyDescent="0.2">
      <c r="A9" s="329"/>
      <c r="B9" s="329"/>
      <c r="C9" s="389" t="s">
        <v>737</v>
      </c>
      <c r="D9" s="394" t="str">
        <f>COVER!A15</f>
        <v>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3193568</v>
      </c>
      <c r="I12" s="404"/>
      <c r="J12" s="404"/>
      <c r="K12" s="405">
        <f>TRUNC((H12/H13*100000),5)/100000</f>
        <v>0.84641549929999993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3773050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3615181</v>
      </c>
      <c r="I17" s="404"/>
      <c r="J17" s="416"/>
      <c r="K17" s="405">
        <f>TRUNC((H17/H18*100000),5)/100000</f>
        <v>0.95815878399999999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3773050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4337674</v>
      </c>
      <c r="I24" s="422"/>
      <c r="J24" s="422"/>
      <c r="K24" s="423">
        <f>TRUNC(((H24/H25*100000)/100000),2)</f>
        <v>431.94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10042.16944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1855615.6408800001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6280000</v>
      </c>
      <c r="I32" s="420"/>
      <c r="J32" s="420"/>
      <c r="K32" s="423">
        <f>TRUNC(100-((((H32/H33*100))*100)/100),2)</f>
        <v>24.1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8274228.4260000009</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election activeCell="I34" sqref="I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1517569</v>
      </c>
      <c r="D4" s="466">
        <v>106287</v>
      </c>
      <c r="E4" s="466">
        <v>133159</v>
      </c>
      <c r="F4" s="466">
        <v>302514</v>
      </c>
      <c r="G4" s="466">
        <v>108528</v>
      </c>
      <c r="H4" s="466">
        <v>3144930</v>
      </c>
      <c r="I4" s="466">
        <v>43429</v>
      </c>
      <c r="J4" s="467">
        <v>27321</v>
      </c>
      <c r="K4" s="466">
        <v>13744</v>
      </c>
      <c r="L4" s="466">
        <v>87847</v>
      </c>
      <c r="M4" s="468"/>
      <c r="N4" s="469"/>
    </row>
    <row r="5" spans="1:14" x14ac:dyDescent="0.2">
      <c r="A5" s="463" t="s">
        <v>1049</v>
      </c>
      <c r="B5" s="470">
        <v>120</v>
      </c>
      <c r="C5" s="465">
        <v>300000</v>
      </c>
      <c r="D5" s="466"/>
      <c r="E5" s="466"/>
      <c r="F5" s="466">
        <v>900000</v>
      </c>
      <c r="G5" s="466"/>
      <c r="H5" s="466"/>
      <c r="I5" s="466">
        <v>1167875</v>
      </c>
      <c r="J5" s="467"/>
      <c r="K5" s="471">
        <v>17125</v>
      </c>
      <c r="L5" s="472">
        <v>130000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1817569</v>
      </c>
      <c r="D13" s="1759">
        <f t="shared" ref="D13:L13" si="0">SUM(D4:D12)</f>
        <v>106287</v>
      </c>
      <c r="E13" s="1759">
        <f t="shared" si="0"/>
        <v>133159</v>
      </c>
      <c r="F13" s="1759">
        <f t="shared" si="0"/>
        <v>1202514</v>
      </c>
      <c r="G13" s="1759">
        <f t="shared" si="0"/>
        <v>108528</v>
      </c>
      <c r="H13" s="1759">
        <f t="shared" si="0"/>
        <v>3144930</v>
      </c>
      <c r="I13" s="1759">
        <f t="shared" si="0"/>
        <v>1211304</v>
      </c>
      <c r="J13" s="1759">
        <f t="shared" si="0"/>
        <v>27321</v>
      </c>
      <c r="K13" s="1759">
        <f t="shared" si="0"/>
        <v>30869</v>
      </c>
      <c r="L13" s="1759">
        <f t="shared" si="0"/>
        <v>217847</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17486</v>
      </c>
      <c r="N16" s="484"/>
    </row>
    <row r="17" spans="1:14" s="485" customFormat="1" ht="12.75" customHeight="1" x14ac:dyDescent="0.2">
      <c r="A17" s="482" t="s">
        <v>1470</v>
      </c>
      <c r="B17" s="483">
        <v>230</v>
      </c>
      <c r="C17" s="477"/>
      <c r="D17" s="477"/>
      <c r="E17" s="477"/>
      <c r="F17" s="477"/>
      <c r="G17" s="477"/>
      <c r="H17" s="477"/>
      <c r="I17" s="477"/>
      <c r="J17" s="477"/>
      <c r="K17" s="477"/>
      <c r="L17" s="477"/>
      <c r="M17" s="467">
        <v>1496973</v>
      </c>
      <c r="N17" s="484"/>
    </row>
    <row r="18" spans="1:14" s="485" customFormat="1" ht="12.75" customHeight="1" x14ac:dyDescent="0.2">
      <c r="A18" s="482" t="s">
        <v>1471</v>
      </c>
      <c r="B18" s="483">
        <v>240</v>
      </c>
      <c r="C18" s="477"/>
      <c r="D18" s="477"/>
      <c r="E18" s="477"/>
      <c r="F18" s="477"/>
      <c r="G18" s="477"/>
      <c r="H18" s="477"/>
      <c r="I18" s="477"/>
      <c r="J18" s="477"/>
      <c r="K18" s="477"/>
      <c r="L18" s="477"/>
      <c r="M18" s="467">
        <v>45278</v>
      </c>
      <c r="N18" s="484"/>
    </row>
    <row r="19" spans="1:14" s="485" customFormat="1" ht="12.75" customHeight="1" x14ac:dyDescent="0.2">
      <c r="A19" s="482" t="s">
        <v>1472</v>
      </c>
      <c r="B19" s="483">
        <v>250</v>
      </c>
      <c r="C19" s="477"/>
      <c r="D19" s="477"/>
      <c r="E19" s="477"/>
      <c r="F19" s="477"/>
      <c r="G19" s="477"/>
      <c r="H19" s="477"/>
      <c r="I19" s="477"/>
      <c r="J19" s="477"/>
      <c r="K19" s="477"/>
      <c r="L19" s="477"/>
      <c r="M19" s="467">
        <v>1665862</v>
      </c>
      <c r="N19" s="484"/>
    </row>
    <row r="20" spans="1:14" s="485" customFormat="1" ht="12.75" customHeight="1" x14ac:dyDescent="0.2">
      <c r="A20" s="482" t="s">
        <v>1473</v>
      </c>
      <c r="B20" s="483">
        <v>260</v>
      </c>
      <c r="C20" s="477"/>
      <c r="D20" s="477"/>
      <c r="E20" s="477"/>
      <c r="F20" s="477"/>
      <c r="G20" s="477"/>
      <c r="H20" s="477"/>
      <c r="I20" s="477"/>
      <c r="J20" s="477"/>
      <c r="K20" s="477"/>
      <c r="L20" s="477"/>
      <c r="M20" s="467">
        <v>4348346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6280000</v>
      </c>
    </row>
    <row r="23" spans="1:14" ht="13.5" customHeight="1" thickBot="1" x14ac:dyDescent="0.25">
      <c r="A23" s="1758" t="s">
        <v>664</v>
      </c>
      <c r="B23" s="1763"/>
      <c r="C23" s="468"/>
      <c r="D23" s="468"/>
      <c r="E23" s="468"/>
      <c r="F23" s="468"/>
      <c r="G23" s="468"/>
      <c r="H23" s="468"/>
      <c r="I23" s="468"/>
      <c r="J23" s="468"/>
      <c r="K23" s="468"/>
      <c r="L23" s="468"/>
      <c r="M23" s="1710">
        <f>SUM(M15:M22)</f>
        <v>7573945</v>
      </c>
      <c r="N23" s="1710">
        <f>SUM(N21:N22)</f>
        <v>6280000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238</v>
      </c>
      <c r="D31" s="467"/>
      <c r="E31" s="467"/>
      <c r="F31" s="466"/>
      <c r="G31" s="467"/>
      <c r="H31" s="467"/>
      <c r="I31" s="467"/>
      <c r="J31" s="467"/>
      <c r="K31" s="467"/>
      <c r="L31" s="468"/>
      <c r="M31" s="468"/>
      <c r="N31" s="468"/>
    </row>
    <row r="32" spans="1:14" ht="13.5" customHeight="1" x14ac:dyDescent="0.2">
      <c r="A32" s="490" t="s">
        <v>673</v>
      </c>
      <c r="B32" s="491">
        <v>490</v>
      </c>
      <c r="C32" s="492">
        <v>1069797</v>
      </c>
      <c r="D32" s="492">
        <v>14814</v>
      </c>
      <c r="E32" s="474">
        <v>133159</v>
      </c>
      <c r="F32" s="474">
        <v>49380</v>
      </c>
      <c r="G32" s="474">
        <v>70601</v>
      </c>
      <c r="H32" s="474"/>
      <c r="I32" s="474">
        <v>9877</v>
      </c>
      <c r="J32" s="474">
        <v>24692</v>
      </c>
      <c r="K32" s="479">
        <v>496</v>
      </c>
      <c r="L32" s="468"/>
      <c r="M32" s="468"/>
      <c r="N32" s="468"/>
    </row>
    <row r="33" spans="1:14" ht="13.5" customHeight="1" x14ac:dyDescent="0.2">
      <c r="A33" s="493" t="s">
        <v>321</v>
      </c>
      <c r="B33" s="491">
        <v>493</v>
      </c>
      <c r="C33" s="467"/>
      <c r="D33" s="467"/>
      <c r="E33" s="467"/>
      <c r="F33" s="467"/>
      <c r="G33" s="467"/>
      <c r="H33" s="467"/>
      <c r="I33" s="467"/>
      <c r="J33" s="467"/>
      <c r="K33" s="467"/>
      <c r="L33" s="467">
        <v>217847</v>
      </c>
      <c r="M33" s="468"/>
      <c r="N33" s="469"/>
    </row>
    <row r="34" spans="1:14" ht="13.5" customHeight="1" thickBot="1" x14ac:dyDescent="0.25">
      <c r="A34" s="1760" t="s">
        <v>675</v>
      </c>
      <c r="B34" s="1761"/>
      <c r="C34" s="1762">
        <f>SUM(C25:C33)</f>
        <v>1070035</v>
      </c>
      <c r="D34" s="1762">
        <f t="shared" ref="D34:K34" si="1">SUM(D25:D33)</f>
        <v>14814</v>
      </c>
      <c r="E34" s="1762">
        <f t="shared" si="1"/>
        <v>133159</v>
      </c>
      <c r="F34" s="1762">
        <f t="shared" si="1"/>
        <v>49380</v>
      </c>
      <c r="G34" s="1762">
        <f t="shared" si="1"/>
        <v>70601</v>
      </c>
      <c r="H34" s="1762">
        <f t="shared" si="1"/>
        <v>0</v>
      </c>
      <c r="I34" s="1762">
        <f t="shared" si="1"/>
        <v>9877</v>
      </c>
      <c r="J34" s="1762">
        <f t="shared" si="1"/>
        <v>24692</v>
      </c>
      <c r="K34" s="1762">
        <f t="shared" si="1"/>
        <v>496</v>
      </c>
      <c r="L34" s="1743">
        <f>SUM(L33)</f>
        <v>217847</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6280000</v>
      </c>
    </row>
    <row r="37" spans="1:14" ht="13.5" thickBot="1" x14ac:dyDescent="0.25">
      <c r="A37" s="1758" t="s">
        <v>674</v>
      </c>
      <c r="B37" s="1763"/>
      <c r="C37" s="477"/>
      <c r="D37" s="477"/>
      <c r="E37" s="477"/>
      <c r="F37" s="477"/>
      <c r="G37" s="477"/>
      <c r="H37" s="477"/>
      <c r="I37" s="477"/>
      <c r="J37" s="477"/>
      <c r="K37" s="477"/>
      <c r="L37" s="480"/>
      <c r="M37" s="468"/>
      <c r="N37" s="1710">
        <f>SUM(N36:N36)</f>
        <v>6280000</v>
      </c>
    </row>
    <row r="38" spans="1:14" s="329" customFormat="1" ht="13.5" customHeight="1" thickTop="1" x14ac:dyDescent="0.2">
      <c r="A38" s="496" t="s">
        <v>440</v>
      </c>
      <c r="B38" s="483">
        <v>714</v>
      </c>
      <c r="C38" s="466"/>
      <c r="D38" s="466"/>
      <c r="E38" s="466"/>
      <c r="F38" s="466"/>
      <c r="G38" s="466"/>
      <c r="H38" s="466">
        <v>2772985</v>
      </c>
      <c r="I38" s="466"/>
      <c r="J38" s="467"/>
      <c r="K38" s="466"/>
      <c r="L38" s="481"/>
      <c r="M38" s="497"/>
      <c r="N38" s="497"/>
    </row>
    <row r="39" spans="1:14" s="329" customFormat="1" ht="13.5" customHeight="1" x14ac:dyDescent="0.2">
      <c r="A39" s="496" t="s">
        <v>360</v>
      </c>
      <c r="B39" s="483">
        <v>730</v>
      </c>
      <c r="C39" s="466">
        <v>747534</v>
      </c>
      <c r="D39" s="466">
        <v>91473</v>
      </c>
      <c r="E39" s="466"/>
      <c r="F39" s="466">
        <v>1153134</v>
      </c>
      <c r="G39" s="466">
        <v>37927</v>
      </c>
      <c r="H39" s="466">
        <v>371945</v>
      </c>
      <c r="I39" s="466">
        <v>1201427</v>
      </c>
      <c r="J39" s="467">
        <v>2629</v>
      </c>
      <c r="K39" s="466">
        <v>30373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7573945</v>
      </c>
      <c r="N40" s="497"/>
    </row>
    <row r="41" spans="1:14" ht="13.5" customHeight="1" thickBot="1" x14ac:dyDescent="0.25">
      <c r="A41" s="1758" t="s">
        <v>676</v>
      </c>
      <c r="B41" s="1728"/>
      <c r="C41" s="1710">
        <f>(SUM(C34,C37,C38,C39))</f>
        <v>1817569</v>
      </c>
      <c r="D41" s="1710">
        <f t="shared" ref="D41:L41" si="2">SUM(D34,D37,D38:D39)</f>
        <v>106287</v>
      </c>
      <c r="E41" s="1710">
        <f t="shared" si="2"/>
        <v>133159</v>
      </c>
      <c r="F41" s="1710">
        <f t="shared" si="2"/>
        <v>1202514</v>
      </c>
      <c r="G41" s="1710">
        <f t="shared" si="2"/>
        <v>108528</v>
      </c>
      <c r="H41" s="1710">
        <f t="shared" si="2"/>
        <v>3144930</v>
      </c>
      <c r="I41" s="1710">
        <f t="shared" si="2"/>
        <v>1211304</v>
      </c>
      <c r="J41" s="1710">
        <f t="shared" si="2"/>
        <v>27321</v>
      </c>
      <c r="K41" s="1710">
        <f t="shared" si="2"/>
        <v>30869</v>
      </c>
      <c r="L41" s="1710">
        <f t="shared" si="2"/>
        <v>217847</v>
      </c>
      <c r="M41" s="1710">
        <f>SUM(M40)</f>
        <v>7573945</v>
      </c>
      <c r="N41" s="1710">
        <f>SUM(N37)</f>
        <v>6280000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91" colorId="8" zoomScale="110" zoomScaleNormal="110" zoomScaleSheetLayoutView="100" workbookViewId="0">
      <pane ySplit="930" topLeftCell="A61" activePane="bottomLeft"/>
      <selection activeCell="I85" sqref="I85"/>
      <selection pane="bottomLeft" activeCell="E44" sqref="E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2123196</v>
      </c>
      <c r="D4" s="1764">
        <f>'Revenues 9-14'!D109</f>
        <v>450675</v>
      </c>
      <c r="E4" s="1764">
        <f>'Revenues 9-14'!E109</f>
        <v>0</v>
      </c>
      <c r="F4" s="1764">
        <f>'Revenues 9-14'!F109</f>
        <v>144839</v>
      </c>
      <c r="G4" s="1764">
        <f>'Revenues 9-14'!G109</f>
        <v>87741</v>
      </c>
      <c r="H4" s="1764">
        <f>'Revenues 9-14'!H109</f>
        <v>214533</v>
      </c>
      <c r="I4" s="1764">
        <f>'Revenues 9-14'!I109</f>
        <v>33552</v>
      </c>
      <c r="J4" s="1764">
        <f>'Revenues 9-14'!J109</f>
        <v>47632</v>
      </c>
      <c r="K4" s="1764">
        <f>'Revenues 9-14'!K109</f>
        <v>14598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604963</v>
      </c>
      <c r="D6" s="1765">
        <f>'Revenues 9-14'!D173</f>
        <v>0</v>
      </c>
      <c r="E6" s="1765">
        <f>'Revenues 9-14'!E173</f>
        <v>0</v>
      </c>
      <c r="F6" s="1765">
        <f>'Revenues 9-14'!F173</f>
        <v>227287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188538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2916697</v>
      </c>
      <c r="D8" s="1710">
        <f t="shared" ref="D8:K8" si="0">SUM(D4:D7)</f>
        <v>450675</v>
      </c>
      <c r="E8" s="1710">
        <f t="shared" si="0"/>
        <v>0</v>
      </c>
      <c r="F8" s="1710">
        <f t="shared" si="0"/>
        <v>372126</v>
      </c>
      <c r="G8" s="1710">
        <f t="shared" si="0"/>
        <v>87741</v>
      </c>
      <c r="H8" s="1710">
        <f t="shared" si="0"/>
        <v>214533</v>
      </c>
      <c r="I8" s="1710">
        <f t="shared" si="0"/>
        <v>33552</v>
      </c>
      <c r="J8" s="1710">
        <f t="shared" si="0"/>
        <v>47632</v>
      </c>
      <c r="K8" s="1710">
        <f t="shared" si="0"/>
        <v>14598</v>
      </c>
      <c r="L8" s="347"/>
    </row>
    <row r="9" spans="1:13" ht="15.75" thickTop="1" x14ac:dyDescent="0.2">
      <c r="A9" s="514" t="s">
        <v>1752</v>
      </c>
      <c r="B9" s="515">
        <v>3998</v>
      </c>
      <c r="C9" s="481">
        <v>1205841</v>
      </c>
      <c r="D9" s="516"/>
      <c r="E9" s="481"/>
      <c r="F9" s="481"/>
      <c r="G9" s="517"/>
      <c r="H9" s="481"/>
      <c r="I9" s="509" t="s">
        <v>1231</v>
      </c>
      <c r="J9" s="478"/>
      <c r="K9" s="481"/>
      <c r="L9" s="347"/>
    </row>
    <row r="10" spans="1:13" s="519" customFormat="1" ht="13.5" thickBot="1" x14ac:dyDescent="0.25">
      <c r="A10" s="1758" t="s">
        <v>1235</v>
      </c>
      <c r="B10" s="1731"/>
      <c r="C10" s="1710">
        <f>SUM(C8:C9)</f>
        <v>4122538</v>
      </c>
      <c r="D10" s="1710">
        <f t="shared" ref="D10:K10" si="1">SUM(D8:D9)</f>
        <v>450675</v>
      </c>
      <c r="E10" s="1710">
        <f t="shared" si="1"/>
        <v>0</v>
      </c>
      <c r="F10" s="1710">
        <f t="shared" si="1"/>
        <v>372126</v>
      </c>
      <c r="G10" s="1710">
        <f t="shared" si="1"/>
        <v>87741</v>
      </c>
      <c r="H10" s="1710">
        <f t="shared" si="1"/>
        <v>214533</v>
      </c>
      <c r="I10" s="1710">
        <f t="shared" si="1"/>
        <v>33552</v>
      </c>
      <c r="J10" s="1710">
        <f t="shared" si="1"/>
        <v>47632</v>
      </c>
      <c r="K10" s="1710">
        <f t="shared" si="1"/>
        <v>14598</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1898702</v>
      </c>
      <c r="D12" s="520" t="s">
        <v>1231</v>
      </c>
      <c r="E12" s="468" t="s">
        <v>1231</v>
      </c>
      <c r="F12" s="468" t="s">
        <v>1231</v>
      </c>
      <c r="G12" s="1764">
        <f>'Expenditures 15-22'!K229</f>
        <v>43533</v>
      </c>
      <c r="H12" s="521"/>
      <c r="I12" s="468" t="s">
        <v>1231</v>
      </c>
      <c r="J12" s="468" t="s">
        <v>1231</v>
      </c>
      <c r="K12" s="521" t="s">
        <v>1231</v>
      </c>
      <c r="L12" s="347"/>
    </row>
    <row r="13" spans="1:13" ht="15.75" customHeight="1" x14ac:dyDescent="0.2">
      <c r="A13" s="1598" t="s">
        <v>477</v>
      </c>
      <c r="B13" s="1600">
        <v>2000</v>
      </c>
      <c r="C13" s="1765">
        <f>'Expenditures 15-22'!K74</f>
        <v>837961</v>
      </c>
      <c r="D13" s="1765">
        <f>'Expenditures 15-22'!K129</f>
        <v>413966</v>
      </c>
      <c r="E13" s="469" t="s">
        <v>1231</v>
      </c>
      <c r="F13" s="1765">
        <f>'Expenditures 15-22'!K184</f>
        <v>264052</v>
      </c>
      <c r="G13" s="1765">
        <f>'Expenditures 15-22'!K279</f>
        <v>97729</v>
      </c>
      <c r="H13" s="1765">
        <f>'Expenditures 15-22'!K303</f>
        <v>3805683</v>
      </c>
      <c r="I13" s="468" t="s">
        <v>1231</v>
      </c>
      <c r="J13" s="1765">
        <f>'Expenditures 15-22'!K330</f>
        <v>49279</v>
      </c>
      <c r="K13" s="1769">
        <f>'Expenditures 15-22'!K352</f>
        <v>61725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194604</v>
      </c>
      <c r="D15" s="1765">
        <f>'Expenditures 15-22'!K139</f>
        <v>0</v>
      </c>
      <c r="E15" s="1765">
        <f>'Expenditures 15-22'!K160</f>
        <v>0</v>
      </c>
      <c r="F15" s="1765">
        <f>'Expenditures 15-22'!K196</f>
        <v>5896</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25880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2931267</v>
      </c>
      <c r="D17" s="1710">
        <f t="shared" si="2"/>
        <v>413966</v>
      </c>
      <c r="E17" s="1710">
        <f t="shared" si="2"/>
        <v>25880</v>
      </c>
      <c r="F17" s="1710">
        <f t="shared" si="2"/>
        <v>269948</v>
      </c>
      <c r="G17" s="1710">
        <f t="shared" si="2"/>
        <v>141262</v>
      </c>
      <c r="H17" s="1710">
        <f t="shared" si="2"/>
        <v>3805683</v>
      </c>
      <c r="I17" s="468"/>
      <c r="J17" s="1710">
        <f>SUM(J12:J16)</f>
        <v>49279</v>
      </c>
      <c r="K17" s="1710">
        <f>SUM(K12:K16)</f>
        <v>61725</v>
      </c>
      <c r="L17" s="347"/>
    </row>
    <row r="18" spans="1:12" ht="15" customHeight="1" thickTop="1" x14ac:dyDescent="0.2">
      <c r="A18" s="1766" t="s">
        <v>1753</v>
      </c>
      <c r="B18" s="1767">
        <v>4180</v>
      </c>
      <c r="C18" s="1764">
        <f t="shared" ref="C18:H18" si="3">C9</f>
        <v>1205841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4137108</v>
      </c>
      <c r="D19" s="1710">
        <f t="shared" si="4"/>
        <v>413966</v>
      </c>
      <c r="E19" s="1710">
        <f t="shared" si="4"/>
        <v>25880</v>
      </c>
      <c r="F19" s="1710">
        <f t="shared" si="4"/>
        <v>269948</v>
      </c>
      <c r="G19" s="1710">
        <f t="shared" si="4"/>
        <v>141262</v>
      </c>
      <c r="H19" s="1710">
        <f t="shared" si="4"/>
        <v>3805683</v>
      </c>
      <c r="I19" s="468"/>
      <c r="J19" s="1710">
        <f>SUM(J17:J18)</f>
        <v>49279</v>
      </c>
      <c r="K19" s="1710">
        <f>SUM(K17:K18)</f>
        <v>61725</v>
      </c>
      <c r="L19" s="347"/>
    </row>
    <row r="20" spans="1:12" ht="16.5" thickTop="1" thickBot="1" x14ac:dyDescent="0.25">
      <c r="A20" s="2143" t="s">
        <v>1754</v>
      </c>
      <c r="B20" s="2144"/>
      <c r="C20" s="1768">
        <f>C8-C17</f>
        <v>-14570</v>
      </c>
      <c r="D20" s="1768">
        <f t="shared" ref="D20:K20" si="5">D8-D17</f>
        <v>36709</v>
      </c>
      <c r="E20" s="1768">
        <f t="shared" si="5"/>
        <v>-25880</v>
      </c>
      <c r="F20" s="1768">
        <f t="shared" si="5"/>
        <v>102178</v>
      </c>
      <c r="G20" s="1768">
        <f t="shared" si="5"/>
        <v>-53521</v>
      </c>
      <c r="H20" s="1768">
        <f t="shared" si="5"/>
        <v>-3591150</v>
      </c>
      <c r="I20" s="1768">
        <f t="shared" si="5"/>
        <v>33552</v>
      </c>
      <c r="J20" s="1768">
        <f t="shared" si="5"/>
        <v>-1647</v>
      </c>
      <c r="K20" s="1768">
        <f t="shared" si="5"/>
        <v>-47127</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6280000</v>
      </c>
      <c r="I33" s="467"/>
      <c r="J33" s="467"/>
      <c r="K33" s="467"/>
      <c r="L33" s="524"/>
    </row>
    <row r="34" spans="1:12" s="485" customFormat="1" x14ac:dyDescent="0.2">
      <c r="A34" s="1511" t="s">
        <v>1058</v>
      </c>
      <c r="B34" s="525">
        <v>7220</v>
      </c>
      <c r="C34" s="467"/>
      <c r="D34" s="467"/>
      <c r="E34" s="467"/>
      <c r="F34" s="467"/>
      <c r="G34" s="477"/>
      <c r="H34" s="478">
        <v>585070</v>
      </c>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25880</v>
      </c>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25880</v>
      </c>
      <c r="F44" s="1725">
        <f t="shared" si="6"/>
        <v>0</v>
      </c>
      <c r="G44" s="1725">
        <f t="shared" si="6"/>
        <v>0</v>
      </c>
      <c r="H44" s="1725">
        <f t="shared" si="6"/>
        <v>6865070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v>313913</v>
      </c>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313913</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25880</v>
      </c>
      <c r="F77" s="1725">
        <f t="shared" si="8"/>
        <v>0</v>
      </c>
      <c r="G77" s="1725">
        <f t="shared" si="8"/>
        <v>0</v>
      </c>
      <c r="H77" s="1725">
        <f t="shared" si="8"/>
        <v>6551157</v>
      </c>
      <c r="I77" s="1725">
        <f t="shared" si="8"/>
        <v>0</v>
      </c>
      <c r="J77" s="1725">
        <f t="shared" si="8"/>
        <v>0</v>
      </c>
      <c r="K77" s="1725">
        <f t="shared" si="8"/>
        <v>0</v>
      </c>
      <c r="L77" s="347"/>
    </row>
    <row r="78" spans="1:12" ht="21.75" customHeight="1" thickTop="1" thickBot="1" x14ac:dyDescent="0.25">
      <c r="A78" s="2139" t="s">
        <v>618</v>
      </c>
      <c r="B78" s="2140"/>
      <c r="C78" s="1724">
        <f t="shared" ref="C78:K78" si="9">C20+C77</f>
        <v>-14570</v>
      </c>
      <c r="D78" s="1724">
        <f t="shared" si="9"/>
        <v>36709</v>
      </c>
      <c r="E78" s="1724">
        <f t="shared" si="9"/>
        <v>0</v>
      </c>
      <c r="F78" s="1724">
        <f t="shared" si="9"/>
        <v>102178</v>
      </c>
      <c r="G78" s="1724">
        <f t="shared" si="9"/>
        <v>-53521</v>
      </c>
      <c r="H78" s="1724">
        <f t="shared" si="9"/>
        <v>2960007</v>
      </c>
      <c r="I78" s="1724">
        <f t="shared" si="9"/>
        <v>33552</v>
      </c>
      <c r="J78" s="1724">
        <f t="shared" si="9"/>
        <v>-1647</v>
      </c>
      <c r="K78" s="1724">
        <f t="shared" si="9"/>
        <v>-47127</v>
      </c>
      <c r="L78" s="533"/>
    </row>
    <row r="79" spans="1:12" ht="13.5" thickTop="1" x14ac:dyDescent="0.2">
      <c r="A79" s="1516" t="s">
        <v>2073</v>
      </c>
      <c r="B79" s="534"/>
      <c r="C79" s="478">
        <v>762104</v>
      </c>
      <c r="D79" s="535">
        <v>54764</v>
      </c>
      <c r="E79" s="535"/>
      <c r="F79" s="535">
        <v>1050956</v>
      </c>
      <c r="G79" s="535">
        <v>91448</v>
      </c>
      <c r="H79" s="535">
        <v>184923</v>
      </c>
      <c r="I79" s="535">
        <v>1167875</v>
      </c>
      <c r="J79" s="535">
        <v>4276</v>
      </c>
      <c r="K79" s="535">
        <v>77500</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747534</v>
      </c>
      <c r="D81" s="1710">
        <f>SUM(D78:D80)</f>
        <v>91473</v>
      </c>
      <c r="E81" s="1710">
        <f t="shared" ref="E81:K81" si="10">SUM(E78:E80)</f>
        <v>0</v>
      </c>
      <c r="F81" s="1710">
        <f t="shared" si="10"/>
        <v>1153134</v>
      </c>
      <c r="G81" s="1710">
        <f t="shared" si="10"/>
        <v>37927</v>
      </c>
      <c r="H81" s="1710">
        <f t="shared" si="10"/>
        <v>3144930</v>
      </c>
      <c r="I81" s="1710">
        <f t="shared" si="10"/>
        <v>1201427</v>
      </c>
      <c r="J81" s="1710">
        <f t="shared" si="10"/>
        <v>2629</v>
      </c>
      <c r="K81" s="1710">
        <f t="shared" si="10"/>
        <v>30373</v>
      </c>
      <c r="L81" s="347"/>
    </row>
    <row r="82" spans="1:12" ht="0.75" customHeight="1" thickTop="1" thickBot="1" x14ac:dyDescent="0.25">
      <c r="A82" s="536" t="s">
        <v>361</v>
      </c>
      <c r="B82" s="537"/>
      <c r="C82" s="538">
        <f>(C81-C79)</f>
        <v>-14570</v>
      </c>
      <c r="D82" s="538">
        <f t="shared" ref="D82:K82" si="11">(D81-D79)</f>
        <v>36709</v>
      </c>
      <c r="E82" s="538">
        <f t="shared" si="11"/>
        <v>0</v>
      </c>
      <c r="F82" s="538">
        <f t="shared" si="11"/>
        <v>102178</v>
      </c>
      <c r="G82" s="538">
        <f t="shared" si="11"/>
        <v>-53521</v>
      </c>
      <c r="H82" s="538">
        <f t="shared" si="11"/>
        <v>2960007</v>
      </c>
      <c r="I82" s="538">
        <f t="shared" si="11"/>
        <v>33552</v>
      </c>
      <c r="J82" s="538">
        <f t="shared" si="11"/>
        <v>-1647</v>
      </c>
      <c r="K82" s="538">
        <f t="shared" si="11"/>
        <v>-47127</v>
      </c>
    </row>
    <row r="83" spans="1:12" ht="14.25" hidden="1" thickTop="1" thickBot="1" x14ac:dyDescent="0.25">
      <c r="A83" s="539" t="s">
        <v>362</v>
      </c>
      <c r="B83" s="464"/>
      <c r="C83" s="540">
        <f>C82/C81</f>
        <v>-1.9490752260097867E-2</v>
      </c>
      <c r="D83" s="540">
        <f t="shared" ref="D83:K83" si="12">D82/D81</f>
        <v>0.4013096760792802</v>
      </c>
      <c r="E83" s="540" t="e">
        <f t="shared" si="12"/>
        <v>#DIV/0!</v>
      </c>
      <c r="F83" s="540">
        <f t="shared" si="12"/>
        <v>8.8608956114380466E-2</v>
      </c>
      <c r="G83" s="540">
        <f t="shared" si="12"/>
        <v>-1.4111582777440874</v>
      </c>
      <c r="H83" s="540">
        <f t="shared" si="12"/>
        <v>0.94119964514313514</v>
      </c>
      <c r="I83" s="540">
        <f t="shared" si="12"/>
        <v>2.7926790391759132E-2</v>
      </c>
      <c r="J83" s="540">
        <f t="shared" si="12"/>
        <v>-0.62647394446557625</v>
      </c>
      <c r="K83" s="540">
        <f t="shared" si="12"/>
        <v>-1.5516083363513646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19" sqref="H19"/>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1887196</v>
      </c>
      <c r="D5" s="481">
        <v>378183</v>
      </c>
      <c r="E5" s="466"/>
      <c r="F5" s="548">
        <v>133366</v>
      </c>
      <c r="G5" s="466">
        <v>47632</v>
      </c>
      <c r="H5" s="466"/>
      <c r="I5" s="466">
        <v>19060</v>
      </c>
      <c r="J5" s="467">
        <v>47632</v>
      </c>
      <c r="K5" s="466">
        <v>14296</v>
      </c>
    </row>
    <row r="6" spans="1:12" ht="15" x14ac:dyDescent="0.2">
      <c r="A6" s="463" t="s">
        <v>1761</v>
      </c>
      <c r="B6" s="470">
        <v>1130</v>
      </c>
      <c r="C6" s="466">
        <v>23819</v>
      </c>
      <c r="D6" s="466"/>
      <c r="E6" s="475"/>
      <c r="F6" s="475"/>
      <c r="G6" s="468"/>
      <c r="H6" s="468"/>
      <c r="I6" s="468"/>
      <c r="J6" s="468"/>
      <c r="K6" s="468"/>
    </row>
    <row r="7" spans="1:12" x14ac:dyDescent="0.2">
      <c r="A7" s="463" t="s">
        <v>112</v>
      </c>
      <c r="B7" s="549">
        <v>1140</v>
      </c>
      <c r="C7" s="466">
        <v>40010</v>
      </c>
      <c r="D7" s="466"/>
      <c r="E7" s="468"/>
      <c r="F7" s="467"/>
      <c r="G7" s="467"/>
      <c r="H7" s="467"/>
      <c r="I7" s="468"/>
      <c r="J7" s="468"/>
      <c r="K7" s="468"/>
    </row>
    <row r="8" spans="1:12" x14ac:dyDescent="0.2">
      <c r="A8" s="463" t="s">
        <v>433</v>
      </c>
      <c r="B8" s="470">
        <v>1150</v>
      </c>
      <c r="C8" s="475"/>
      <c r="D8" s="475"/>
      <c r="E8" s="477"/>
      <c r="F8" s="477"/>
      <c r="G8" s="481">
        <v>38109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1951025</v>
      </c>
      <c r="D12" s="1729">
        <f t="shared" si="0"/>
        <v>378183</v>
      </c>
      <c r="E12" s="1729">
        <f t="shared" si="0"/>
        <v>0</v>
      </c>
      <c r="F12" s="1729">
        <f t="shared" si="0"/>
        <v>133366</v>
      </c>
      <c r="G12" s="1729">
        <f t="shared" si="0"/>
        <v>85741</v>
      </c>
      <c r="H12" s="1729">
        <f t="shared" si="0"/>
        <v>0</v>
      </c>
      <c r="I12" s="1729">
        <f t="shared" si="0"/>
        <v>19060</v>
      </c>
      <c r="J12" s="1729">
        <f t="shared" si="0"/>
        <v>47632</v>
      </c>
      <c r="K12" s="1710">
        <f t="shared" si="0"/>
        <v>14296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72492</v>
      </c>
      <c r="E16" s="466"/>
      <c r="F16" s="466"/>
      <c r="G16" s="466">
        <v>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72492</v>
      </c>
      <c r="E18" s="1732">
        <f t="shared" si="1"/>
        <v>0</v>
      </c>
      <c r="F18" s="1732">
        <f t="shared" si="1"/>
        <v>0</v>
      </c>
      <c r="G18" s="1732">
        <f t="shared" si="1"/>
        <v>2000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9509</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50355</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14324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74188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6180</v>
      </c>
      <c r="D65" s="466"/>
      <c r="E65" s="466"/>
      <c r="F65" s="467">
        <v>11473</v>
      </c>
      <c r="G65" s="466"/>
      <c r="H65" s="466">
        <v>5777</v>
      </c>
      <c r="I65" s="466">
        <v>14492</v>
      </c>
      <c r="J65" s="467"/>
      <c r="K65" s="466">
        <v>302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6180</v>
      </c>
      <c r="D67" s="1710">
        <f t="shared" ref="D67:K67" si="2">SUM(D65:D66)</f>
        <v>0</v>
      </c>
      <c r="E67" s="1710">
        <f t="shared" si="2"/>
        <v>0</v>
      </c>
      <c r="F67" s="1710">
        <f t="shared" si="2"/>
        <v>11473</v>
      </c>
      <c r="G67" s="1710">
        <f t="shared" si="2"/>
        <v>0</v>
      </c>
      <c r="H67" s="1710">
        <f t="shared" si="2"/>
        <v>5777</v>
      </c>
      <c r="I67" s="1710">
        <f t="shared" si="2"/>
        <v>14492</v>
      </c>
      <c r="J67" s="1710">
        <f t="shared" si="2"/>
        <v>0</v>
      </c>
      <c r="K67" s="1710">
        <f t="shared" si="2"/>
        <v>302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44816</v>
      </c>
      <c r="D69" s="468"/>
      <c r="E69" s="468"/>
      <c r="F69" s="468"/>
      <c r="G69" s="468"/>
      <c r="H69" s="468"/>
      <c r="I69" s="468"/>
      <c r="J69" s="468"/>
      <c r="K69" s="468"/>
    </row>
    <row r="70" spans="1:11" ht="12.75" customHeight="1" x14ac:dyDescent="0.2">
      <c r="A70" s="463" t="s">
        <v>1054</v>
      </c>
      <c r="B70" s="470">
        <v>1612</v>
      </c>
      <c r="C70" s="551">
        <v>10173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54989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5760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2859</v>
      </c>
      <c r="D79" s="466"/>
      <c r="E79" s="468"/>
      <c r="F79" s="468"/>
      <c r="G79" s="468"/>
      <c r="H79" s="468"/>
      <c r="I79" s="468"/>
      <c r="J79" s="468"/>
      <c r="K79" s="468"/>
    </row>
    <row r="80" spans="1:11" ht="12.75" customHeight="1" x14ac:dyDescent="0.2">
      <c r="A80" s="463" t="s">
        <v>572</v>
      </c>
      <c r="B80" s="470">
        <v>1730</v>
      </c>
      <c r="C80" s="551">
        <v>800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9419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7175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7175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208756</v>
      </c>
      <c r="I103" s="468"/>
      <c r="J103" s="510"/>
      <c r="K103" s="510"/>
    </row>
    <row r="104" spans="1:12" ht="12.75" customHeight="1" x14ac:dyDescent="0.2">
      <c r="A104" s="463" t="s">
        <v>885</v>
      </c>
      <c r="B104" s="470">
        <v>1991</v>
      </c>
      <c r="C104" s="489">
        <v>20220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20220</v>
      </c>
      <c r="D108" s="1729">
        <f t="shared" ref="D108:K108" si="3">SUM(D95:D107)</f>
        <v>0</v>
      </c>
      <c r="E108" s="1729">
        <f t="shared" si="3"/>
        <v>0</v>
      </c>
      <c r="F108" s="1729">
        <f t="shared" si="3"/>
        <v>0</v>
      </c>
      <c r="G108" s="1729">
        <f t="shared" si="3"/>
        <v>0</v>
      </c>
      <c r="H108" s="1729">
        <f t="shared" si="3"/>
        <v>208756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2123196</v>
      </c>
      <c r="D109" s="1737">
        <f t="shared" si="4"/>
        <v>450675</v>
      </c>
      <c r="E109" s="1737">
        <f t="shared" si="4"/>
        <v>0</v>
      </c>
      <c r="F109" s="1737">
        <f t="shared" si="4"/>
        <v>144839</v>
      </c>
      <c r="G109" s="1737">
        <f t="shared" si="4"/>
        <v>87741</v>
      </c>
      <c r="H109" s="1737">
        <f t="shared" si="4"/>
        <v>214533</v>
      </c>
      <c r="I109" s="1737">
        <f t="shared" si="4"/>
        <v>33552</v>
      </c>
      <c r="J109" s="1737">
        <f t="shared" si="4"/>
        <v>47632</v>
      </c>
      <c r="K109" s="1724">
        <f t="shared" si="4"/>
        <v>14598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488719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488719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57235</v>
      </c>
      <c r="D124" s="561"/>
      <c r="E124" s="468"/>
      <c r="F124" s="548"/>
      <c r="G124" s="468"/>
      <c r="H124" s="468"/>
      <c r="I124" s="468"/>
      <c r="J124" s="468"/>
      <c r="K124" s="468"/>
    </row>
    <row r="125" spans="1:11" ht="12.75" customHeight="1" x14ac:dyDescent="0.2">
      <c r="A125" s="463" t="s">
        <v>1521</v>
      </c>
      <c r="B125" s="562">
        <v>3105</v>
      </c>
      <c r="C125" s="466">
        <v>18564</v>
      </c>
      <c r="D125" s="561"/>
      <c r="E125" s="468"/>
      <c r="F125" s="466"/>
      <c r="G125" s="468"/>
      <c r="H125" s="468"/>
      <c r="I125" s="468"/>
      <c r="J125" s="468"/>
      <c r="K125" s="468"/>
    </row>
    <row r="126" spans="1:11" ht="12.75" customHeight="1" x14ac:dyDescent="0.2">
      <c r="A126" s="463" t="s">
        <v>922</v>
      </c>
      <c r="B126" s="562">
        <v>3110</v>
      </c>
      <c r="C126" s="551">
        <v>29573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105372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4666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4666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958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3748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111550</v>
      </c>
      <c r="G151" s="467"/>
      <c r="H151" s="468"/>
      <c r="I151" s="468"/>
      <c r="J151" s="468"/>
      <c r="K151" s="468"/>
    </row>
    <row r="152" spans="1:11" ht="12.75" customHeight="1" x14ac:dyDescent="0.2">
      <c r="A152" s="463" t="s">
        <v>1117</v>
      </c>
      <c r="B152" s="562">
        <v>3510</v>
      </c>
      <c r="C152" s="551"/>
      <c r="D152" s="466"/>
      <c r="E152" s="561"/>
      <c r="F152" s="466">
        <v>115737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227287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116244</v>
      </c>
      <c r="D172" s="1744">
        <f t="shared" si="6"/>
        <v>0</v>
      </c>
      <c r="E172" s="1744">
        <f t="shared" si="6"/>
        <v>0</v>
      </c>
      <c r="F172" s="1744">
        <f t="shared" si="6"/>
        <v>227287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604963</v>
      </c>
      <c r="D173" s="1737">
        <f>SUM(D121,D172)</f>
        <v>0</v>
      </c>
      <c r="E173" s="1737">
        <f>SUM(E121,E172)</f>
        <v>0</v>
      </c>
      <c r="F173" s="1737">
        <f t="shared" ref="F173:K173" si="7">SUM(F121,F172)</f>
        <v>227287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18467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18467</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52393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14145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66538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77827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77827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12148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7993</v>
      </c>
      <c r="D270" s="576"/>
      <c r="E270" s="468"/>
      <c r="F270" s="576"/>
      <c r="G270" s="576"/>
      <c r="H270" s="468"/>
      <c r="I270" s="468"/>
      <c r="J270" s="468"/>
      <c r="K270" s="468"/>
    </row>
    <row r="271" spans="1:11" ht="12.75" customHeight="1" thickTop="1" thickBot="1" x14ac:dyDescent="0.25">
      <c r="A271" s="463" t="s">
        <v>395</v>
      </c>
      <c r="B271" s="470">
        <v>4992</v>
      </c>
      <c r="C271" s="575">
        <v>5565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188538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188538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2916697</v>
      </c>
      <c r="D275" s="1737">
        <f t="shared" si="12"/>
        <v>450675</v>
      </c>
      <c r="E275" s="1737">
        <f t="shared" si="12"/>
        <v>0</v>
      </c>
      <c r="F275" s="1737">
        <f t="shared" si="12"/>
        <v>372126</v>
      </c>
      <c r="G275" s="1737">
        <f t="shared" si="12"/>
        <v>87741</v>
      </c>
      <c r="H275" s="1737">
        <f t="shared" si="12"/>
        <v>214533</v>
      </c>
      <c r="I275" s="1737">
        <f t="shared" si="12"/>
        <v>33552</v>
      </c>
      <c r="J275" s="1737">
        <f t="shared" si="12"/>
        <v>47632</v>
      </c>
      <c r="K275" s="1724">
        <f t="shared" si="12"/>
        <v>14598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oddHeader>&amp;L&amp;8Page &amp;P&amp;C&amp;"Arial,Bold"&amp;9STATEMENT OF REVENUES RECEIVED/REVENUES
FOR THE YEAR ENDING JUNE 30, 2018&amp;R&amp;8Page &amp;P</oddHeader>
    <oddFooter>&amp;L&amp;8See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50" activePane="bottomLeft" state="frozen"/>
      <selection activeCell="H19" sqref="H19"/>
      <selection pane="bottomLeft" activeCell="E349" sqref="E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1010535</v>
      </c>
      <c r="D5" s="466">
        <v>252036</v>
      </c>
      <c r="E5" s="466">
        <v>29813</v>
      </c>
      <c r="F5" s="466">
        <v>104086</v>
      </c>
      <c r="G5" s="466">
        <v>4448</v>
      </c>
      <c r="H5" s="466"/>
      <c r="I5" s="467"/>
      <c r="J5" s="467"/>
      <c r="K5" s="1693">
        <f>SUM(C5:J5)</f>
        <v>1400918</v>
      </c>
      <c r="L5" s="466">
        <v>1399580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42619</v>
      </c>
      <c r="D7" s="467">
        <v>12204</v>
      </c>
      <c r="E7" s="467"/>
      <c r="F7" s="467">
        <v>126</v>
      </c>
      <c r="G7" s="467"/>
      <c r="H7" s="467"/>
      <c r="I7" s="467"/>
      <c r="J7" s="467"/>
      <c r="K7" s="1693">
        <f t="shared" ref="K7:K32" si="0">SUM(C7:J7)</f>
        <v>54949</v>
      </c>
      <c r="L7" s="466">
        <v>79853</v>
      </c>
    </row>
    <row r="8" spans="1:14" x14ac:dyDescent="0.2">
      <c r="A8" s="1526" t="s">
        <v>166</v>
      </c>
      <c r="B8" s="615">
        <v>1200</v>
      </c>
      <c r="C8" s="466">
        <v>165028</v>
      </c>
      <c r="D8" s="466">
        <v>44492</v>
      </c>
      <c r="E8" s="466"/>
      <c r="F8" s="466">
        <v>708</v>
      </c>
      <c r="G8" s="466"/>
      <c r="H8" s="466"/>
      <c r="I8" s="467"/>
      <c r="J8" s="467"/>
      <c r="K8" s="1693">
        <f t="shared" si="0"/>
        <v>210228</v>
      </c>
      <c r="L8" s="466">
        <v>235647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37605</v>
      </c>
      <c r="D10" s="466">
        <v>15289</v>
      </c>
      <c r="E10" s="466">
        <v>1109</v>
      </c>
      <c r="F10" s="466">
        <v>11782</v>
      </c>
      <c r="G10" s="466"/>
      <c r="H10" s="466"/>
      <c r="I10" s="467"/>
      <c r="J10" s="467"/>
      <c r="K10" s="1693">
        <f t="shared" si="0"/>
        <v>65785</v>
      </c>
      <c r="L10" s="466">
        <v>58007</v>
      </c>
    </row>
    <row r="11" spans="1:14" x14ac:dyDescent="0.2">
      <c r="A11" s="1526" t="s">
        <v>1192</v>
      </c>
      <c r="B11" s="615" t="s">
        <v>163</v>
      </c>
      <c r="C11" s="467"/>
      <c r="D11" s="467"/>
      <c r="E11" s="467"/>
      <c r="F11" s="467"/>
      <c r="G11" s="467"/>
      <c r="H11" s="467"/>
      <c r="I11" s="467"/>
      <c r="J11" s="467"/>
      <c r="K11" s="1693">
        <f t="shared" si="0"/>
        <v>0</v>
      </c>
      <c r="L11" s="466">
        <v>1500</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69710</v>
      </c>
      <c r="D13" s="466">
        <v>14759</v>
      </c>
      <c r="E13" s="466">
        <v>1464</v>
      </c>
      <c r="F13" s="466">
        <v>3694</v>
      </c>
      <c r="G13" s="466">
        <v>7222</v>
      </c>
      <c r="H13" s="466"/>
      <c r="I13" s="467"/>
      <c r="J13" s="467"/>
      <c r="K13" s="1693">
        <f t="shared" si="0"/>
        <v>96849</v>
      </c>
      <c r="L13" s="466">
        <v>99841</v>
      </c>
    </row>
    <row r="14" spans="1:14" x14ac:dyDescent="0.2">
      <c r="A14" s="1526" t="s">
        <v>1020</v>
      </c>
      <c r="B14" s="615">
        <v>1500</v>
      </c>
      <c r="C14" s="466">
        <v>41289</v>
      </c>
      <c r="D14" s="466"/>
      <c r="E14" s="466">
        <v>7223</v>
      </c>
      <c r="F14" s="466">
        <v>13028</v>
      </c>
      <c r="G14" s="466"/>
      <c r="H14" s="466">
        <v>5599</v>
      </c>
      <c r="I14" s="467"/>
      <c r="J14" s="467"/>
      <c r="K14" s="1693">
        <f t="shared" si="0"/>
        <v>67139</v>
      </c>
      <c r="L14" s="466">
        <v>66421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v>2834</v>
      </c>
      <c r="G17" s="467"/>
      <c r="H17" s="467"/>
      <c r="I17" s="467"/>
      <c r="J17" s="467"/>
      <c r="K17" s="1693">
        <f t="shared" si="0"/>
        <v>2834</v>
      </c>
      <c r="L17" s="466">
        <v>3000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1366786</v>
      </c>
      <c r="D33" s="1692">
        <f t="shared" ref="D33:L33" si="1">SUM(D5:D32)</f>
        <v>338780</v>
      </c>
      <c r="E33" s="1692">
        <f t="shared" si="1"/>
        <v>39609</v>
      </c>
      <c r="F33" s="1692">
        <f t="shared" si="1"/>
        <v>136258</v>
      </c>
      <c r="G33" s="1692">
        <f t="shared" si="1"/>
        <v>11670</v>
      </c>
      <c r="H33" s="1692">
        <f t="shared" si="1"/>
        <v>5599</v>
      </c>
      <c r="I33" s="1692">
        <f t="shared" si="1"/>
        <v>0</v>
      </c>
      <c r="J33" s="1692">
        <f t="shared" si="1"/>
        <v>0</v>
      </c>
      <c r="K33" s="1692">
        <f t="shared" si="1"/>
        <v>1898702</v>
      </c>
      <c r="L33" s="1692">
        <f t="shared" si="1"/>
        <v>1943849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23667</v>
      </c>
      <c r="F36" s="481"/>
      <c r="G36" s="481"/>
      <c r="H36" s="481"/>
      <c r="I36" s="467"/>
      <c r="J36" s="467"/>
      <c r="K36" s="1693">
        <f t="shared" ref="K36:K41" si="2">SUM(C36:J36)</f>
        <v>23667</v>
      </c>
      <c r="L36" s="466">
        <v>24000</v>
      </c>
    </row>
    <row r="37" spans="1:14" x14ac:dyDescent="0.2">
      <c r="A37" s="1526" t="s">
        <v>1151</v>
      </c>
      <c r="B37" s="615">
        <v>2120</v>
      </c>
      <c r="C37" s="466">
        <v>56942</v>
      </c>
      <c r="D37" s="466">
        <v>13168</v>
      </c>
      <c r="E37" s="466"/>
      <c r="F37" s="466">
        <v>201</v>
      </c>
      <c r="G37" s="466"/>
      <c r="H37" s="466"/>
      <c r="I37" s="467"/>
      <c r="J37" s="467"/>
      <c r="K37" s="1693">
        <f t="shared" si="2"/>
        <v>70311</v>
      </c>
      <c r="L37" s="466">
        <v>70074</v>
      </c>
    </row>
    <row r="38" spans="1:14" x14ac:dyDescent="0.2">
      <c r="A38" s="1526" t="s">
        <v>207</v>
      </c>
      <c r="B38" s="615">
        <v>2130</v>
      </c>
      <c r="C38" s="466">
        <v>11473</v>
      </c>
      <c r="D38" s="466"/>
      <c r="E38" s="466"/>
      <c r="F38" s="466">
        <v>1292</v>
      </c>
      <c r="G38" s="466"/>
      <c r="H38" s="466"/>
      <c r="I38" s="467"/>
      <c r="J38" s="467"/>
      <c r="K38" s="1693">
        <f t="shared" si="2"/>
        <v>12765</v>
      </c>
      <c r="L38" s="466">
        <v>13000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43646</v>
      </c>
      <c r="D40" s="466">
        <v>10697</v>
      </c>
      <c r="E40" s="466"/>
      <c r="F40" s="466">
        <v>662</v>
      </c>
      <c r="G40" s="466"/>
      <c r="H40" s="466"/>
      <c r="I40" s="467"/>
      <c r="J40" s="467"/>
      <c r="K40" s="1693">
        <f t="shared" si="2"/>
        <v>55005</v>
      </c>
      <c r="L40" s="466">
        <v>53883</v>
      </c>
    </row>
    <row r="41" spans="1:14" x14ac:dyDescent="0.2">
      <c r="A41" s="1526" t="s">
        <v>1768</v>
      </c>
      <c r="B41" s="615">
        <v>2190</v>
      </c>
      <c r="C41" s="466"/>
      <c r="D41" s="466"/>
      <c r="E41" s="466"/>
      <c r="F41" s="466">
        <v>1735</v>
      </c>
      <c r="G41" s="466"/>
      <c r="H41" s="466"/>
      <c r="I41" s="467"/>
      <c r="J41" s="467"/>
      <c r="K41" s="1693">
        <f t="shared" si="2"/>
        <v>1735</v>
      </c>
      <c r="L41" s="466">
        <v>2400</v>
      </c>
    </row>
    <row r="42" spans="1:14" ht="12.75" customHeight="1" thickBot="1" x14ac:dyDescent="0.25">
      <c r="A42" s="1690" t="s">
        <v>581</v>
      </c>
      <c r="B42" s="1691" t="s">
        <v>740</v>
      </c>
      <c r="C42" s="1692">
        <f>SUM(C36:C41)</f>
        <v>112061</v>
      </c>
      <c r="D42" s="1692">
        <f t="shared" ref="D42:L42" si="3">SUM(D36:D41)</f>
        <v>23865</v>
      </c>
      <c r="E42" s="1692">
        <f t="shared" si="3"/>
        <v>23667</v>
      </c>
      <c r="F42" s="1692">
        <f t="shared" si="3"/>
        <v>3890</v>
      </c>
      <c r="G42" s="1692">
        <f t="shared" si="3"/>
        <v>0</v>
      </c>
      <c r="H42" s="1692">
        <f t="shared" si="3"/>
        <v>0</v>
      </c>
      <c r="I42" s="1692">
        <f t="shared" si="3"/>
        <v>0</v>
      </c>
      <c r="J42" s="1692">
        <f t="shared" si="3"/>
        <v>0</v>
      </c>
      <c r="K42" s="1692">
        <f t="shared" si="3"/>
        <v>163483</v>
      </c>
      <c r="L42" s="1692">
        <f t="shared" si="3"/>
        <v>163357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5612</v>
      </c>
      <c r="F44" s="481">
        <v>18467</v>
      </c>
      <c r="G44" s="481"/>
      <c r="H44" s="481"/>
      <c r="I44" s="467"/>
      <c r="J44" s="467"/>
      <c r="K44" s="1694">
        <f>SUM(C44:J44)</f>
        <v>24079</v>
      </c>
      <c r="L44" s="481">
        <v>20500</v>
      </c>
    </row>
    <row r="45" spans="1:14" x14ac:dyDescent="0.2">
      <c r="A45" s="1526" t="s">
        <v>869</v>
      </c>
      <c r="B45" s="615">
        <v>2220</v>
      </c>
      <c r="C45" s="466">
        <v>21926</v>
      </c>
      <c r="D45" s="466">
        <v>6810</v>
      </c>
      <c r="E45" s="466">
        <v>299</v>
      </c>
      <c r="F45" s="466">
        <v>250</v>
      </c>
      <c r="G45" s="466"/>
      <c r="H45" s="466"/>
      <c r="I45" s="467"/>
      <c r="J45" s="467"/>
      <c r="K45" s="1694">
        <f>SUM(C45:J45)</f>
        <v>29285</v>
      </c>
      <c r="L45" s="466">
        <v>32973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21926</v>
      </c>
      <c r="D47" s="1692">
        <f t="shared" ref="D47:K47" si="4">SUM(D44:D46)</f>
        <v>6810</v>
      </c>
      <c r="E47" s="1692">
        <f t="shared" si="4"/>
        <v>5911</v>
      </c>
      <c r="F47" s="1692">
        <f t="shared" si="4"/>
        <v>18717</v>
      </c>
      <c r="G47" s="1692">
        <f t="shared" si="4"/>
        <v>0</v>
      </c>
      <c r="H47" s="1692">
        <f t="shared" si="4"/>
        <v>0</v>
      </c>
      <c r="I47" s="1692">
        <f t="shared" si="4"/>
        <v>0</v>
      </c>
      <c r="J47" s="1692">
        <f t="shared" si="4"/>
        <v>0</v>
      </c>
      <c r="K47" s="1692">
        <f t="shared" si="4"/>
        <v>53364</v>
      </c>
      <c r="L47" s="1692">
        <f>SUM(L44:L46)</f>
        <v>53473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39481</v>
      </c>
      <c r="F49" s="481">
        <v>2106</v>
      </c>
      <c r="G49" s="481"/>
      <c r="H49" s="481">
        <v>2269</v>
      </c>
      <c r="I49" s="467"/>
      <c r="J49" s="467"/>
      <c r="K49" s="1694">
        <f>SUM(C49:J49)</f>
        <v>43856</v>
      </c>
      <c r="L49" s="481">
        <v>37350</v>
      </c>
    </row>
    <row r="50" spans="1:14" x14ac:dyDescent="0.2">
      <c r="A50" s="1526" t="s">
        <v>872</v>
      </c>
      <c r="B50" s="615">
        <v>2320</v>
      </c>
      <c r="C50" s="466">
        <v>98858</v>
      </c>
      <c r="D50" s="466">
        <v>23043</v>
      </c>
      <c r="E50" s="466">
        <v>1035</v>
      </c>
      <c r="F50" s="466">
        <v>3935</v>
      </c>
      <c r="G50" s="466"/>
      <c r="H50" s="466">
        <v>730</v>
      </c>
      <c r="I50" s="467"/>
      <c r="J50" s="467"/>
      <c r="K50" s="1694">
        <f>SUM(C50:J50)</f>
        <v>127601</v>
      </c>
      <c r="L50" s="466">
        <v>127855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98858</v>
      </c>
      <c r="D53" s="1692">
        <f t="shared" ref="D53:L53" si="5">SUM(D49:D52)</f>
        <v>23043</v>
      </c>
      <c r="E53" s="1692">
        <f t="shared" si="5"/>
        <v>40516</v>
      </c>
      <c r="F53" s="1692">
        <f t="shared" si="5"/>
        <v>6041</v>
      </c>
      <c r="G53" s="1692">
        <f t="shared" si="5"/>
        <v>0</v>
      </c>
      <c r="H53" s="1692">
        <f t="shared" si="5"/>
        <v>2999</v>
      </c>
      <c r="I53" s="1692">
        <f t="shared" si="5"/>
        <v>0</v>
      </c>
      <c r="J53" s="1692">
        <f t="shared" si="5"/>
        <v>0</v>
      </c>
      <c r="K53" s="1692">
        <f t="shared" si="5"/>
        <v>171457</v>
      </c>
      <c r="L53" s="1692">
        <f t="shared" si="5"/>
        <v>165205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110684</v>
      </c>
      <c r="D55" s="481">
        <v>38056</v>
      </c>
      <c r="E55" s="481">
        <v>720</v>
      </c>
      <c r="F55" s="481">
        <v>14848</v>
      </c>
      <c r="G55" s="481"/>
      <c r="H55" s="481">
        <v>342</v>
      </c>
      <c r="I55" s="467"/>
      <c r="J55" s="467"/>
      <c r="K55" s="1694">
        <f>SUM(C55:J55)</f>
        <v>164650</v>
      </c>
      <c r="L55" s="481">
        <v>162976</v>
      </c>
    </row>
    <row r="56" spans="1:14" ht="12.75" customHeight="1" x14ac:dyDescent="0.2">
      <c r="A56" s="1530" t="s">
        <v>394</v>
      </c>
      <c r="B56" s="629">
        <v>2490</v>
      </c>
      <c r="C56" s="466">
        <v>49149</v>
      </c>
      <c r="D56" s="466">
        <v>9199</v>
      </c>
      <c r="E56" s="466"/>
      <c r="F56" s="466"/>
      <c r="G56" s="466"/>
      <c r="H56" s="466"/>
      <c r="I56" s="467"/>
      <c r="J56" s="467"/>
      <c r="K56" s="1694">
        <f>SUM(C56:J56)</f>
        <v>58348</v>
      </c>
      <c r="L56" s="466">
        <v>58243</v>
      </c>
    </row>
    <row r="57" spans="1:14" s="343" customFormat="1" ht="12.75" customHeight="1" thickBot="1" x14ac:dyDescent="0.25">
      <c r="A57" s="1690" t="s">
        <v>281</v>
      </c>
      <c r="B57" s="1695" t="s">
        <v>34</v>
      </c>
      <c r="C57" s="1696">
        <f>SUM(C55:C56)</f>
        <v>159833</v>
      </c>
      <c r="D57" s="1696">
        <f t="shared" ref="D57:K57" si="6">SUM(D55:D56)</f>
        <v>47255</v>
      </c>
      <c r="E57" s="1696">
        <f t="shared" si="6"/>
        <v>720</v>
      </c>
      <c r="F57" s="1696">
        <f t="shared" si="6"/>
        <v>14848</v>
      </c>
      <c r="G57" s="1696">
        <f t="shared" si="6"/>
        <v>0</v>
      </c>
      <c r="H57" s="1696">
        <f t="shared" si="6"/>
        <v>342</v>
      </c>
      <c r="I57" s="1696">
        <f t="shared" si="6"/>
        <v>0</v>
      </c>
      <c r="J57" s="1696">
        <f t="shared" si="6"/>
        <v>0</v>
      </c>
      <c r="K57" s="1696">
        <f t="shared" si="6"/>
        <v>222998</v>
      </c>
      <c r="L57" s="1692">
        <f>SUM(L55:L56)</f>
        <v>221219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44958</v>
      </c>
      <c r="D60" s="466">
        <v>5400</v>
      </c>
      <c r="E60" s="466"/>
      <c r="F60" s="466">
        <v>2215</v>
      </c>
      <c r="G60" s="466"/>
      <c r="H60" s="466"/>
      <c r="I60" s="467"/>
      <c r="J60" s="467"/>
      <c r="K60" s="1694">
        <f t="shared" si="7"/>
        <v>52573</v>
      </c>
      <c r="L60" s="466">
        <v>54356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78635</v>
      </c>
      <c r="D63" s="466">
        <v>6981</v>
      </c>
      <c r="E63" s="466"/>
      <c r="F63" s="466">
        <v>85049</v>
      </c>
      <c r="G63" s="466">
        <v>1904</v>
      </c>
      <c r="H63" s="466"/>
      <c r="I63" s="467"/>
      <c r="J63" s="467"/>
      <c r="K63" s="1694">
        <f t="shared" si="7"/>
        <v>172569</v>
      </c>
      <c r="L63" s="466">
        <v>166850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123593</v>
      </c>
      <c r="D65" s="1692">
        <f t="shared" ref="D65:L65" si="8">SUM(D59:D64)</f>
        <v>12381</v>
      </c>
      <c r="E65" s="1692">
        <f t="shared" si="8"/>
        <v>0</v>
      </c>
      <c r="F65" s="1692">
        <f t="shared" si="8"/>
        <v>87264</v>
      </c>
      <c r="G65" s="1692">
        <f t="shared" si="8"/>
        <v>1904</v>
      </c>
      <c r="H65" s="1692">
        <f t="shared" si="8"/>
        <v>0</v>
      </c>
      <c r="I65" s="1692">
        <f t="shared" si="8"/>
        <v>0</v>
      </c>
      <c r="J65" s="1692">
        <f t="shared" si="8"/>
        <v>0</v>
      </c>
      <c r="K65" s="1692">
        <f t="shared" si="8"/>
        <v>225142</v>
      </c>
      <c r="L65" s="1692">
        <f t="shared" si="8"/>
        <v>221206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1517</v>
      </c>
      <c r="F70" s="466"/>
      <c r="G70" s="466"/>
      <c r="H70" s="466"/>
      <c r="I70" s="467"/>
      <c r="J70" s="467"/>
      <c r="K70" s="1694">
        <f>SUM(C70:J70)</f>
        <v>1517</v>
      </c>
      <c r="L70" s="466">
        <v>700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1517</v>
      </c>
      <c r="F72" s="1692">
        <f t="shared" si="9"/>
        <v>0</v>
      </c>
      <c r="G72" s="1692">
        <f t="shared" si="9"/>
        <v>0</v>
      </c>
      <c r="H72" s="1692">
        <f t="shared" si="9"/>
        <v>0</v>
      </c>
      <c r="I72" s="1692">
        <f t="shared" si="9"/>
        <v>0</v>
      </c>
      <c r="J72" s="1692">
        <f t="shared" si="9"/>
        <v>0</v>
      </c>
      <c r="K72" s="1692">
        <f t="shared" si="9"/>
        <v>1517</v>
      </c>
      <c r="L72" s="1692">
        <f>SUM(L67:L71)</f>
        <v>700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516271</v>
      </c>
      <c r="D74" s="1699">
        <f t="shared" ref="D74:K74" si="10">SUM(D42,D47,D53,D57,D65,D72,D73)</f>
        <v>113354</v>
      </c>
      <c r="E74" s="1699">
        <f t="shared" si="10"/>
        <v>72331</v>
      </c>
      <c r="F74" s="1699">
        <f t="shared" si="10"/>
        <v>130760</v>
      </c>
      <c r="G74" s="1699">
        <f t="shared" si="10"/>
        <v>1904</v>
      </c>
      <c r="H74" s="1699">
        <f t="shared" si="10"/>
        <v>3341</v>
      </c>
      <c r="I74" s="1699">
        <f t="shared" si="10"/>
        <v>0</v>
      </c>
      <c r="J74" s="1699">
        <f t="shared" si="10"/>
        <v>0</v>
      </c>
      <c r="K74" s="1699">
        <f t="shared" si="10"/>
        <v>837961</v>
      </c>
      <c r="L74" s="1699">
        <f>SUM(L42,L47,L53,L57,L65,L72,L73)</f>
        <v>825160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22002</v>
      </c>
      <c r="F78" s="617"/>
      <c r="G78" s="617"/>
      <c r="H78" s="635"/>
      <c r="I78" s="477"/>
      <c r="J78" s="477"/>
      <c r="K78" s="1693">
        <f t="shared" ref="K78:K83" si="11">SUM(C78:J78)</f>
        <v>22002</v>
      </c>
      <c r="L78" s="481">
        <v>33000</v>
      </c>
    </row>
    <row r="79" spans="1:14" x14ac:dyDescent="0.2">
      <c r="A79" s="1526" t="s">
        <v>322</v>
      </c>
      <c r="B79" s="615">
        <v>4120</v>
      </c>
      <c r="C79" s="617"/>
      <c r="D79" s="617"/>
      <c r="E79" s="466">
        <v>165782</v>
      </c>
      <c r="F79" s="617"/>
      <c r="G79" s="617"/>
      <c r="H79" s="466"/>
      <c r="I79" s="477"/>
      <c r="J79" s="477"/>
      <c r="K79" s="1693">
        <f t="shared" si="11"/>
        <v>165782</v>
      </c>
      <c r="L79" s="466">
        <v>146000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6820</v>
      </c>
      <c r="F81" s="617"/>
      <c r="G81" s="617"/>
      <c r="H81" s="466"/>
      <c r="I81" s="477"/>
      <c r="J81" s="477"/>
      <c r="K81" s="1693">
        <f t="shared" si="11"/>
        <v>6820</v>
      </c>
      <c r="L81" s="466">
        <v>5000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194604</v>
      </c>
      <c r="F84" s="617"/>
      <c r="G84" s="617"/>
      <c r="H84" s="1692">
        <f>SUM(H78:H83)</f>
        <v>0</v>
      </c>
      <c r="I84" s="477"/>
      <c r="J84" s="477"/>
      <c r="K84" s="1692">
        <f>SUM(K78:K83)</f>
        <v>194604</v>
      </c>
      <c r="L84" s="1692">
        <f>SUM(L78:L83)</f>
        <v>184000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194604</v>
      </c>
      <c r="F102" s="617"/>
      <c r="G102" s="617"/>
      <c r="H102" s="1699">
        <f>SUM(H84,H92,H100,H101)</f>
        <v>0</v>
      </c>
      <c r="I102" s="477"/>
      <c r="J102" s="477"/>
      <c r="K102" s="1699">
        <f>SUM(K84,K92,K100,K101)</f>
        <v>194604</v>
      </c>
      <c r="L102" s="1699">
        <f>SUM(L84,L92,L100,L101)</f>
        <v>184000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1883057</v>
      </c>
      <c r="D114" s="1692">
        <f t="shared" ref="D114:K114" si="13">SUM(D33,D74,D75,D102,D112,D113)</f>
        <v>452134</v>
      </c>
      <c r="E114" s="1692">
        <f t="shared" si="13"/>
        <v>306544</v>
      </c>
      <c r="F114" s="1692">
        <f t="shared" si="13"/>
        <v>267018</v>
      </c>
      <c r="G114" s="1692">
        <f t="shared" si="13"/>
        <v>13574</v>
      </c>
      <c r="H114" s="1692">
        <f>SUM(H33,H74,H75,H102,H112,H113)</f>
        <v>8940</v>
      </c>
      <c r="I114" s="1692">
        <f t="shared" si="13"/>
        <v>0</v>
      </c>
      <c r="J114" s="1692">
        <f t="shared" si="13"/>
        <v>0</v>
      </c>
      <c r="K114" s="1692">
        <f t="shared" si="13"/>
        <v>2931267</v>
      </c>
      <c r="L114" s="1692">
        <f>SUM(L33,L74,L75,L102,L112,L113)</f>
        <v>2953009</v>
      </c>
    </row>
    <row r="115" spans="1:14" ht="13.5" thickTop="1" x14ac:dyDescent="0.2">
      <c r="A115" s="2173" t="s">
        <v>1053</v>
      </c>
      <c r="B115" s="2174"/>
      <c r="C115" s="619"/>
      <c r="D115" s="619"/>
      <c r="E115" s="619"/>
      <c r="F115" s="619"/>
      <c r="G115" s="619"/>
      <c r="H115" s="619"/>
      <c r="I115" s="619"/>
      <c r="J115" s="619"/>
      <c r="K115" s="1706">
        <f>'Revenues 9-14'!C275-'Expenditures 15-22'!K114</f>
        <v>-14570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2000</v>
      </c>
    </row>
    <row r="124" spans="1:14" ht="14.25" thickTop="1" thickBot="1" x14ac:dyDescent="0.25">
      <c r="A124" s="1526" t="s">
        <v>206</v>
      </c>
      <c r="B124" s="615">
        <v>2540</v>
      </c>
      <c r="C124" s="466">
        <v>170709</v>
      </c>
      <c r="D124" s="466">
        <v>31640</v>
      </c>
      <c r="E124" s="466">
        <v>74686</v>
      </c>
      <c r="F124" s="466">
        <v>126725</v>
      </c>
      <c r="G124" s="466">
        <v>10206</v>
      </c>
      <c r="H124" s="466"/>
      <c r="I124" s="467"/>
      <c r="J124" s="467"/>
      <c r="K124" s="1692">
        <f>SUM(C124:J124)</f>
        <v>413966</v>
      </c>
      <c r="L124" s="466">
        <v>412000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170709</v>
      </c>
      <c r="D127" s="1692">
        <f t="shared" ref="D127:L127" si="14">SUM(D122:D126)</f>
        <v>31640</v>
      </c>
      <c r="E127" s="1692">
        <f t="shared" si="14"/>
        <v>74686</v>
      </c>
      <c r="F127" s="1692">
        <f t="shared" si="14"/>
        <v>126725</v>
      </c>
      <c r="G127" s="1692">
        <f t="shared" si="14"/>
        <v>10206</v>
      </c>
      <c r="H127" s="1692">
        <f t="shared" si="14"/>
        <v>0</v>
      </c>
      <c r="I127" s="1692">
        <f t="shared" si="14"/>
        <v>0</v>
      </c>
      <c r="J127" s="1692">
        <f t="shared" si="14"/>
        <v>0</v>
      </c>
      <c r="K127" s="1692">
        <f t="shared" si="14"/>
        <v>413966</v>
      </c>
      <c r="L127" s="1692">
        <f t="shared" si="14"/>
        <v>414000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170709</v>
      </c>
      <c r="D129" s="1699">
        <f t="shared" ref="D129:L129" si="15">SUM(D120,D127,D128)</f>
        <v>31640</v>
      </c>
      <c r="E129" s="1699">
        <f t="shared" si="15"/>
        <v>74686</v>
      </c>
      <c r="F129" s="1699">
        <f t="shared" si="15"/>
        <v>126725</v>
      </c>
      <c r="G129" s="1699">
        <f t="shared" si="15"/>
        <v>10206</v>
      </c>
      <c r="H129" s="1699">
        <f t="shared" si="15"/>
        <v>0</v>
      </c>
      <c r="I129" s="1699">
        <f t="shared" si="15"/>
        <v>0</v>
      </c>
      <c r="J129" s="1699">
        <f t="shared" si="15"/>
        <v>0</v>
      </c>
      <c r="K129" s="1699">
        <f t="shared" si="15"/>
        <v>413966</v>
      </c>
      <c r="L129" s="1699">
        <f t="shared" si="15"/>
        <v>414000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170709</v>
      </c>
      <c r="D151" s="1692">
        <f t="shared" ref="D151:K151" si="16">SUM(D129,D130,D139,D149,D150)</f>
        <v>31640</v>
      </c>
      <c r="E151" s="1692">
        <f t="shared" si="16"/>
        <v>74686</v>
      </c>
      <c r="F151" s="1692">
        <f t="shared" si="16"/>
        <v>126725</v>
      </c>
      <c r="G151" s="1692">
        <f t="shared" si="16"/>
        <v>10206</v>
      </c>
      <c r="H151" s="1692">
        <f t="shared" si="16"/>
        <v>0</v>
      </c>
      <c r="I151" s="1692">
        <f t="shared" si="16"/>
        <v>0</v>
      </c>
      <c r="J151" s="1692">
        <f t="shared" si="16"/>
        <v>0</v>
      </c>
      <c r="K151" s="1692">
        <f t="shared" si="16"/>
        <v>413966</v>
      </c>
      <c r="L151" s="1692">
        <f>SUM(L129,L130,L139,L149,L150)</f>
        <v>414000</v>
      </c>
    </row>
    <row r="152" spans="1:14" ht="12.75" customHeight="1" thickTop="1" x14ac:dyDescent="0.2">
      <c r="A152" s="2193" t="s">
        <v>1240</v>
      </c>
      <c r="B152" s="2194"/>
      <c r="C152" s="619"/>
      <c r="D152" s="619"/>
      <c r="E152" s="619"/>
      <c r="F152" s="619"/>
      <c r="G152" s="619"/>
      <c r="H152" s="619"/>
      <c r="I152" s="619"/>
      <c r="J152" s="617"/>
      <c r="K152" s="1706">
        <f>'Revenues 9-14'!D275-'Expenditures 15-22'!K151</f>
        <v>36709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25880</v>
      </c>
      <c r="I169" s="617"/>
      <c r="J169" s="617"/>
      <c r="K169" s="1693">
        <f>SUM(C169:H169)</f>
        <v>25880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25880</v>
      </c>
      <c r="I172" s="639"/>
      <c r="J172" s="617"/>
      <c r="K172" s="1699">
        <f>SUM(K168,K169,K170,K171)</f>
        <v>25880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25880</v>
      </c>
      <c r="I174" s="639"/>
      <c r="J174" s="617"/>
      <c r="K174" s="1699">
        <f>SUM(K160,K172,K173)</f>
        <v>25880</v>
      </c>
      <c r="L174" s="1699">
        <f>SUM(L160,L172,L173)</f>
        <v>0</v>
      </c>
    </row>
    <row r="175" spans="1:14" ht="13.5" thickTop="1" x14ac:dyDescent="0.2">
      <c r="A175" s="2173" t="s">
        <v>1053</v>
      </c>
      <c r="B175" s="2174"/>
      <c r="C175" s="617"/>
      <c r="D175" s="617"/>
      <c r="E175" s="617"/>
      <c r="F175" s="617"/>
      <c r="G175" s="617"/>
      <c r="H175" s="619"/>
      <c r="I175" s="617"/>
      <c r="J175" s="617"/>
      <c r="K175" s="1706">
        <f>'Revenues 9-14'!E275-'Expenditures 15-22'!K174</f>
        <v>-25880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143126</v>
      </c>
      <c r="D182" s="466">
        <v>12758</v>
      </c>
      <c r="E182" s="466">
        <v>12358</v>
      </c>
      <c r="F182" s="466">
        <v>45250</v>
      </c>
      <c r="G182" s="466">
        <v>50560</v>
      </c>
      <c r="H182" s="466"/>
      <c r="I182" s="467"/>
      <c r="J182" s="467"/>
      <c r="K182" s="1693">
        <f>SUM(C182:J182)</f>
        <v>264052</v>
      </c>
      <c r="L182" s="466">
        <v>281747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143126</v>
      </c>
      <c r="D184" s="1699">
        <f t="shared" ref="D184:J184" si="17">SUM(D180,D182,D183)</f>
        <v>12758</v>
      </c>
      <c r="E184" s="1699">
        <f t="shared" si="17"/>
        <v>12358</v>
      </c>
      <c r="F184" s="1699">
        <f t="shared" si="17"/>
        <v>45250</v>
      </c>
      <c r="G184" s="1699">
        <f t="shared" si="17"/>
        <v>50560</v>
      </c>
      <c r="H184" s="1699">
        <f t="shared" si="17"/>
        <v>0</v>
      </c>
      <c r="I184" s="1699">
        <f t="shared" si="17"/>
        <v>0</v>
      </c>
      <c r="J184" s="1699">
        <f t="shared" si="17"/>
        <v>0</v>
      </c>
      <c r="K184" s="1699">
        <f>SUM(K180,K182,K183)</f>
        <v>264052</v>
      </c>
      <c r="L184" s="1699">
        <f>SUM(L180, L182:L183)</f>
        <v>281747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5896</v>
      </c>
      <c r="F188" s="617"/>
      <c r="G188" s="617"/>
      <c r="H188" s="466"/>
      <c r="I188" s="477"/>
      <c r="J188" s="617"/>
      <c r="K188" s="1693">
        <f t="shared" ref="K188:K193" si="18">SUM(E188,H188)</f>
        <v>5896</v>
      </c>
      <c r="L188" s="466">
        <v>3000</v>
      </c>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5896</v>
      </c>
      <c r="F194" s="617"/>
      <c r="G194" s="617"/>
      <c r="H194" s="1692">
        <f>SUM(H188:H193)</f>
        <v>0</v>
      </c>
      <c r="I194" s="477"/>
      <c r="J194" s="617"/>
      <c r="K194" s="1692">
        <f>SUM(K188:K193)</f>
        <v>5896</v>
      </c>
      <c r="L194" s="1692">
        <f>SUM(L188:L193)</f>
        <v>3000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5896</v>
      </c>
      <c r="F196" s="617"/>
      <c r="G196" s="617"/>
      <c r="H196" s="1699">
        <f>SUM(H194,H195)</f>
        <v>0</v>
      </c>
      <c r="I196" s="477"/>
      <c r="J196" s="617"/>
      <c r="K196" s="1699">
        <f>SUM(K194,K195)</f>
        <v>5896</v>
      </c>
      <c r="L196" s="1699">
        <f>SUM(L194,L195)</f>
        <v>3000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143126</v>
      </c>
      <c r="D210" s="1692">
        <f>SUM(D184,D185)</f>
        <v>12758</v>
      </c>
      <c r="E210" s="1692">
        <f>SUM(E184,E185,E196)</f>
        <v>18254</v>
      </c>
      <c r="F210" s="1692">
        <f>SUM(F184,F185)</f>
        <v>45250</v>
      </c>
      <c r="G210" s="1692">
        <f>SUM(G184,G185)</f>
        <v>50560</v>
      </c>
      <c r="H210" s="1692">
        <f>SUM(H184,H185,H196,H208,H209)</f>
        <v>0</v>
      </c>
      <c r="I210" s="1692">
        <f>SUM(I184,I185)</f>
        <v>0</v>
      </c>
      <c r="J210" s="1692">
        <f>SUM(J184,J185)</f>
        <v>0</v>
      </c>
      <c r="K210" s="1693">
        <f>SUM(K184,K185,K196,K208,K209)</f>
        <v>269948</v>
      </c>
      <c r="L210" s="1692">
        <f>SUM(L184,L185,L196,L208,L209)</f>
        <v>284747</v>
      </c>
    </row>
    <row r="211" spans="1:14" ht="13.5" thickTop="1" x14ac:dyDescent="0.2">
      <c r="A211" s="2173" t="s">
        <v>1053</v>
      </c>
      <c r="B211" s="2174"/>
      <c r="C211" s="619"/>
      <c r="D211" s="619"/>
      <c r="E211" s="619"/>
      <c r="F211" s="619"/>
      <c r="G211" s="619"/>
      <c r="H211" s="619"/>
      <c r="I211" s="617"/>
      <c r="J211" s="617"/>
      <c r="K211" s="1706">
        <f>'Revenues 9-14'!F275-'Expenditures 15-22'!K210</f>
        <v>102178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39021</v>
      </c>
      <c r="E215" s="617"/>
      <c r="F215" s="617"/>
      <c r="G215" s="617"/>
      <c r="H215" s="617"/>
      <c r="I215" s="617"/>
      <c r="J215" s="617"/>
      <c r="K215" s="1693">
        <f>D215</f>
        <v>39021</v>
      </c>
      <c r="L215" s="466">
        <v>36789</v>
      </c>
    </row>
    <row r="216" spans="1:14" x14ac:dyDescent="0.2">
      <c r="A216" s="1526" t="s">
        <v>165</v>
      </c>
      <c r="B216" s="615" t="s">
        <v>1024</v>
      </c>
      <c r="C216" s="617"/>
      <c r="D216" s="467">
        <v>618</v>
      </c>
      <c r="E216" s="617"/>
      <c r="F216" s="617"/>
      <c r="G216" s="617"/>
      <c r="H216" s="617"/>
      <c r="I216" s="617"/>
      <c r="J216" s="617"/>
      <c r="K216" s="1693">
        <f t="shared" ref="K216:K228" si="19">D216</f>
        <v>618</v>
      </c>
      <c r="L216" s="466">
        <v>2500</v>
      </c>
    </row>
    <row r="217" spans="1:14" x14ac:dyDescent="0.2">
      <c r="A217" s="1526" t="s">
        <v>166</v>
      </c>
      <c r="B217" s="615">
        <v>1200</v>
      </c>
      <c r="C217" s="617"/>
      <c r="D217" s="466">
        <v>2393</v>
      </c>
      <c r="E217" s="617"/>
      <c r="F217" s="617"/>
      <c r="G217" s="617"/>
      <c r="H217" s="617"/>
      <c r="I217" s="617"/>
      <c r="J217" s="617"/>
      <c r="K217" s="1693">
        <f t="shared" si="19"/>
        <v>2393</v>
      </c>
      <c r="L217" s="466">
        <v>2530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545</v>
      </c>
      <c r="E219" s="617"/>
      <c r="F219" s="617"/>
      <c r="G219" s="617"/>
      <c r="H219" s="617"/>
      <c r="I219" s="617"/>
      <c r="J219" s="617"/>
      <c r="K219" s="1693">
        <f t="shared" si="19"/>
        <v>545</v>
      </c>
      <c r="L219" s="466">
        <v>400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v>20</v>
      </c>
    </row>
    <row r="223" spans="1:14" x14ac:dyDescent="0.2">
      <c r="A223" s="1526" t="s">
        <v>1020</v>
      </c>
      <c r="B223" s="615">
        <v>1500</v>
      </c>
      <c r="C223" s="617"/>
      <c r="D223" s="466">
        <v>956</v>
      </c>
      <c r="E223" s="617"/>
      <c r="F223" s="617"/>
      <c r="G223" s="617"/>
      <c r="H223" s="617"/>
      <c r="I223" s="617"/>
      <c r="J223" s="617"/>
      <c r="K223" s="1693">
        <f t="shared" si="19"/>
        <v>956</v>
      </c>
      <c r="L223" s="466">
        <v>730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43533</v>
      </c>
      <c r="E229" s="617"/>
      <c r="F229" s="617"/>
      <c r="G229" s="617"/>
      <c r="H229" s="617"/>
      <c r="I229" s="617"/>
      <c r="J229" s="617"/>
      <c r="K229" s="1692">
        <f>SUM(K215:K228)</f>
        <v>43533</v>
      </c>
      <c r="L229" s="1692">
        <f>SUM(L215:L228)</f>
        <v>42969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826</v>
      </c>
      <c r="E233" s="617"/>
      <c r="F233" s="617"/>
      <c r="G233" s="617"/>
      <c r="H233" s="617"/>
      <c r="I233" s="617"/>
      <c r="J233" s="617"/>
      <c r="K233" s="1693">
        <f t="shared" si="20"/>
        <v>826</v>
      </c>
      <c r="L233" s="466">
        <v>790</v>
      </c>
    </row>
    <row r="234" spans="1:12" x14ac:dyDescent="0.2">
      <c r="A234" s="1526" t="s">
        <v>207</v>
      </c>
      <c r="B234" s="615">
        <v>2130</v>
      </c>
      <c r="C234" s="617"/>
      <c r="D234" s="466">
        <v>2048</v>
      </c>
      <c r="E234" s="617"/>
      <c r="F234" s="617"/>
      <c r="G234" s="617"/>
      <c r="H234" s="617"/>
      <c r="I234" s="617"/>
      <c r="J234" s="617"/>
      <c r="K234" s="1693">
        <f t="shared" si="20"/>
        <v>2048</v>
      </c>
      <c r="L234" s="466">
        <v>1950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633</v>
      </c>
      <c r="E236" s="617"/>
      <c r="F236" s="617"/>
      <c r="G236" s="617"/>
      <c r="H236" s="617"/>
      <c r="I236" s="617"/>
      <c r="J236" s="617"/>
      <c r="K236" s="1693">
        <f t="shared" si="20"/>
        <v>633</v>
      </c>
      <c r="L236" s="466">
        <v>550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3507</v>
      </c>
      <c r="E238" s="617"/>
      <c r="F238" s="617"/>
      <c r="G238" s="617"/>
      <c r="H238" s="617"/>
      <c r="I238" s="617"/>
      <c r="J238" s="617"/>
      <c r="K238" s="1692">
        <f>SUM(K232:K237)</f>
        <v>3507</v>
      </c>
      <c r="L238" s="1692">
        <f>SUM(L232:L237)</f>
        <v>3290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318</v>
      </c>
      <c r="E241" s="617"/>
      <c r="F241" s="617"/>
      <c r="G241" s="617"/>
      <c r="H241" s="617"/>
      <c r="I241" s="617"/>
      <c r="J241" s="617"/>
      <c r="K241" s="1694">
        <f>D241</f>
        <v>318</v>
      </c>
      <c r="L241" s="466">
        <v>305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318</v>
      </c>
      <c r="E243" s="617"/>
      <c r="F243" s="617"/>
      <c r="G243" s="617"/>
      <c r="H243" s="617"/>
      <c r="I243" s="617"/>
      <c r="J243" s="617"/>
      <c r="K243" s="1692">
        <f>SUM(K240:K242)</f>
        <v>318</v>
      </c>
      <c r="L243" s="1692">
        <f>SUM(L240:L242)</f>
        <v>305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6578</v>
      </c>
      <c r="E246" s="617"/>
      <c r="F246" s="617"/>
      <c r="G246" s="617"/>
      <c r="H246" s="617"/>
      <c r="I246" s="617"/>
      <c r="J246" s="617"/>
      <c r="K246" s="1694">
        <f t="shared" ref="K246:K256" si="21">D246</f>
        <v>6578</v>
      </c>
      <c r="L246" s="466">
        <v>8015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6578</v>
      </c>
      <c r="E257" s="617"/>
      <c r="F257" s="617"/>
      <c r="G257" s="617"/>
      <c r="H257" s="617"/>
      <c r="I257" s="617"/>
      <c r="J257" s="617"/>
      <c r="K257" s="1692">
        <f>SUM(K245:K256)</f>
        <v>6578</v>
      </c>
      <c r="L257" s="1692">
        <f>SUM(L245:L256)</f>
        <v>8015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1605</v>
      </c>
      <c r="E259" s="617"/>
      <c r="F259" s="617"/>
      <c r="G259" s="617"/>
      <c r="H259" s="617"/>
      <c r="I259" s="617"/>
      <c r="J259" s="617"/>
      <c r="K259" s="1694">
        <f>D259</f>
        <v>1605</v>
      </c>
      <c r="L259" s="481">
        <v>1665</v>
      </c>
    </row>
    <row r="260" spans="1:14" s="598" customFormat="1" x14ac:dyDescent="0.2">
      <c r="A260" s="1544" t="s">
        <v>1907</v>
      </c>
      <c r="B260" s="629">
        <v>2490</v>
      </c>
      <c r="C260" s="617"/>
      <c r="D260" s="466">
        <v>8970</v>
      </c>
      <c r="E260" s="617"/>
      <c r="F260" s="617"/>
      <c r="G260" s="617"/>
      <c r="H260" s="617"/>
      <c r="I260" s="617"/>
      <c r="J260" s="617"/>
      <c r="K260" s="1694">
        <f>D260</f>
        <v>8970</v>
      </c>
      <c r="L260" s="466">
        <v>9505</v>
      </c>
      <c r="M260" s="210"/>
      <c r="N260" s="210"/>
    </row>
    <row r="261" spans="1:14" ht="12.75" customHeight="1" thickBot="1" x14ac:dyDescent="0.25">
      <c r="A261" s="1714" t="s">
        <v>281</v>
      </c>
      <c r="B261" s="1719" t="s">
        <v>34</v>
      </c>
      <c r="C261" s="617"/>
      <c r="D261" s="1692">
        <f>SUM(D259:D260)</f>
        <v>10575</v>
      </c>
      <c r="E261" s="617"/>
      <c r="F261" s="617"/>
      <c r="G261" s="617"/>
      <c r="H261" s="617"/>
      <c r="I261" s="617"/>
      <c r="J261" s="617"/>
      <c r="K261" s="1692">
        <f>SUM(K259:K260)</f>
        <v>10575</v>
      </c>
      <c r="L261" s="1692">
        <f>SUM(L259:L260)</f>
        <v>11170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8205</v>
      </c>
      <c r="E264" s="617"/>
      <c r="F264" s="617"/>
      <c r="G264" s="617"/>
      <c r="H264" s="617"/>
      <c r="I264" s="617"/>
      <c r="J264" s="617"/>
      <c r="K264" s="1694">
        <f t="shared" ref="K264:K269" si="22">D264</f>
        <v>8205</v>
      </c>
      <c r="L264" s="466">
        <v>8425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30728</v>
      </c>
      <c r="E266" s="617"/>
      <c r="F266" s="617"/>
      <c r="G266" s="617"/>
      <c r="H266" s="617"/>
      <c r="I266" s="617"/>
      <c r="J266" s="617"/>
      <c r="K266" s="1694">
        <f t="shared" si="22"/>
        <v>30728</v>
      </c>
      <c r="L266" s="466">
        <v>33191</v>
      </c>
    </row>
    <row r="267" spans="1:14" x14ac:dyDescent="0.2">
      <c r="A267" s="1526" t="s">
        <v>1010</v>
      </c>
      <c r="B267" s="615">
        <v>2550</v>
      </c>
      <c r="C267" s="617"/>
      <c r="D267" s="466">
        <v>24274</v>
      </c>
      <c r="E267" s="617"/>
      <c r="F267" s="617"/>
      <c r="G267" s="617"/>
      <c r="H267" s="617"/>
      <c r="I267" s="617"/>
      <c r="J267" s="617"/>
      <c r="K267" s="1694">
        <f t="shared" si="22"/>
        <v>24274</v>
      </c>
      <c r="L267" s="466">
        <v>26609</v>
      </c>
    </row>
    <row r="268" spans="1:14" x14ac:dyDescent="0.2">
      <c r="A268" s="1526" t="s">
        <v>102</v>
      </c>
      <c r="B268" s="615">
        <v>2560</v>
      </c>
      <c r="C268" s="617"/>
      <c r="D268" s="466">
        <v>13544</v>
      </c>
      <c r="E268" s="617"/>
      <c r="F268" s="617"/>
      <c r="G268" s="617"/>
      <c r="H268" s="617"/>
      <c r="I268" s="617"/>
      <c r="J268" s="617"/>
      <c r="K268" s="1694">
        <f t="shared" si="22"/>
        <v>13544</v>
      </c>
      <c r="L268" s="466">
        <v>16200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76751</v>
      </c>
      <c r="E270" s="617"/>
      <c r="F270" s="617"/>
      <c r="G270" s="617"/>
      <c r="H270" s="617"/>
      <c r="I270" s="617"/>
      <c r="J270" s="617"/>
      <c r="K270" s="1692">
        <f>SUM(K263:K269)</f>
        <v>76751</v>
      </c>
      <c r="L270" s="1692">
        <f>SUM(L263:L269)</f>
        <v>84425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97729</v>
      </c>
      <c r="E279" s="617"/>
      <c r="F279" s="617"/>
      <c r="G279" s="617"/>
      <c r="H279" s="617"/>
      <c r="I279" s="617"/>
      <c r="J279" s="617"/>
      <c r="K279" s="1699">
        <f>SUM(K238,K243,K257,K261,K270,K277,K278)</f>
        <v>97729</v>
      </c>
      <c r="L279" s="1699">
        <f>SUM(L238,L243,L257,L261,L270,L277,L278)</f>
        <v>107205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141262</v>
      </c>
      <c r="E295" s="617"/>
      <c r="F295" s="617"/>
      <c r="G295" s="617"/>
      <c r="H295" s="1692">
        <f>H293</f>
        <v>0</v>
      </c>
      <c r="I295" s="617"/>
      <c r="J295" s="617"/>
      <c r="K295" s="1692">
        <f>SUM(K229,K279,K280,K285,K293,K294)</f>
        <v>141262</v>
      </c>
      <c r="L295" s="1692">
        <f>SUM(L229,L279,L280,L285,L293,L294)</f>
        <v>150174</v>
      </c>
    </row>
    <row r="296" spans="1:14" ht="13.5" thickTop="1" x14ac:dyDescent="0.2">
      <c r="A296" s="2173" t="s">
        <v>1053</v>
      </c>
      <c r="B296" s="2174"/>
      <c r="C296" s="617"/>
      <c r="D296" s="619"/>
      <c r="E296" s="617"/>
      <c r="F296" s="617"/>
      <c r="G296" s="617"/>
      <c r="H296" s="688"/>
      <c r="I296" s="617"/>
      <c r="J296" s="617"/>
      <c r="K296" s="1706">
        <f>'Revenues 9-14'!G275-'Expenditures 15-22'!K295</f>
        <v>-53521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1630</v>
      </c>
      <c r="F301" s="466"/>
      <c r="G301" s="466">
        <v>3804053</v>
      </c>
      <c r="H301" s="466"/>
      <c r="I301" s="467"/>
      <c r="J301" s="467"/>
      <c r="K301" s="1693">
        <f>SUM(C301:J301)</f>
        <v>3805683</v>
      </c>
      <c r="L301" s="467">
        <v>5614008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1630</v>
      </c>
      <c r="F303" s="1699">
        <f t="shared" si="23"/>
        <v>0</v>
      </c>
      <c r="G303" s="1699">
        <f t="shared" si="23"/>
        <v>3804053</v>
      </c>
      <c r="H303" s="1699">
        <f t="shared" si="23"/>
        <v>0</v>
      </c>
      <c r="I303" s="1699">
        <f t="shared" si="23"/>
        <v>0</v>
      </c>
      <c r="J303" s="1699">
        <f t="shared" si="23"/>
        <v>0</v>
      </c>
      <c r="K303" s="1699">
        <f t="shared" si="23"/>
        <v>3805683</v>
      </c>
      <c r="L303" s="1699">
        <f t="shared" si="23"/>
        <v>5614008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1630</v>
      </c>
      <c r="F312" s="1692">
        <f>SUM(F303)</f>
        <v>0</v>
      </c>
      <c r="G312" s="1692">
        <f>SUM(G303)</f>
        <v>3804053</v>
      </c>
      <c r="H312" s="1692">
        <f>SUM(H303,H310)</f>
        <v>0</v>
      </c>
      <c r="I312" s="1692">
        <f>SUM(I303)</f>
        <v>0</v>
      </c>
      <c r="J312" s="1692">
        <f>SUM(J303)</f>
        <v>0</v>
      </c>
      <c r="K312" s="1692">
        <f>SUM(K303,K310,K311)</f>
        <v>3805683</v>
      </c>
      <c r="L312" s="1692">
        <f>SUM(L303,L310,L311)</f>
        <v>5614008</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-3591150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31486</v>
      </c>
      <c r="F320" s="467"/>
      <c r="G320" s="467"/>
      <c r="H320" s="467"/>
      <c r="I320" s="467"/>
      <c r="J320" s="467"/>
      <c r="K320" s="1693">
        <f t="shared" ref="K320:K327" si="24">SUM(C320:J320)</f>
        <v>31486</v>
      </c>
      <c r="L320" s="467">
        <v>31486</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1668</v>
      </c>
      <c r="F322" s="467"/>
      <c r="G322" s="467"/>
      <c r="H322" s="467"/>
      <c r="I322" s="467"/>
      <c r="J322" s="467"/>
      <c r="K322" s="1693">
        <f t="shared" si="24"/>
        <v>1668</v>
      </c>
      <c r="L322" s="467">
        <v>1668</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16125</v>
      </c>
      <c r="F328" s="474"/>
      <c r="G328" s="474"/>
      <c r="H328" s="474"/>
      <c r="I328" s="474"/>
      <c r="J328" s="474"/>
      <c r="K328" s="1721">
        <f>SUM(C328:J328)</f>
        <v>16125</v>
      </c>
      <c r="L328" s="474">
        <v>16125</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49279</v>
      </c>
      <c r="F330" s="1692">
        <f t="shared" si="25"/>
        <v>0</v>
      </c>
      <c r="G330" s="1692">
        <f t="shared" si="25"/>
        <v>0</v>
      </c>
      <c r="H330" s="1692">
        <f t="shared" si="25"/>
        <v>0</v>
      </c>
      <c r="I330" s="1692">
        <f t="shared" si="25"/>
        <v>0</v>
      </c>
      <c r="J330" s="1692">
        <f t="shared" si="25"/>
        <v>0</v>
      </c>
      <c r="K330" s="1692">
        <f>SUM(K319:K329)</f>
        <v>49279</v>
      </c>
      <c r="L330" s="1692">
        <f>SUM(L319:L329)</f>
        <v>49279</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49279</v>
      </c>
      <c r="F342" s="1692">
        <f>SUM(F330)</f>
        <v>0</v>
      </c>
      <c r="G342" s="1692">
        <f>SUM(G330)</f>
        <v>0</v>
      </c>
      <c r="H342" s="1692">
        <f>SUM(H330,H334,H340)</f>
        <v>0</v>
      </c>
      <c r="I342" s="1692">
        <f>SUM(I330)</f>
        <v>0</v>
      </c>
      <c r="J342" s="1692">
        <f>SUM(J330)</f>
        <v>0</v>
      </c>
      <c r="K342" s="1692">
        <f>SUM(K330,K334,K340)</f>
        <v>49279</v>
      </c>
      <c r="L342" s="1699">
        <f>SUM(L330,L340,L341)</f>
        <v>49279</v>
      </c>
    </row>
    <row r="343" spans="1:14" ht="12.75" customHeight="1" thickTop="1" x14ac:dyDescent="0.2">
      <c r="A343" s="2186" t="s">
        <v>1053</v>
      </c>
      <c r="B343" s="2187"/>
      <c r="C343" s="617"/>
      <c r="D343" s="617"/>
      <c r="E343" s="617"/>
      <c r="F343" s="617"/>
      <c r="G343" s="617"/>
      <c r="H343" s="617"/>
      <c r="I343" s="617"/>
      <c r="J343" s="617"/>
      <c r="K343" s="1706">
        <f>'Revenues 9-14'!J275-'Expenditures 15-22'!K342</f>
        <v>-1647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v>61725</v>
      </c>
      <c r="G349" s="466"/>
      <c r="H349" s="466"/>
      <c r="I349" s="467"/>
      <c r="J349" s="467"/>
      <c r="K349" s="1693">
        <f>SUM(C349:J349)</f>
        <v>61725</v>
      </c>
      <c r="L349" s="466">
        <v>61800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61725</v>
      </c>
      <c r="G350" s="1692">
        <f t="shared" si="26"/>
        <v>0</v>
      </c>
      <c r="H350" s="1692">
        <f t="shared" si="26"/>
        <v>0</v>
      </c>
      <c r="I350" s="1692">
        <f t="shared" si="26"/>
        <v>0</v>
      </c>
      <c r="J350" s="1692">
        <f t="shared" si="26"/>
        <v>0</v>
      </c>
      <c r="K350" s="1692">
        <f t="shared" si="26"/>
        <v>61725</v>
      </c>
      <c r="L350" s="1692">
        <f t="shared" si="26"/>
        <v>61800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61725</v>
      </c>
      <c r="G352" s="1692">
        <f t="shared" si="27"/>
        <v>0</v>
      </c>
      <c r="H352" s="1692">
        <f t="shared" si="27"/>
        <v>0</v>
      </c>
      <c r="I352" s="1692">
        <f t="shared" si="27"/>
        <v>0</v>
      </c>
      <c r="J352" s="1692">
        <f t="shared" si="27"/>
        <v>0</v>
      </c>
      <c r="K352" s="1692">
        <f t="shared" si="27"/>
        <v>61725</v>
      </c>
      <c r="L352" s="1692">
        <f t="shared" si="27"/>
        <v>61800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61725</v>
      </c>
      <c r="G367" s="1692">
        <f t="shared" si="28"/>
        <v>0</v>
      </c>
      <c r="H367" s="1692">
        <f t="shared" si="28"/>
        <v>0</v>
      </c>
      <c r="I367" s="1692">
        <f t="shared" si="28"/>
        <v>0</v>
      </c>
      <c r="J367" s="1692">
        <f t="shared" si="28"/>
        <v>0</v>
      </c>
      <c r="K367" s="1692">
        <f t="shared" si="28"/>
        <v>61725</v>
      </c>
      <c r="L367" s="1692">
        <f t="shared" si="28"/>
        <v>61800</v>
      </c>
    </row>
    <row r="368" spans="1:14" ht="13.5" thickTop="1" x14ac:dyDescent="0.2">
      <c r="A368" s="2173" t="s">
        <v>1053</v>
      </c>
      <c r="B368" s="2174"/>
      <c r="C368" s="655"/>
      <c r="D368" s="655"/>
      <c r="E368" s="627"/>
      <c r="F368" s="627"/>
      <c r="G368" s="627"/>
      <c r="H368" s="627"/>
      <c r="I368" s="627"/>
      <c r="J368" s="624"/>
      <c r="K368" s="1693">
        <f>'Revenues 9-14'!K275-'Expenditures 15-22'!K367</f>
        <v>-47127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oddHeader>&amp;L&amp;8Page &amp;P&amp;C&amp;"Arial,Bold"&amp;9STATEMENT OF EXPENDITURES DISBURSED/EXPENDITURES, BUDGET TO ACTUAL
FOR THE YEAR ENDING JUNE 30, 2018&amp;R&amp;8Page &amp;P</oddHeader>
    <oddFooter>&amp;L&amp;8See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http://schemas.openxmlformats.org/package/2006/metadata/core-properties"/>
    <ds:schemaRef ds:uri="http://schemas.microsoft.com/office/infopath/2007/PartnerControl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2018-10-10T20:37:17Z</cp:lastPrinted>
  <dcterms:created xsi:type="dcterms:W3CDTF">2003-10-29T19:06:34Z</dcterms:created>
  <dcterms:modified xsi:type="dcterms:W3CDTF">2018-11-28T14:57:12Z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